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温泉中心\F02-改权重\"/>
    </mc:Choice>
  </mc:AlternateContent>
  <xr:revisionPtr revIDLastSave="0" documentId="13_ncr:1_{215F7DA4-374D-494D-A73C-7FCA9306570C}" xr6:coauthVersionLast="45" xr6:coauthVersionMax="47" xr10:uidLastSave="{00000000-0000-0000-0000-000000000000}"/>
  <bookViews>
    <workbookView xWindow="45" yWindow="0" windowWidth="21555" windowHeight="12900" tabRatio="875" firstSheet="16"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state="hidden" r:id="rId18"/>
    <sheet name="结果汇总表" sheetId="74" r:id="rId19"/>
    <sheet name="剩余法-待开发" sheetId="12" r:id="rId20"/>
    <sheet name="不动产比较法-住宅" sheetId="21" r:id="rId21"/>
    <sheet name="剩余法-现房" sheetId="43" state="hidden" r:id="rId22"/>
    <sheet name="比较法-工业" sheetId="40" state="hidden" r:id="rId23"/>
    <sheet name="住宅案例" sheetId="68" r:id="rId24"/>
    <sheet name="基准地价" sheetId="46" r:id="rId25"/>
    <sheet name="修正" sheetId="49" state="hidden" r:id="rId26"/>
    <sheet name="区片价" sheetId="48" state="hidden" r:id="rId27"/>
    <sheet name="容积率修正" sheetId="45" state="hidden" r:id="rId28"/>
    <sheet name="因素修正幅度" sheetId="56" state="hidden" r:id="rId29"/>
    <sheet name="基准地价 (2)" sheetId="73" r:id="rId30"/>
    <sheet name="地价" sheetId="59" r:id="rId31"/>
    <sheet name="基准地价（汇总）" sheetId="67" state="hidden" r:id="rId32"/>
    <sheet name="收益还原法" sheetId="44" state="hidden" r:id="rId33"/>
    <sheet name="不动产收益法" sheetId="15" state="hidden"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r:id="rId43"/>
    <sheet name="协议出让土地案例" sheetId="69" r:id="rId44"/>
    <sheet name="招拍挂" sheetId="70" r:id="rId45"/>
    <sheet name="市场分析" sheetId="71" r:id="rId46"/>
  </sheets>
  <externalReferences>
    <externalReference r:id="rId47"/>
    <externalReference r:id="rId48"/>
  </externalReferences>
  <definedNames>
    <definedName name="_xlnm._FilterDatabase" localSheetId="22"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2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7">'比较法-住宅、综合'!$A$1:$K$67,'比较法-住宅、综合'!$A$71:$N$134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20">'不动产比较法-住宅'!$A$1:$K$54,'不动产比较法-住宅'!$A$57:$M$131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29">'基准地价 (2)'!$A$1:$J$41,'基准地价 (2)'!$A$44:$N$87,'基准地价 (2)'!$R$1:$V$16</definedName>
    <definedName name="_xlnm.Print_Area" localSheetId="31">'基准地价（汇总）'!$A$1:$F$14</definedName>
    <definedName name="_xlnm.Print_Area" localSheetId="16">结果表!$A$1:$I$46,结果表!$K$25:$O$44,结果表!$A$62:$I$115,结果表!$K$64:$P$81</definedName>
    <definedName name="_xlnm.Print_Area" localSheetId="19">'剩余法-待开发'!$A$1:$K$36</definedName>
    <definedName name="_xlnm.Print_Area" localSheetId="21">'剩余法-现房'!$A$1:$K$43</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18">'[1]不动产比较法-办公'!$B$119:$M$119</definedName>
    <definedName name="办公层高">'不动产比较法-办公'!$B$119:$M$119</definedName>
    <definedName name="办公朝向" localSheetId="18">'[1]不动产比较法-办公'!$B$91:$M$91</definedName>
    <definedName name="办公朝向">'不动产比较法-办公'!$B$91:$M$91</definedName>
    <definedName name="办公道路级别" localSheetId="18">'[1]不动产比较法-办公'!$B$87:$M$87</definedName>
    <definedName name="办公道路级别">'不动产比较法-办公'!$B$87:$M$87</definedName>
    <definedName name="办公公共部分装修" localSheetId="18">'[1]不动产比较法-办公'!$B$108:$M$108</definedName>
    <definedName name="办公公共部分装修">'不动产比较法-办公'!$B$108:$M$108</definedName>
    <definedName name="办公基础设施水平" localSheetId="18">'[1]不动产比较法-办公'!$B$117:$M$117</definedName>
    <definedName name="办公基础设施水平">'不动产比较法-办公'!$B$117:$M$117</definedName>
    <definedName name="办公集聚程度" localSheetId="18">[1]定义!$M$1:$M$6</definedName>
    <definedName name="办公集聚程度">定义!$M$1:$M$6</definedName>
    <definedName name="办公建筑结构" localSheetId="18">'[1]不动产比较法-办公'!$B$106:$M$106</definedName>
    <definedName name="办公建筑结构">'不动产比较法-办公'!$B$106:$M$106</definedName>
    <definedName name="办公建筑类型" localSheetId="18">'[1]不动产比较法-办公'!$B$101:$M$101</definedName>
    <definedName name="办公建筑类型">'不动产比较法-办公'!$B$101:$M$101</definedName>
    <definedName name="办公交易情况" localSheetId="18">'[1]不动产比较法-办公'!$A$62:$M$62</definedName>
    <definedName name="办公交易情况">'不动产比较法-办公'!$A$62:$M$62</definedName>
    <definedName name="办公楼层" localSheetId="18">'[1]不动产比较法-办公'!$B$89:$M$89</definedName>
    <definedName name="办公楼层">'不动产比较法-办公'!$B$89:$M$89</definedName>
    <definedName name="办公内部装修" localSheetId="18">'[1]不动产比较法-办公'!$B$123:$M$123</definedName>
    <definedName name="办公内部装修">'不动产比较法-办公'!$B$123:$M$123</definedName>
    <definedName name="办公物业管理" localSheetId="18">'[1]不动产比较法-办公'!$B$115:$M$115</definedName>
    <definedName name="办公物业管理">'不动产比较法-办公'!$B$115:$M$115</definedName>
    <definedName name="办公用途" localSheetId="18">'[1]不动产比较法-办公'!$B$64:$M$64</definedName>
    <definedName name="办公用途">'不动产比较法-办公'!$B$64:$M$64</definedName>
    <definedName name="仓储公共部分装修" localSheetId="18">'[1]不动产比较法-仓储'!$B$77:$M$77</definedName>
    <definedName name="仓储公共部分装修">'不动产比较法-仓储'!$B$77:$M$77</definedName>
    <definedName name="仓储交易情况" localSheetId="18">'[1]不动产比较法-仓储'!$A$49:$M$49</definedName>
    <definedName name="仓储交易情况">'不动产比较法-仓储'!$A$49:$M$49</definedName>
    <definedName name="仓储楼层" localSheetId="18">'[1]不动产比较法-仓储'!$B$69:$M$69</definedName>
    <definedName name="仓储楼层">'不动产比较法-仓储'!$B$69:$M$69</definedName>
    <definedName name="仓储物业等级" localSheetId="18">'[1]不动产比较法-仓储'!$B$82:$M$82</definedName>
    <definedName name="仓储物业等级">'不动产比较法-仓储'!$B$82:$M$82</definedName>
    <definedName name="仓储用途" localSheetId="18">'[1]不动产比较法-仓储'!$B$51:$M$51</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'不动产比较法-车位'!$B$83:$M$83</definedName>
    <definedName name="车位交易情况" localSheetId="18">'[1]不动产比较法-车位'!$A$51:$M$51</definedName>
    <definedName name="车位交易情况">'不动产比较法-车位'!$A$51:$M$51</definedName>
    <definedName name="车位类型" localSheetId="18">'[1]不动产比较法-车位'!$B$93:$M$93</definedName>
    <definedName name="车位类型">'不动产比较法-车位'!$B$93:$M$93</definedName>
    <definedName name="车位楼层" localSheetId="18">'[1]不动产比较法-车位'!$B$71:$M$71</definedName>
    <definedName name="车位楼层">'不动产比较法-车位'!$B$71:$M$71</definedName>
    <definedName name="车位配套类型" localSheetId="18">'[1]不动产比较法-车位'!$B$79:$M$79</definedName>
    <definedName name="车位配套类型">'不动产比较法-车位'!$B$79:$M$79</definedName>
    <definedName name="车位物业等级" localSheetId="18">'[1]不动产比较法-车位'!$B$88:$M$88</definedName>
    <definedName name="车位物业等级">'不动产比较法-车位'!$B$88:$M$88</definedName>
    <definedName name="车位用途" localSheetId="18">'[1]不动产比较法-车位'!$B$53:$M$53</definedName>
    <definedName name="车位用途">'不动产比较法-车位'!$B$53:$M$53</definedName>
    <definedName name="城镇土地纳税等级分级范围" localSheetId="18">'[1]数据-取费表'!$A$53:$A$63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定义!$H$1:$H$9</definedName>
    <definedName name="二级">区片价!$J$1:$J$20</definedName>
    <definedName name="二级分类" localSheetId="18">[1]修正!$C$17:$C$39</definedName>
    <definedName name="二级分类">修正!$C$17:$C$39</definedName>
    <definedName name="法定最高年限" localSheetId="18">[1]定义!$G$2:$G$4</definedName>
    <definedName name="法定最高年限">定义!$G$2:$G$4</definedName>
    <definedName name="工业公共部分装修" localSheetId="18">'[1]不动产比较法-工业'!$B$95:$M$95</definedName>
    <definedName name="工业公共部分装修">'不动产比较法-工业'!$B$95:$M$95</definedName>
    <definedName name="工业基础设施水平" localSheetId="18">'[1]不动产比较法-工业'!$B$102:$M$102</definedName>
    <definedName name="工业基础设施水平">'不动产比较法-工业'!$B$102:$M$102</definedName>
    <definedName name="工业建筑结构" localSheetId="18">'[1]不动产比较法-工业'!$B$93:$M$93</definedName>
    <definedName name="工业建筑结构">'不动产比较法-工业'!$B$93:$M$93</definedName>
    <definedName name="工业建筑类型" localSheetId="18">'[1]不动产比较法-工业'!$B$88:$M$88</definedName>
    <definedName name="工业建筑类型">'不动产比较法-工业'!$B$88:$M$88</definedName>
    <definedName name="工业交易情况" localSheetId="18">'[1]不动产比较法-工业'!$A$55:$M$55</definedName>
    <definedName name="工业交易情况">'不动产比较法-工业'!$A$55:$M$55</definedName>
    <definedName name="工业内部装修" localSheetId="18">'[1]不动产比较法-工业'!$B$104:$M$104</definedName>
    <definedName name="工业内部装修">'不动产比较法-工业'!$B$104:$M$104</definedName>
    <definedName name="工业物业管理" localSheetId="18">'[1]不动产比较法-工业'!$B$100:$M$100</definedName>
    <definedName name="工业物业管理">'不动产比较法-工业'!$B$100:$M$100</definedName>
    <definedName name="工业用途" localSheetId="18">'[1]不动产比较法-工业'!$B$57:$M$57</definedName>
    <definedName name="工业用途">'不动产比较法-工业'!$B$57:$M$57</definedName>
    <definedName name="公共配套设施" localSheetId="18">[1]定义!$Q$1:$Q$6</definedName>
    <definedName name="公共配套设施">定义!$Q$1:$Q$6</definedName>
    <definedName name="估价方法" localSheetId="18">[1]定义!$B$1:$B$50</definedName>
    <definedName name="估价方法">定义!$B$1:$B$50</definedName>
    <definedName name="环境" localSheetId="18">[1]定义!$S$1:$S$6</definedName>
    <definedName name="环境">定义!$S$1:$S$6</definedName>
    <definedName name="基础设施水平" localSheetId="18">[1]定义!$R$1:$R$6</definedName>
    <definedName name="基础设施水平">定义!$R$1:$R$6</definedName>
    <definedName name="季度" localSheetId="29">'基准地价 (2)'!$N$19:$AB$19</definedName>
    <definedName name="季度">基准地价!$N$19:$AB$19</definedName>
    <definedName name="季度2014">地价!$A$2:$A$36</definedName>
    <definedName name="价值类型2" localSheetId="18">[1]定义!$B$54:$B$56</definedName>
    <definedName name="价值类型2">定义!$B$54:$B$56</definedName>
    <definedName name="交通便捷度" localSheetId="18">[1]定义!$O$1:$O$6</definedName>
    <definedName name="交通便捷度">定义!$O$1:$O$6</definedName>
    <definedName name="九级">区片价!$Q$1:$Q$46</definedName>
    <definedName name="居住社区成熟度" localSheetId="18">[1]定义!$K$1:$K$6</definedName>
    <definedName name="居住社区成熟度">定义!$K$1:$K$6</definedName>
    <definedName name="类别" localSheetId="18">[1]定义!$J$1:$J$3</definedName>
    <definedName name="类别">定义!$J$1:$J$3</definedName>
    <definedName name="临街状况" localSheetId="18">[1]定义!$T$1:$T$5</definedName>
    <definedName name="临街状况">定义!$T$1:$T$5</definedName>
    <definedName name="六级">区片价!$N$1:$N$49</definedName>
    <definedName name="内部装修维护情况" localSheetId="18">[1]定义!$U$1:$U$6</definedName>
    <definedName name="内部装修维护情况">定义!$U$1:$U$6</definedName>
    <definedName name="判定" localSheetId="18">[1]定义!$D$1:$D$4</definedName>
    <definedName name="判定">定义!$D$1:$D$4</definedName>
    <definedName name="七级">区片价!$O$1:$O$49</definedName>
    <definedName name="七通一平" localSheetId="18">[1]修正!$A$6:$A$14</definedName>
    <definedName name="七通一平">修正!$A$6:$A$14</definedName>
    <definedName name="区域土地利用方向" localSheetId="18">[1]定义!$P$1:$P$6</definedName>
    <definedName name="区域土地利用方向">定义!$P$1:$P$6</definedName>
    <definedName name="三级">区片价!$K$1:$K$21</definedName>
    <definedName name="商业层高" localSheetId="18">'[1]不动产比较法-商业'!$B$116:$M$116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定义!$L$1:$L$6</definedName>
    <definedName name="商业公共部分装修" localSheetId="18">'[1]不动产比较法-商业'!$B$107:$M$107</definedName>
    <definedName name="商业公共部分装修">'不动产比较法-商业'!$B$107:$M$107</definedName>
    <definedName name="商业基础设施水平" localSheetId="18">'[1]不动产比较法-商业'!$B$112:$M$112</definedName>
    <definedName name="商业基础设施水平">'不动产比较法-商业'!$B$112:$M$112</definedName>
    <definedName name="商业建筑结构" localSheetId="18">'[1]不动产比较法-商业'!$B$105:$M$105</definedName>
    <definedName name="商业建筑结构">'不动产比较法-商业'!$B$105:$M$105</definedName>
    <definedName name="商业交易情况" localSheetId="18">'[1]不动产比较法-商业'!$A$61:$M$61</definedName>
    <definedName name="商业交易情况">'不动产比较法-商业'!$A$61:$M$61</definedName>
    <definedName name="商业街名称" localSheetId="18">[1]修正!$C$59:$C$119</definedName>
    <definedName name="商业街名称">修正!$C$59:$C$119</definedName>
    <definedName name="商业进深比" localSheetId="18">'[1]不动产比较法-商业'!$B$120:$M$120</definedName>
    <definedName name="商业进深比">'不动产比较法-商业'!$B$120:$M$120</definedName>
    <definedName name="商业类型" localSheetId="18">'[1]不动产比较法-商业'!$B$100:$M$100</definedName>
    <definedName name="商业类型">'不动产比较法-商业'!$B$100:$M$100</definedName>
    <definedName name="商业临街状况" localSheetId="18">'[1]不动产比较法-商业'!$B$86:$M$86</definedName>
    <definedName name="商业临街状况">'不动产比较法-商业'!$B$86:$M$86</definedName>
    <definedName name="商业楼层" localSheetId="18">'[1]不动产比较法-商业'!$B$92:$M$92</definedName>
    <definedName name="商业楼层">'不动产比较法-商业'!$B$92:$M$92</definedName>
    <definedName name="商业内部装修" localSheetId="18">'[1]不动产比较法-商业'!$B$122:$M$122</definedName>
    <definedName name="商业内部装修">'不动产比较法-商业'!$B$122:$M$122</definedName>
    <definedName name="商业人流量" localSheetId="18">'[1]不动产比较法-商业'!$B$90:$M$90</definedName>
    <definedName name="商业人流量">'不动产比较法-商业'!$B$90:$M$90</definedName>
    <definedName name="商业业态" localSheetId="18">'[1]不动产比较法-商业'!$B$114:$M$114</definedName>
    <definedName name="商业业态">'不动产比较法-商业'!$B$114:$M$114</definedName>
    <definedName name="商业用途" localSheetId="18">'[1]不动产比较法-商业'!$B$63:$M$63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8">'[1]不动产比较法-仓储'!$B$89:$M$89</definedName>
    <definedName name="是否封闭">'不动产比较法-仓储'!$B$89:$M$89</definedName>
    <definedName name="是否直接入户" localSheetId="18">'[1]不动产比较法-车位'!$B$95:$M$95</definedName>
    <definedName name="是否直接入户">'不动产比较法-车位'!$B$95:$M$95</definedName>
    <definedName name="四级">区片价!$L$1:$L$28</definedName>
    <definedName name="套工工程地质条件" localSheetId="18">'[1]比较法-工业'!$B$116:$M$116</definedName>
    <definedName name="套工工程地质条件">'比较法-工业'!$B$116:$M$116</definedName>
    <definedName name="套工交易情况" localSheetId="18">'[1]比较法-商业土地'!$A$75:$M$75</definedName>
    <definedName name="套工交易情况">'比较法-住宅、综合'!$A$75:$M$75</definedName>
    <definedName name="套工开发程度" localSheetId="18">'[1]比较法-工业'!$B$114:$M$114</definedName>
    <definedName name="套工开发程度">'比较法-工业'!$B$114:$M$114</definedName>
    <definedName name="套工临街等级" localSheetId="18">'[1]比较法-工业'!$B$99:$M$99</definedName>
    <definedName name="套工临街等级">'比较法-工业'!$B$99:$M$99</definedName>
    <definedName name="套工土地级别" localSheetId="18">'[1]比较法-工业'!$B$101:$M$101</definedName>
    <definedName name="套工土地级别">'比较法-工业'!$B$101:$M$101</definedName>
    <definedName name="套工用途" localSheetId="18">'[1]比较法-工业'!$B$72:$M$72</definedName>
    <definedName name="套工用途">'比较法-工业'!$B$72:$M$72</definedName>
    <definedName name="套工宗地形状" localSheetId="18">'[1]比较法-工业'!$B$112:$M$112</definedName>
    <definedName name="套工宗地形状">'比较法-工业'!$B$112:$M$112</definedName>
    <definedName name="套综道路等级" localSheetId="18">'[1]比较法-商业土地'!$B$108:$M$108</definedName>
    <definedName name="套综道路等级">'比较法-住宅、综合'!$B$108:$M$108</definedName>
    <definedName name="套综工程地质条件" localSheetId="18">'[1]比较法-商业土地'!$B$127:$M$127</definedName>
    <definedName name="套综工程地质条件">'比较法-住宅、综合'!$B$127:$M$127</definedName>
    <definedName name="套综交易情况" localSheetId="18">'[1]比较法-商业土地'!$A$75:$M$75</definedName>
    <definedName name="套综交易情况">'比较法-住宅、综合'!$A$75:$M$75</definedName>
    <definedName name="套综临街宽度及深度" localSheetId="18">'[1]比较法-商业土地'!$B$123:$M$123</definedName>
    <definedName name="套综临街宽度及深度">'比较法-住宅、综合'!$B$123:$M$123</definedName>
    <definedName name="套综土地级别" localSheetId="18">'[1]比较法-商业土地'!$B$110:$M$110</definedName>
    <definedName name="套综土地级别">'比较法-住宅、综合'!$B$110:$M$110</definedName>
    <definedName name="套综用途" localSheetId="18">'[1]比较法-商业土地'!$B$77:$M$77</definedName>
    <definedName name="套综用途">'比较法-住宅、综合'!$B$77:$M$77</definedName>
    <definedName name="套综宗地内开发程度" localSheetId="18">'[1]比较法-商业土地'!$B$125:$M$125</definedName>
    <definedName name="套综宗地内开发程度">'比较法-住宅、综合'!$B$125:$M$125</definedName>
    <definedName name="套综宗地形状" localSheetId="18">'[1]比较法-商业土地'!$B$121:$M$121</definedName>
    <definedName name="套综宗地形状">'比较法-住宅、综合'!$B$121:$M$121</definedName>
    <definedName name="土地估价师" localSheetId="18">[1]估价师及机构信息!$D$3:$D$16</definedName>
    <definedName name="土地估价师">估价师及机构信息!$D$3:$D$16</definedName>
    <definedName name="土地级别" localSheetId="18">[1]定义!$C$1:$C$14</definedName>
    <definedName name="土地级别">定义!$C$1:$C$14</definedName>
    <definedName name="土地利用方向">定义!$P$1:$P$6</definedName>
    <definedName name="土地年限区间" localSheetId="18">[1]定义!$I$1:$I$8</definedName>
    <definedName name="土地年限区间">定义!$I$1:$I$8</definedName>
    <definedName name="位置" localSheetId="18">[1]定义!$E$2:$E$4</definedName>
    <definedName name="位置">定义!$E$2:$E$4</definedName>
    <definedName name="五等判定" localSheetId="18">[1]定义!$W$1:$W$6</definedName>
    <definedName name="五等判定">定义!$W$1:$W$6</definedName>
    <definedName name="五级">区片价!$M$1:$M$35</definedName>
    <definedName name="项目类型" localSheetId="18">'[1]数据-汇总表'!$C$17:$C$26</definedName>
    <definedName name="项目类型">'数据-汇总表'!$C$17:$C$26</definedName>
    <definedName name="写字楼等级" localSheetId="18">'[1]不动产比较法-办公'!$B$113:$M$113</definedName>
    <definedName name="写字楼等级">'不动产比较法-办公'!$B$113:$M$113</definedName>
    <definedName name="一级">区片价!$I$1:$I$6</definedName>
    <definedName name="一修多修正项2" localSheetId="18">[1]典型户型修正!$5:$5</definedName>
    <definedName name="一修多修正项2">典型户型修正!$5:$5</definedName>
    <definedName name="一修多修正项3" localSheetId="18">[1]典型户型修正!$7:$7</definedName>
    <definedName name="一修多修正项3">典型户型修正!$7:$7</definedName>
    <definedName name="一修多修正项4" localSheetId="18">[1]典型户型修正!$9:$9</definedName>
    <definedName name="一修多修正项4">典型户型修正!$9:$9</definedName>
    <definedName name="一修多修正项5" localSheetId="18">[1]典型户型修正!$11:$11</definedName>
    <definedName name="一修多修正项5">典型户型修正!$11:$11</definedName>
    <definedName name="一修多修正项6" localSheetId="18">[1]典型户型修正!$13:$13</definedName>
    <definedName name="一修多修正项6">典型户型修正!$13:$13</definedName>
    <definedName name="一修多修正项7" localSheetId="18">[1]典型户型修正!$15:$15</definedName>
    <definedName name="一修多修正项7">典型户型修正!$15:$15</definedName>
    <definedName name="一修多修正项8" localSheetId="18">[1]典型户型修正!$17:$17</definedName>
    <definedName name="一修多修正项8">典型户型修正!$17:$17</definedName>
    <definedName name="用途类型" localSheetId="18">[1]定义!$A$1:$A$50</definedName>
    <definedName name="用途类型">定义!$A$1:$A$50</definedName>
    <definedName name="有无电梯" localSheetId="18">'[1]不动产比较法-仓储'!$B$84:$M$84</definedName>
    <definedName name="有无电梯">'不动产比较法-仓储'!$B$84:$M$84</definedName>
    <definedName name="主用途" localSheetId="18">[1]定义!$F$1:$F$10</definedName>
    <definedName name="主用途">定义!$F$1:$F$10</definedName>
    <definedName name="住宅朝向" localSheetId="18">'[1]不动产比较法-住宅'!$B$88:$M$88</definedName>
    <definedName name="住宅朝向">'不动产比较法-住宅'!$B$88:$M$88</definedName>
    <definedName name="住宅房型" localSheetId="18">'[1]不动产比较法-住宅'!$B$118:$M$118</definedName>
    <definedName name="住宅房型">'不动产比较法-住宅'!$B$118:$M$118</definedName>
    <definedName name="住宅公共部分装修" localSheetId="18">'[1]不动产比较法-住宅'!$B$109:$M$109</definedName>
    <definedName name="住宅公共部分装修">'不动产比较法-住宅'!$B$109:$M$109</definedName>
    <definedName name="住宅基础设施水平" localSheetId="18">'[1]不动产比较法-住宅'!$B$116:$M$116</definedName>
    <definedName name="住宅基础设施水平">'不动产比较法-住宅'!$B$116:$M$116</definedName>
    <definedName name="住宅建筑结构" localSheetId="18">'[1]不动产比较法-住宅'!$B$105:$M$105</definedName>
    <definedName name="住宅建筑结构">'不动产比较法-住宅'!$B$105:$M$105</definedName>
    <definedName name="住宅建筑类型" localSheetId="18">'[1]不动产比较法-住宅'!$B$100:$M$100</definedName>
    <definedName name="住宅建筑类型">'不动产比较法-住宅'!$B$100:$M$100</definedName>
    <definedName name="住宅建筑品质" localSheetId="18">'[1]不动产比较法-住宅'!$B$107:$M$107</definedName>
    <definedName name="住宅建筑品质">'不动产比较法-住宅'!$B$107:$M$107</definedName>
    <definedName name="住宅交易情况" localSheetId="18">'[1]不动产比较法-住宅'!$A$61:$M$61</definedName>
    <definedName name="住宅交易情况">'不动产比较法-住宅'!$A$61:$M$61</definedName>
    <definedName name="住宅楼层" localSheetId="18">'[1]不动产比较法-住宅'!$B$86:$M$86</definedName>
    <definedName name="住宅楼层">'不动产比较法-住宅'!$B$86:$M$86</definedName>
    <definedName name="住宅内部装修" localSheetId="18">'[1]不动产比较法-住宅'!$B$122:$M$122</definedName>
    <definedName name="住宅内部装修">'不动产比较法-住宅'!$B$122:$M$122</definedName>
    <definedName name="住宅物业管理" localSheetId="18">'[1]不动产比较法-住宅'!$B$114:$M$114</definedName>
    <definedName name="住宅物业管理">'不动产比较法-住宅'!$B$114:$M$114</definedName>
    <definedName name="住宅用途" localSheetId="18">'[1]不动产比较法-住宅'!$B$63:$M$63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6" i="74" l="1"/>
  <c r="I12" i="71" l="1"/>
  <c r="H12" i="71"/>
  <c r="G12" i="71"/>
  <c r="P62" i="74"/>
  <c r="O62" i="74"/>
  <c r="G40" i="71"/>
  <c r="N51" i="74" l="1"/>
  <c r="O36" i="74"/>
  <c r="F12" i="71"/>
  <c r="F2" i="71" l="1"/>
  <c r="D17" i="9"/>
  <c r="J38" i="74"/>
  <c r="C38" i="74"/>
  <c r="K38" i="74" s="1"/>
  <c r="E69" i="74"/>
  <c r="F69" i="74" s="1"/>
  <c r="B68" i="74"/>
  <c r="B61" i="74"/>
  <c r="E65" i="74"/>
  <c r="F65" i="74" s="1"/>
  <c r="E63" i="74"/>
  <c r="F63" i="74" s="1"/>
  <c r="C61" i="74"/>
  <c r="D32" i="74"/>
  <c r="D31" i="74"/>
  <c r="D30" i="74"/>
  <c r="C29" i="74"/>
  <c r="G26" i="74"/>
  <c r="H24" i="74"/>
  <c r="G21" i="74"/>
  <c r="H18" i="74"/>
  <c r="M61" i="74" s="1"/>
  <c r="G15" i="74"/>
  <c r="H15" i="74"/>
  <c r="C32" i="74"/>
  <c r="C30" i="74"/>
  <c r="C8" i="74"/>
  <c r="C5" i="74"/>
  <c r="D3" i="74"/>
  <c r="H2" i="74"/>
  <c r="C2" i="74"/>
  <c r="C59" i="74" l="1"/>
  <c r="C68" i="74"/>
  <c r="F67" i="74"/>
  <c r="C70" i="74"/>
  <c r="C71" i="74" s="1"/>
  <c r="M72" i="74"/>
  <c r="M62" i="74"/>
  <c r="M73" i="74" s="1"/>
  <c r="N85" i="74" s="1"/>
  <c r="M63" i="74" l="1"/>
  <c r="N84" i="74"/>
  <c r="N86" i="74" s="1"/>
  <c r="M74" i="74"/>
  <c r="G24" i="74" l="1"/>
  <c r="H21" i="74"/>
  <c r="C27" i="74" l="1"/>
  <c r="C7" i="74" l="1"/>
  <c r="E5" i="74" l="1"/>
  <c r="F5" i="74" s="1"/>
  <c r="C31" i="74"/>
  <c r="E30" i="74" s="1"/>
  <c r="F30" i="74" s="1"/>
  <c r="C28" i="74" l="1"/>
  <c r="E27" i="74" s="1"/>
  <c r="F27" i="74" s="1"/>
  <c r="G36" i="74"/>
  <c r="G37" i="74"/>
  <c r="G40" i="74"/>
  <c r="K58" i="74"/>
  <c r="K81" i="74" l="1"/>
  <c r="K69" i="74"/>
  <c r="G38" i="74"/>
  <c r="G25" i="74"/>
  <c r="G35" i="74" s="1"/>
  <c r="I24" i="74" l="1"/>
  <c r="N62" i="74" s="1"/>
  <c r="K62" i="74"/>
  <c r="C3" i="74" l="1"/>
  <c r="E68" i="74"/>
  <c r="F68" i="74" s="1"/>
  <c r="J24" i="74"/>
  <c r="M85" i="74"/>
  <c r="G42" i="74"/>
  <c r="K73" i="74"/>
  <c r="N73" i="74" s="1"/>
  <c r="O85" i="74" s="1"/>
  <c r="E2" i="74" l="1"/>
  <c r="F2" i="74" l="1"/>
  <c r="I2" i="74"/>
  <c r="K61" i="74"/>
  <c r="I18" i="74"/>
  <c r="N61" i="74" s="1"/>
  <c r="N63" i="74" s="1"/>
  <c r="M84" i="74" l="1"/>
  <c r="G41" i="74"/>
  <c r="K72" i="74"/>
  <c r="N72" i="74" s="1"/>
  <c r="E61" i="74"/>
  <c r="F61" i="74" s="1"/>
  <c r="F70" i="74" s="1"/>
  <c r="J18" i="74"/>
  <c r="N74" i="74" l="1"/>
  <c r="O84" i="74"/>
  <c r="O86" i="74" s="1"/>
  <c r="H40" i="71" l="1"/>
  <c r="G38" i="71"/>
  <c r="T6" i="70"/>
  <c r="F113" i="73" l="1"/>
  <c r="I108" i="73"/>
  <c r="G108" i="73"/>
  <c r="J100" i="73"/>
  <c r="I100" i="73"/>
  <c r="G100" i="73"/>
  <c r="N99" i="73"/>
  <c r="N108" i="73" s="1"/>
  <c r="M99" i="73"/>
  <c r="M108" i="73" s="1"/>
  <c r="L99" i="73"/>
  <c r="L108" i="73" s="1"/>
  <c r="K99" i="73"/>
  <c r="J99" i="73"/>
  <c r="J108" i="73" s="1"/>
  <c r="I99" i="73"/>
  <c r="H99" i="73"/>
  <c r="H108" i="73" s="1"/>
  <c r="G99" i="73"/>
  <c r="F99" i="73"/>
  <c r="F108" i="73" s="1"/>
  <c r="E99" i="73"/>
  <c r="E108" i="73" s="1"/>
  <c r="D99" i="73"/>
  <c r="D108" i="73" s="1"/>
  <c r="C99" i="73"/>
  <c r="M87" i="73"/>
  <c r="N87" i="73" s="1"/>
  <c r="K87" i="73"/>
  <c r="J87" i="73" s="1"/>
  <c r="D87" i="73"/>
  <c r="B87" i="73"/>
  <c r="N86" i="73"/>
  <c r="M86" i="73"/>
  <c r="K86" i="73"/>
  <c r="J86" i="73" s="1"/>
  <c r="D86" i="73"/>
  <c r="N85" i="73"/>
  <c r="M85" i="73"/>
  <c r="K85" i="73"/>
  <c r="J85" i="73" s="1"/>
  <c r="D85" i="73"/>
  <c r="B85" i="73"/>
  <c r="M84" i="73"/>
  <c r="N84" i="73" s="1"/>
  <c r="K84" i="73"/>
  <c r="J84" i="73"/>
  <c r="H84" i="73"/>
  <c r="D84" i="73"/>
  <c r="B84" i="73"/>
  <c r="M83" i="73"/>
  <c r="N83" i="73" s="1"/>
  <c r="K83" i="73"/>
  <c r="J83" i="73" s="1"/>
  <c r="H83" i="73"/>
  <c r="D83" i="73"/>
  <c r="B83" i="73"/>
  <c r="N82" i="73"/>
  <c r="M82" i="73"/>
  <c r="K82" i="73"/>
  <c r="J82" i="73"/>
  <c r="D82" i="73"/>
  <c r="B82" i="73"/>
  <c r="N81" i="73"/>
  <c r="M81" i="73"/>
  <c r="K81" i="73"/>
  <c r="J81" i="73"/>
  <c r="D81" i="73"/>
  <c r="B81" i="73"/>
  <c r="N80" i="73"/>
  <c r="M80" i="73"/>
  <c r="K80" i="73"/>
  <c r="J80" i="73" s="1"/>
  <c r="F80" i="73"/>
  <c r="H85" i="73" s="1"/>
  <c r="D80" i="73"/>
  <c r="E80" i="73" s="1"/>
  <c r="B78" i="73" s="1"/>
  <c r="B80" i="73"/>
  <c r="M77" i="73"/>
  <c r="N77" i="73" s="1"/>
  <c r="K77" i="73"/>
  <c r="J77" i="73" s="1"/>
  <c r="D77" i="73"/>
  <c r="M76" i="73"/>
  <c r="N76" i="73" s="1"/>
  <c r="K76" i="73"/>
  <c r="J76" i="73" s="1"/>
  <c r="D76" i="73"/>
  <c r="N75" i="73"/>
  <c r="M75" i="73"/>
  <c r="K75" i="73"/>
  <c r="J75" i="73" s="1"/>
  <c r="D75" i="73"/>
  <c r="M74" i="73"/>
  <c r="N74" i="73" s="1"/>
  <c r="K74" i="73"/>
  <c r="J74" i="73" s="1"/>
  <c r="D74" i="73" s="1"/>
  <c r="B74" i="73"/>
  <c r="M73" i="73"/>
  <c r="N73" i="73" s="1"/>
  <c r="K73" i="73"/>
  <c r="J73" i="73"/>
  <c r="D73" i="73"/>
  <c r="M72" i="73"/>
  <c r="N72" i="73" s="1"/>
  <c r="K72" i="73"/>
  <c r="J72" i="73" s="1"/>
  <c r="D72" i="73"/>
  <c r="B72" i="73"/>
  <c r="M71" i="73"/>
  <c r="N71" i="73" s="1"/>
  <c r="K71" i="73"/>
  <c r="J71" i="73"/>
  <c r="D71" i="73"/>
  <c r="B71" i="73"/>
  <c r="M70" i="73"/>
  <c r="N70" i="73" s="1"/>
  <c r="K70" i="73"/>
  <c r="J70" i="73" s="1"/>
  <c r="D70" i="73"/>
  <c r="M69" i="73"/>
  <c r="N69" i="73" s="1"/>
  <c r="K69" i="73"/>
  <c r="J69" i="73" s="1"/>
  <c r="D69" i="73"/>
  <c r="N66" i="73"/>
  <c r="M66" i="73"/>
  <c r="K66" i="73"/>
  <c r="J66" i="73"/>
  <c r="D66" i="73"/>
  <c r="M65" i="73"/>
  <c r="N65" i="73" s="1"/>
  <c r="K65" i="73"/>
  <c r="J65" i="73"/>
  <c r="D65" i="73"/>
  <c r="B65" i="73"/>
  <c r="N64" i="73"/>
  <c r="M64" i="73"/>
  <c r="K64" i="73"/>
  <c r="J64" i="73" s="1"/>
  <c r="D64" i="73"/>
  <c r="M63" i="73"/>
  <c r="N63" i="73" s="1"/>
  <c r="K63" i="73"/>
  <c r="J63" i="73" s="1"/>
  <c r="D63" i="73"/>
  <c r="N62" i="73"/>
  <c r="M62" i="73"/>
  <c r="K62" i="73"/>
  <c r="J62" i="73"/>
  <c r="D62" i="73"/>
  <c r="B62" i="73"/>
  <c r="M61" i="73"/>
  <c r="N61" i="73" s="1"/>
  <c r="K61" i="73"/>
  <c r="J61" i="73"/>
  <c r="H61" i="73"/>
  <c r="D61" i="73"/>
  <c r="N60" i="73"/>
  <c r="M60" i="73"/>
  <c r="K60" i="73"/>
  <c r="J60" i="73"/>
  <c r="D60" i="73"/>
  <c r="B60" i="73"/>
  <c r="N59" i="73"/>
  <c r="M59" i="73"/>
  <c r="K59" i="73"/>
  <c r="J59" i="73"/>
  <c r="D59" i="73"/>
  <c r="N58" i="73"/>
  <c r="M58" i="73"/>
  <c r="K58" i="73"/>
  <c r="J58" i="73" s="1"/>
  <c r="F58" i="73"/>
  <c r="H62" i="73" s="1"/>
  <c r="D58" i="73"/>
  <c r="B58" i="73"/>
  <c r="N55" i="73"/>
  <c r="M55" i="73"/>
  <c r="K55" i="73"/>
  <c r="J55" i="73"/>
  <c r="D55" i="73"/>
  <c r="N54" i="73"/>
  <c r="M54" i="73"/>
  <c r="K54" i="73"/>
  <c r="J54" i="73"/>
  <c r="D54" i="73"/>
  <c r="B54" i="73"/>
  <c r="N53" i="73"/>
  <c r="M53" i="73"/>
  <c r="K53" i="73"/>
  <c r="J53" i="73" s="1"/>
  <c r="D53" i="73"/>
  <c r="M52" i="73"/>
  <c r="N52" i="73" s="1"/>
  <c r="K52" i="73"/>
  <c r="J52" i="73" s="1"/>
  <c r="D52" i="73"/>
  <c r="M51" i="73"/>
  <c r="N51" i="73" s="1"/>
  <c r="K51" i="73"/>
  <c r="J51" i="73" s="1"/>
  <c r="D51" i="73"/>
  <c r="B51" i="73"/>
  <c r="M50" i="73"/>
  <c r="N50" i="73" s="1"/>
  <c r="K50" i="73"/>
  <c r="J50" i="73"/>
  <c r="H50" i="73"/>
  <c r="D50" i="73"/>
  <c r="N49" i="73"/>
  <c r="M49" i="73"/>
  <c r="K49" i="73"/>
  <c r="J49" i="73"/>
  <c r="H49" i="73"/>
  <c r="D49" i="73"/>
  <c r="B49" i="73"/>
  <c r="N48" i="73"/>
  <c r="M48" i="73"/>
  <c r="K48" i="73"/>
  <c r="J48" i="73"/>
  <c r="D48" i="73"/>
  <c r="N47" i="73"/>
  <c r="M47" i="73"/>
  <c r="K47" i="73"/>
  <c r="J47" i="73" s="1"/>
  <c r="F47" i="73"/>
  <c r="H51" i="73" s="1"/>
  <c r="E47" i="73"/>
  <c r="B45" i="73" s="1"/>
  <c r="D47" i="73"/>
  <c r="B47" i="73"/>
  <c r="H39" i="73"/>
  <c r="H38" i="73"/>
  <c r="H37" i="73"/>
  <c r="H36" i="73"/>
  <c r="H35" i="73"/>
  <c r="F35" i="73"/>
  <c r="H34" i="73"/>
  <c r="H33" i="73"/>
  <c r="D29" i="73"/>
  <c r="P25" i="73"/>
  <c r="H22" i="73"/>
  <c r="M20" i="73"/>
  <c r="J20" i="73"/>
  <c r="I20" i="73"/>
  <c r="M19" i="73"/>
  <c r="I19" i="73"/>
  <c r="G19" i="73"/>
  <c r="C19" i="73" s="1"/>
  <c r="C18" i="73"/>
  <c r="I17" i="73"/>
  <c r="F15" i="73"/>
  <c r="E15" i="73"/>
  <c r="D15" i="73"/>
  <c r="C15" i="73"/>
  <c r="AI12" i="73"/>
  <c r="AE12" i="73"/>
  <c r="AD12" i="73"/>
  <c r="AC12" i="73"/>
  <c r="AC13" i="73" s="1"/>
  <c r="AA12" i="73"/>
  <c r="Y12" i="73"/>
  <c r="N12" i="73"/>
  <c r="M12" i="73"/>
  <c r="AI11" i="73"/>
  <c r="AC11" i="73"/>
  <c r="N11" i="73"/>
  <c r="M11" i="73"/>
  <c r="C11" i="73"/>
  <c r="E11" i="73" s="1"/>
  <c r="AG10" i="73"/>
  <c r="AE10" i="73"/>
  <c r="AD10" i="73"/>
  <c r="AC10" i="73"/>
  <c r="Y10" i="73"/>
  <c r="N10" i="73"/>
  <c r="M10" i="73"/>
  <c r="C10" i="73"/>
  <c r="AJ9" i="73"/>
  <c r="AJ10" i="73" s="1"/>
  <c r="AI9" i="73"/>
  <c r="AI10" i="73" s="1"/>
  <c r="AH9" i="73"/>
  <c r="AH10" i="73" s="1"/>
  <c r="AG9" i="73"/>
  <c r="AG12" i="73" s="1"/>
  <c r="AF9" i="73"/>
  <c r="AF12" i="73" s="1"/>
  <c r="AE9" i="73"/>
  <c r="AD9" i="73"/>
  <c r="AC9" i="73"/>
  <c r="AB9" i="73"/>
  <c r="AB10" i="73" s="1"/>
  <c r="AA9" i="73"/>
  <c r="AA10" i="73" s="1"/>
  <c r="Z9" i="73"/>
  <c r="Z12" i="73" s="1"/>
  <c r="N9" i="73"/>
  <c r="C9" i="73"/>
  <c r="N8" i="73"/>
  <c r="M8" i="73"/>
  <c r="S7" i="73"/>
  <c r="N7" i="73"/>
  <c r="M7" i="73"/>
  <c r="C7" i="73"/>
  <c r="A7" i="73"/>
  <c r="N6" i="73"/>
  <c r="M6" i="73"/>
  <c r="N5" i="73"/>
  <c r="M5" i="73"/>
  <c r="M4" i="73"/>
  <c r="G3" i="73"/>
  <c r="F22" i="73" s="1"/>
  <c r="N2" i="73"/>
  <c r="I2" i="73"/>
  <c r="M9" i="73" s="1"/>
  <c r="G2" i="73"/>
  <c r="C17" i="73" s="1"/>
  <c r="N1" i="73"/>
  <c r="M1" i="73"/>
  <c r="D1" i="73"/>
  <c r="C12" i="73" l="1"/>
  <c r="S2" i="73"/>
  <c r="Z10" i="73"/>
  <c r="AD11" i="73"/>
  <c r="AD13" i="73" s="1"/>
  <c r="AH12" i="73"/>
  <c r="J17" i="73"/>
  <c r="J22" i="73"/>
  <c r="AE11" i="73"/>
  <c r="AE13" i="73" s="1"/>
  <c r="AI13" i="73"/>
  <c r="K17" i="73"/>
  <c r="P22" i="73"/>
  <c r="F39" i="73"/>
  <c r="E58" i="73"/>
  <c r="B56" i="73" s="1"/>
  <c r="C101" i="73"/>
  <c r="AF11" i="73"/>
  <c r="AF13" i="73" s="1"/>
  <c r="AJ12" i="73"/>
  <c r="AJ13" i="73" s="1"/>
  <c r="L17" i="73"/>
  <c r="P24" i="73"/>
  <c r="E69" i="73"/>
  <c r="B67" i="73" s="1"/>
  <c r="C24" i="73" s="1"/>
  <c r="C108" i="73"/>
  <c r="C109" i="73" s="1"/>
  <c r="C100" i="73"/>
  <c r="K108" i="73"/>
  <c r="K100" i="73"/>
  <c r="K101" i="73"/>
  <c r="D109" i="73"/>
  <c r="L109" i="73"/>
  <c r="E10" i="73"/>
  <c r="E9" i="73"/>
  <c r="AF10" i="73"/>
  <c r="AJ11" i="73"/>
  <c r="AB12" i="73"/>
  <c r="E109" i="73"/>
  <c r="M109" i="73"/>
  <c r="P21" i="73"/>
  <c r="O19" i="73"/>
  <c r="P23" i="73"/>
  <c r="N109" i="73"/>
  <c r="I109" i="73"/>
  <c r="J101" i="73"/>
  <c r="J109" i="73" s="1"/>
  <c r="I101" i="73"/>
  <c r="H101" i="73"/>
  <c r="H109" i="73" s="1"/>
  <c r="B113" i="73"/>
  <c r="G101" i="73"/>
  <c r="E22" i="73"/>
  <c r="AH11" i="73"/>
  <c r="Z11" i="73"/>
  <c r="Z13" i="73" s="1"/>
  <c r="Z7" i="73"/>
  <c r="S4" i="73"/>
  <c r="AG11" i="73"/>
  <c r="S5" i="73"/>
  <c r="C23" i="73"/>
  <c r="N101" i="73"/>
  <c r="F101" i="73"/>
  <c r="F109" i="73" s="1"/>
  <c r="Y11" i="73"/>
  <c r="Y13" i="73" s="1"/>
  <c r="M101" i="73"/>
  <c r="E101" i="73"/>
  <c r="L101" i="73"/>
  <c r="D101" i="73"/>
  <c r="H113" i="73"/>
  <c r="F37" i="73"/>
  <c r="F33" i="73"/>
  <c r="O17" i="73"/>
  <c r="X7" i="73"/>
  <c r="F38" i="73"/>
  <c r="F34" i="73"/>
  <c r="M17" i="73"/>
  <c r="D17" i="73"/>
  <c r="N17" i="73"/>
  <c r="E17" i="73"/>
  <c r="F69" i="73"/>
  <c r="S3" i="73"/>
  <c r="S6" i="73"/>
  <c r="AA11" i="73"/>
  <c r="AA13" i="73" s="1"/>
  <c r="E8" i="73"/>
  <c r="AG13" i="73"/>
  <c r="AB11" i="73"/>
  <c r="H17" i="73"/>
  <c r="G17" i="73" s="1"/>
  <c r="C16" i="73" s="1"/>
  <c r="D5" i="73" s="1"/>
  <c r="G22" i="73"/>
  <c r="F36" i="73"/>
  <c r="H55" i="73"/>
  <c r="H60" i="73"/>
  <c r="H66" i="73"/>
  <c r="H82" i="73"/>
  <c r="H100" i="73"/>
  <c r="H54" i="73"/>
  <c r="H59" i="73"/>
  <c r="H65" i="73"/>
  <c r="H81" i="73"/>
  <c r="H47" i="73"/>
  <c r="H64" i="73"/>
  <c r="H80" i="73"/>
  <c r="H87" i="73"/>
  <c r="H48" i="73"/>
  <c r="M3" i="73"/>
  <c r="N4" i="73"/>
  <c r="H53" i="73"/>
  <c r="H58" i="73"/>
  <c r="M2" i="73"/>
  <c r="N3" i="73"/>
  <c r="H52" i="73"/>
  <c r="H63" i="73"/>
  <c r="H86" i="73"/>
  <c r="D100" i="73"/>
  <c r="L100" i="73"/>
  <c r="E100" i="73"/>
  <c r="M100" i="73"/>
  <c r="F100" i="73"/>
  <c r="N100" i="73"/>
  <c r="F19" i="6"/>
  <c r="N106" i="73" l="1"/>
  <c r="N104" i="73"/>
  <c r="N102" i="73"/>
  <c r="N107" i="73"/>
  <c r="N105" i="73"/>
  <c r="N103" i="73"/>
  <c r="D22" i="73"/>
  <c r="C21" i="73" s="1"/>
  <c r="K106" i="73"/>
  <c r="K104" i="73"/>
  <c r="K102" i="73"/>
  <c r="K103" i="73"/>
  <c r="K107" i="73"/>
  <c r="K105" i="73"/>
  <c r="G107" i="73"/>
  <c r="G105" i="73"/>
  <c r="G103" i="73"/>
  <c r="G104" i="73"/>
  <c r="G102" i="73"/>
  <c r="G106" i="73"/>
  <c r="AB13" i="73"/>
  <c r="D106" i="73"/>
  <c r="D104" i="73"/>
  <c r="D102" i="73"/>
  <c r="D107" i="73"/>
  <c r="D105" i="73"/>
  <c r="D103" i="73"/>
  <c r="I117" i="73"/>
  <c r="J117" i="73" s="1"/>
  <c r="K117" i="73" s="1"/>
  <c r="L117" i="73" s="1"/>
  <c r="M117" i="73" s="1"/>
  <c r="I115" i="73"/>
  <c r="J115" i="73" s="1"/>
  <c r="K115" i="73" s="1"/>
  <c r="L115" i="73" s="1"/>
  <c r="M115" i="73" s="1"/>
  <c r="D118" i="73"/>
  <c r="E118" i="73" s="1"/>
  <c r="F118" i="73" s="1"/>
  <c r="D116" i="73"/>
  <c r="E116" i="73" s="1"/>
  <c r="F116" i="73" s="1"/>
  <c r="G116" i="73" s="1"/>
  <c r="H116" i="73" s="1"/>
  <c r="B118" i="73"/>
  <c r="C118" i="73" s="1"/>
  <c r="B116" i="73"/>
  <c r="C116" i="73" s="1"/>
  <c r="I118" i="73"/>
  <c r="J118" i="73" s="1"/>
  <c r="K118" i="73" s="1"/>
  <c r="L118" i="73" s="1"/>
  <c r="M118" i="73" s="1"/>
  <c r="I116" i="73"/>
  <c r="J116" i="73" s="1"/>
  <c r="K116" i="73" s="1"/>
  <c r="L116" i="73" s="1"/>
  <c r="M116" i="73" s="1"/>
  <c r="D117" i="73"/>
  <c r="E117" i="73" s="1"/>
  <c r="F117" i="73" s="1"/>
  <c r="G117" i="73" s="1"/>
  <c r="H117" i="73" s="1"/>
  <c r="D115" i="73"/>
  <c r="E115" i="73" s="1"/>
  <c r="F115" i="73" s="1"/>
  <c r="G115" i="73" s="1"/>
  <c r="H115" i="73" s="1"/>
  <c r="G118" i="73"/>
  <c r="H118" i="73" s="1"/>
  <c r="B117" i="73"/>
  <c r="C117" i="73" s="1"/>
  <c r="B115" i="73"/>
  <c r="C115" i="73" s="1"/>
  <c r="K109" i="73"/>
  <c r="C106" i="73"/>
  <c r="C104" i="73"/>
  <c r="C102" i="73"/>
  <c r="C103" i="73"/>
  <c r="C107" i="73"/>
  <c r="C105" i="73"/>
  <c r="L106" i="73"/>
  <c r="L104" i="73"/>
  <c r="L102" i="73"/>
  <c r="L107" i="73"/>
  <c r="L105" i="73"/>
  <c r="L103" i="73"/>
  <c r="H107" i="73"/>
  <c r="H105" i="73"/>
  <c r="H103" i="73"/>
  <c r="H106" i="73"/>
  <c r="H104" i="73"/>
  <c r="H102" i="73"/>
  <c r="F106" i="73"/>
  <c r="F104" i="73"/>
  <c r="F102" i="73"/>
  <c r="F107" i="73"/>
  <c r="F105" i="73"/>
  <c r="F103" i="73"/>
  <c r="E106" i="73"/>
  <c r="E104" i="73"/>
  <c r="E102" i="73"/>
  <c r="E107" i="73"/>
  <c r="E105" i="73"/>
  <c r="E103" i="73"/>
  <c r="I107" i="73"/>
  <c r="I105" i="73"/>
  <c r="I103" i="73"/>
  <c r="I106" i="73"/>
  <c r="I104" i="73"/>
  <c r="I102" i="73"/>
  <c r="M106" i="73"/>
  <c r="M104" i="73"/>
  <c r="M102" i="73"/>
  <c r="M107" i="73"/>
  <c r="M105" i="73"/>
  <c r="M103" i="73"/>
  <c r="J107" i="73"/>
  <c r="J105" i="73"/>
  <c r="J103" i="73"/>
  <c r="J106" i="73"/>
  <c r="J104" i="73"/>
  <c r="J102" i="73"/>
  <c r="G109" i="73"/>
  <c r="AH13" i="73"/>
  <c r="C5" i="73"/>
  <c r="H74" i="73"/>
  <c r="H75" i="73"/>
  <c r="H76" i="73"/>
  <c r="H69" i="73"/>
  <c r="H70" i="73"/>
  <c r="H77" i="73"/>
  <c r="H71" i="73"/>
  <c r="H72" i="73"/>
  <c r="H73" i="73"/>
  <c r="C33" i="21"/>
  <c r="D29" i="46"/>
  <c r="M35" i="71"/>
  <c r="H35" i="71"/>
  <c r="H34" i="71"/>
  <c r="D24" i="71"/>
  <c r="C24" i="71"/>
  <c r="D18" i="71"/>
  <c r="D19" i="71" s="1"/>
  <c r="C18" i="71"/>
  <c r="C19" i="71" s="1"/>
  <c r="B17" i="71"/>
  <c r="D15" i="71"/>
  <c r="C15" i="71"/>
  <c r="D14" i="71"/>
  <c r="C14" i="71"/>
  <c r="F35" i="71"/>
  <c r="F33" i="71"/>
  <c r="F34" i="71"/>
  <c r="F31" i="71"/>
  <c r="F29" i="71"/>
  <c r="F30" i="71"/>
  <c r="R9" i="70"/>
  <c r="R8" i="70"/>
  <c r="R11" i="70" s="1"/>
  <c r="R7" i="70"/>
  <c r="R6" i="70"/>
  <c r="R5" i="70"/>
  <c r="R3" i="70"/>
  <c r="C3" i="65"/>
  <c r="C1" i="65"/>
  <c r="N1" i="65"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R276" i="31"/>
  <c r="S276" i="31" s="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R272" i="31"/>
  <c r="S272" i="31" s="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R264" i="31"/>
  <c r="S264" i="31" s="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R248" i="31"/>
  <c r="S248" i="31" s="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S22" i="31" s="1"/>
  <c r="R22" i="31" s="1"/>
  <c r="B21" i="31" s="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A21" i="31"/>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95" i="36"/>
  <c r="B93" i="36"/>
  <c r="F33" i="36" s="1"/>
  <c r="AA33" i="36" s="1"/>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B73" i="36"/>
  <c r="B71" i="36"/>
  <c r="D70" i="36"/>
  <c r="E68" i="36"/>
  <c r="F68" i="36" s="1"/>
  <c r="G68" i="36" s="1"/>
  <c r="D68" i="36"/>
  <c r="E66" i="36"/>
  <c r="F66" i="36" s="1"/>
  <c r="G66" i="36" s="1"/>
  <c r="D66" i="36"/>
  <c r="E64" i="36"/>
  <c r="F64" i="36" s="1"/>
  <c r="G64" i="36" s="1"/>
  <c r="D64" i="36"/>
  <c r="E62" i="36"/>
  <c r="F62" i="36" s="1"/>
  <c r="G62" i="36" s="1"/>
  <c r="D62" i="36"/>
  <c r="B59" i="36"/>
  <c r="B57" i="36"/>
  <c r="B55" i="36"/>
  <c r="F54" i="36"/>
  <c r="G54" i="36" s="1"/>
  <c r="H54" i="36" s="1"/>
  <c r="I54" i="36" s="1"/>
  <c r="C51" i="36"/>
  <c r="F9" i="36" s="1"/>
  <c r="AA9" i="36" s="1"/>
  <c r="I42" i="36"/>
  <c r="J42" i="36" s="1"/>
  <c r="G42" i="36"/>
  <c r="H42" i="36" s="1"/>
  <c r="E42" i="36"/>
  <c r="F42" i="36" s="1"/>
  <c r="P37" i="36"/>
  <c r="P36" i="36"/>
  <c r="K36" i="36"/>
  <c r="V35" i="36"/>
  <c r="T35" i="36"/>
  <c r="R35" i="36"/>
  <c r="P35" i="36"/>
  <c r="Q34" i="36"/>
  <c r="Z34" i="36" s="1"/>
  <c r="F34" i="36"/>
  <c r="AA34" i="36" s="1"/>
  <c r="Q33" i="36"/>
  <c r="Z33" i="36" s="1"/>
  <c r="J33" i="36"/>
  <c r="AC33" i="36" s="1"/>
  <c r="H33" i="36"/>
  <c r="AB33" i="36" s="1"/>
  <c r="Q32" i="36"/>
  <c r="Z32" i="36" s="1"/>
  <c r="J32" i="36"/>
  <c r="AC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Q24" i="36"/>
  <c r="Z24" i="36" s="1"/>
  <c r="J24" i="36"/>
  <c r="AC24" i="36" s="1"/>
  <c r="H24" i="36"/>
  <c r="AB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H11" i="36"/>
  <c r="AB11" i="36" s="1"/>
  <c r="Q10" i="36"/>
  <c r="Z10" i="36" s="1"/>
  <c r="J10" i="36"/>
  <c r="AC10" i="36" s="1"/>
  <c r="H10" i="36"/>
  <c r="AB10" i="36" s="1"/>
  <c r="F10" i="36"/>
  <c r="AA10" i="36" s="1"/>
  <c r="Q9" i="36"/>
  <c r="Z9" i="36" s="1"/>
  <c r="J9" i="36"/>
  <c r="AC9" i="36" s="1"/>
  <c r="H9" i="36"/>
  <c r="AB9" i="36" s="1"/>
  <c r="S8" i="36"/>
  <c r="J8" i="36"/>
  <c r="H8" i="36"/>
  <c r="AB8" i="36" s="1"/>
  <c r="F8" i="36"/>
  <c r="AA8" i="36" s="1"/>
  <c r="D3" i="36"/>
  <c r="B101" i="35"/>
  <c r="J36" i="35" s="1"/>
  <c r="AC36" i="35" s="1"/>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B77" i="35"/>
  <c r="F25" i="35" s="1"/>
  <c r="AA25" i="35" s="1"/>
  <c r="B75" i="35"/>
  <c r="B73" i="35"/>
  <c r="F23" i="35" s="1"/>
  <c r="AA23" i="35" s="1"/>
  <c r="D72" i="35"/>
  <c r="E72" i="35" s="1"/>
  <c r="F72" i="35" s="1"/>
  <c r="G72" i="35" s="1"/>
  <c r="D70" i="35"/>
  <c r="E70" i="35" s="1"/>
  <c r="F70" i="35" s="1"/>
  <c r="G70" i="35" s="1"/>
  <c r="E68" i="35"/>
  <c r="F68" i="35" s="1"/>
  <c r="G68" i="35" s="1"/>
  <c r="D68" i="35"/>
  <c r="D66" i="35"/>
  <c r="E66" i="35" s="1"/>
  <c r="F66" i="35" s="1"/>
  <c r="G66" i="35" s="1"/>
  <c r="D64" i="35"/>
  <c r="E64" i="35" s="1"/>
  <c r="F64" i="35" s="1"/>
  <c r="G64" i="35" s="1"/>
  <c r="B61" i="35"/>
  <c r="B59" i="35"/>
  <c r="F12" i="35" s="1"/>
  <c r="AA12" i="35" s="1"/>
  <c r="B57" i="35"/>
  <c r="F11" i="35" s="1"/>
  <c r="AA11" i="35" s="1"/>
  <c r="F56" i="35"/>
  <c r="G56" i="35" s="1"/>
  <c r="H56" i="35" s="1"/>
  <c r="I56" i="35" s="1"/>
  <c r="C53" i="35"/>
  <c r="I44" i="35"/>
  <c r="J44" i="35" s="1"/>
  <c r="G44" i="35"/>
  <c r="H44" i="35" s="1"/>
  <c r="E44" i="35"/>
  <c r="F44" i="35" s="1"/>
  <c r="P39" i="35"/>
  <c r="P38" i="35"/>
  <c r="K38" i="35"/>
  <c r="V37" i="35"/>
  <c r="T37" i="35"/>
  <c r="R37" i="35"/>
  <c r="P37" i="35"/>
  <c r="Q36" i="35"/>
  <c r="Z36" i="35" s="1"/>
  <c r="H36" i="35"/>
  <c r="AB36" i="35" s="1"/>
  <c r="F36" i="35"/>
  <c r="AA36" i="35" s="1"/>
  <c r="Q35" i="35"/>
  <c r="Z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Q24" i="35"/>
  <c r="Z24" i="35" s="1"/>
  <c r="J24" i="35"/>
  <c r="AC24" i="35" s="1"/>
  <c r="H24" i="35"/>
  <c r="AB24" i="35" s="1"/>
  <c r="F24" i="35"/>
  <c r="AA24" i="35" s="1"/>
  <c r="Q23" i="35"/>
  <c r="Z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Q11" i="35"/>
  <c r="Z11" i="35" s="1"/>
  <c r="J11" i="35"/>
  <c r="AC11" i="35" s="1"/>
  <c r="H11" i="35"/>
  <c r="AB11" i="35" s="1"/>
  <c r="Q10" i="35"/>
  <c r="Z10" i="35" s="1"/>
  <c r="J10" i="35"/>
  <c r="AC10" i="35" s="1"/>
  <c r="H10" i="35"/>
  <c r="AB10" i="35" s="1"/>
  <c r="F10" i="35"/>
  <c r="AA10" i="35" s="1"/>
  <c r="Q9" i="35"/>
  <c r="Z9" i="35" s="1"/>
  <c r="J9" i="35"/>
  <c r="AC9" i="35" s="1"/>
  <c r="H9" i="35"/>
  <c r="AB9" i="35" s="1"/>
  <c r="F9" i="35"/>
  <c r="AA9" i="35" s="1"/>
  <c r="S8" i="35"/>
  <c r="J8" i="35"/>
  <c r="H8" i="35"/>
  <c r="U8" i="35" s="1"/>
  <c r="F8" i="35"/>
  <c r="AA8" i="35" s="1"/>
  <c r="D3" i="35"/>
  <c r="B112" i="37"/>
  <c r="J40" i="37" s="1"/>
  <c r="AC40" i="37" s="1"/>
  <c r="B110" i="37"/>
  <c r="B108" i="37"/>
  <c r="D107" i="37"/>
  <c r="E107" i="37" s="1"/>
  <c r="F107" i="37" s="1"/>
  <c r="G107" i="37" s="1"/>
  <c r="H107" i="37" s="1"/>
  <c r="I107" i="37" s="1"/>
  <c r="J107" i="37" s="1"/>
  <c r="K107" i="37" s="1"/>
  <c r="L107" i="37" s="1"/>
  <c r="M107" i="37" s="1"/>
  <c r="D105" i="37"/>
  <c r="E105" i="37" s="1"/>
  <c r="F105" i="37" s="1"/>
  <c r="G105" i="37" s="1"/>
  <c r="F103" i="37"/>
  <c r="G103" i="37" s="1"/>
  <c r="H103" i="37" s="1"/>
  <c r="I103" i="37" s="1"/>
  <c r="J103" i="37" s="1"/>
  <c r="K103" i="37" s="1"/>
  <c r="L103" i="37" s="1"/>
  <c r="M103" i="37" s="1"/>
  <c r="D103" i="37"/>
  <c r="E103" i="37" s="1"/>
  <c r="D101" i="37"/>
  <c r="E101" i="37" s="1"/>
  <c r="F101" i="37" s="1"/>
  <c r="G101" i="37" s="1"/>
  <c r="H101" i="37" s="1"/>
  <c r="I101" i="37" s="1"/>
  <c r="J101" i="37" s="1"/>
  <c r="K101" i="37" s="1"/>
  <c r="L101" i="37" s="1"/>
  <c r="M101" i="37" s="1"/>
  <c r="F99" i="37"/>
  <c r="G99" i="37" s="1"/>
  <c r="H99" i="37" s="1"/>
  <c r="I99" i="37" s="1"/>
  <c r="J99" i="37" s="1"/>
  <c r="K99" i="37" s="1"/>
  <c r="L99" i="37" s="1"/>
  <c r="M99" i="37" s="1"/>
  <c r="D99" i="37"/>
  <c r="E99" i="37" s="1"/>
  <c r="G97" i="37"/>
  <c r="F97" i="37"/>
  <c r="E97" i="37"/>
  <c r="D97" i="37"/>
  <c r="C97" i="37"/>
  <c r="E96" i="37"/>
  <c r="F96" i="37" s="1"/>
  <c r="G96" i="37" s="1"/>
  <c r="H96" i="37" s="1"/>
  <c r="I96" i="37" s="1"/>
  <c r="J96" i="37" s="1"/>
  <c r="K96" i="37" s="1"/>
  <c r="L96" i="37" s="1"/>
  <c r="M96" i="37" s="1"/>
  <c r="D96" i="37"/>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B80" i="37"/>
  <c r="J25" i="37" s="1"/>
  <c r="AC25" i="37" s="1"/>
  <c r="E79" i="37"/>
  <c r="F79" i="37" s="1"/>
  <c r="G79" i="37" s="1"/>
  <c r="D79" i="37"/>
  <c r="D77" i="37"/>
  <c r="E77" i="37" s="1"/>
  <c r="F77" i="37" s="1"/>
  <c r="G77" i="37" s="1"/>
  <c r="E75" i="37"/>
  <c r="F75" i="37" s="1"/>
  <c r="G75" i="37" s="1"/>
  <c r="D75" i="37"/>
  <c r="D73" i="37"/>
  <c r="E73" i="37" s="1"/>
  <c r="F73" i="37" s="1"/>
  <c r="G73" i="37" s="1"/>
  <c r="E71" i="37"/>
  <c r="F71" i="37" s="1"/>
  <c r="G71" i="37" s="1"/>
  <c r="D71" i="37"/>
  <c r="B68" i="37"/>
  <c r="J14" i="37" s="1"/>
  <c r="B66" i="37"/>
  <c r="F13" i="37" s="1"/>
  <c r="AA13" i="37" s="1"/>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G60" i="37"/>
  <c r="H60" i="37" s="1"/>
  <c r="I60" i="37" s="1"/>
  <c r="F60" i="37"/>
  <c r="C57" i="37"/>
  <c r="J48" i="37"/>
  <c r="I48" i="37"/>
  <c r="G48" i="37"/>
  <c r="H48" i="37" s="1"/>
  <c r="F48" i="37"/>
  <c r="E48" i="37"/>
  <c r="P43" i="37"/>
  <c r="P42" i="37"/>
  <c r="K42" i="37"/>
  <c r="V41" i="37"/>
  <c r="T41" i="37"/>
  <c r="R41" i="37"/>
  <c r="P41" i="37"/>
  <c r="Q40" i="37"/>
  <c r="Z40" i="37" s="1"/>
  <c r="F40" i="37"/>
  <c r="AA40" i="37" s="1"/>
  <c r="Q39" i="37"/>
  <c r="Z39" i="37" s="1"/>
  <c r="J39" i="37"/>
  <c r="AC39" i="37" s="1"/>
  <c r="H39" i="37"/>
  <c r="AB39" i="37" s="1"/>
  <c r="F39" i="37"/>
  <c r="AA39" i="37" s="1"/>
  <c r="Q38" i="37"/>
  <c r="Z38" i="37" s="1"/>
  <c r="J38" i="37"/>
  <c r="AC38" i="37" s="1"/>
  <c r="H38" i="37"/>
  <c r="AB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F28" i="37"/>
  <c r="AA28" i="37" s="1"/>
  <c r="Q27" i="37"/>
  <c r="Z27" i="37" s="1"/>
  <c r="J27" i="37"/>
  <c r="AC27" i="37" s="1"/>
  <c r="H27" i="37"/>
  <c r="AB27" i="37" s="1"/>
  <c r="F27" i="37"/>
  <c r="AA27" i="37" s="1"/>
  <c r="Q26" i="37"/>
  <c r="Z26" i="37" s="1"/>
  <c r="J26" i="37"/>
  <c r="AC26" i="37" s="1"/>
  <c r="H26" i="37"/>
  <c r="AB26" i="37" s="1"/>
  <c r="F26" i="37"/>
  <c r="AA26" i="37" s="1"/>
  <c r="Q25" i="37"/>
  <c r="Z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C15" i="37"/>
  <c r="AC14" i="37"/>
  <c r="W14" i="37"/>
  <c r="Q14" i="37"/>
  <c r="Z14" i="37" s="1"/>
  <c r="H14" i="37"/>
  <c r="AB14" i="37" s="1"/>
  <c r="F14" i="37"/>
  <c r="AA14" i="37" s="1"/>
  <c r="AB13" i="37"/>
  <c r="U13" i="37"/>
  <c r="Q13" i="37"/>
  <c r="Z13" i="37" s="1"/>
  <c r="H13" i="37"/>
  <c r="Q12" i="37"/>
  <c r="Z12" i="37" s="1"/>
  <c r="J12" i="37"/>
  <c r="AC12" i="37" s="1"/>
  <c r="F12" i="37"/>
  <c r="AA12" i="37" s="1"/>
  <c r="Q11" i="37"/>
  <c r="Z11" i="37" s="1"/>
  <c r="J11" i="37"/>
  <c r="AC11" i="37" s="1"/>
  <c r="H11" i="37"/>
  <c r="AB11" i="37" s="1"/>
  <c r="F11" i="37"/>
  <c r="AA11" i="37" s="1"/>
  <c r="Q10" i="37"/>
  <c r="Z10" i="37" s="1"/>
  <c r="J10" i="37"/>
  <c r="H10" i="37"/>
  <c r="AB10" i="37" s="1"/>
  <c r="F10" i="37"/>
  <c r="AA10" i="37" s="1"/>
  <c r="Q9" i="37"/>
  <c r="Z9" i="37" s="1"/>
  <c r="J9" i="37"/>
  <c r="AC9" i="37" s="1"/>
  <c r="H9" i="37"/>
  <c r="AB9" i="37" s="1"/>
  <c r="F9" i="37"/>
  <c r="AA9" i="37" s="1"/>
  <c r="J8" i="37"/>
  <c r="H8" i="37"/>
  <c r="AB8" i="37" s="1"/>
  <c r="F8" i="37"/>
  <c r="S8" i="37" s="1"/>
  <c r="D3" i="37"/>
  <c r="B131" i="34"/>
  <c r="J47" i="34" s="1"/>
  <c r="AC47" i="34" s="1"/>
  <c r="B129" i="34"/>
  <c r="H46" i="34" s="1"/>
  <c r="AB46" i="34" s="1"/>
  <c r="B127" i="34"/>
  <c r="F126" i="34"/>
  <c r="G126" i="34" s="1"/>
  <c r="D126" i="34"/>
  <c r="E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F118" i="34"/>
  <c r="G118" i="34" s="1"/>
  <c r="D118" i="34"/>
  <c r="E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H29" i="34" s="1"/>
  <c r="AB29" i="34" s="1"/>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D86" i="34"/>
  <c r="E86" i="34" s="1"/>
  <c r="F86" i="34" s="1"/>
  <c r="G86" i="34" s="1"/>
  <c r="E84" i="34"/>
  <c r="F84" i="34" s="1"/>
  <c r="G84" i="34" s="1"/>
  <c r="D84" i="34"/>
  <c r="E82" i="34"/>
  <c r="F82" i="34" s="1"/>
  <c r="G82" i="34" s="1"/>
  <c r="D82" i="34"/>
  <c r="E80" i="34"/>
  <c r="F80" i="34" s="1"/>
  <c r="G80" i="34" s="1"/>
  <c r="D80" i="34"/>
  <c r="D78" i="34"/>
  <c r="E78" i="34" s="1"/>
  <c r="F78" i="34" s="1"/>
  <c r="G78" i="34" s="1"/>
  <c r="B75" i="34"/>
  <c r="J14" i="34" s="1"/>
  <c r="AC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G67" i="34"/>
  <c r="H67" i="34" s="1"/>
  <c r="I67" i="34" s="1"/>
  <c r="F67" i="34"/>
  <c r="C64" i="34"/>
  <c r="J55" i="34"/>
  <c r="I55" i="34"/>
  <c r="H55" i="34"/>
  <c r="G55" i="34"/>
  <c r="E55" i="34"/>
  <c r="F55" i="34" s="1"/>
  <c r="P50" i="34"/>
  <c r="P49" i="34"/>
  <c r="K49" i="34"/>
  <c r="V48" i="34"/>
  <c r="T48" i="34"/>
  <c r="R48" i="34"/>
  <c r="P48" i="34"/>
  <c r="Q47" i="34"/>
  <c r="Z47" i="34" s="1"/>
  <c r="F47" i="34"/>
  <c r="AA47" i="34" s="1"/>
  <c r="Q46" i="34"/>
  <c r="Z46" i="34" s="1"/>
  <c r="J46" i="34"/>
  <c r="AC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Q31" i="34"/>
  <c r="Z31" i="34" s="1"/>
  <c r="F31" i="34"/>
  <c r="AA31" i="34" s="1"/>
  <c r="Q30" i="34"/>
  <c r="Z30" i="34" s="1"/>
  <c r="J30" i="34"/>
  <c r="AC30" i="34" s="1"/>
  <c r="H30" i="34"/>
  <c r="AB30" i="34" s="1"/>
  <c r="F30" i="34"/>
  <c r="AA30" i="34" s="1"/>
  <c r="Q29" i="34"/>
  <c r="Z29" i="34" s="1"/>
  <c r="J29" i="34"/>
  <c r="AC29" i="34" s="1"/>
  <c r="F29" i="34"/>
  <c r="AA29" i="34" s="1"/>
  <c r="Q28" i="34"/>
  <c r="Z28" i="34" s="1"/>
  <c r="J28" i="34"/>
  <c r="AC28" i="34" s="1"/>
  <c r="H28" i="34"/>
  <c r="AB28" i="34" s="1"/>
  <c r="F28" i="34"/>
  <c r="AA28" i="34" s="1"/>
  <c r="Q27" i="34"/>
  <c r="Z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H14" i="34"/>
  <c r="AB14" i="34" s="1"/>
  <c r="F14" i="34"/>
  <c r="AA14" i="34" s="1"/>
  <c r="Q13" i="34"/>
  <c r="Z13" i="34" s="1"/>
  <c r="J13" i="34"/>
  <c r="AC13" i="34" s="1"/>
  <c r="H13" i="34"/>
  <c r="AB13" i="34" s="1"/>
  <c r="F13" i="34"/>
  <c r="AA13" i="34" s="1"/>
  <c r="Q12" i="34"/>
  <c r="Z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AC8" i="34" s="1"/>
  <c r="H8" i="34"/>
  <c r="AB8" i="34" s="1"/>
  <c r="F8" i="34"/>
  <c r="AA8" i="34" s="1"/>
  <c r="D3" i="34"/>
  <c r="B130" i="33"/>
  <c r="H46" i="33" s="1"/>
  <c r="B128" i="33"/>
  <c r="J45" i="33" s="1"/>
  <c r="AC45" i="33" s="1"/>
  <c r="B126" i="33"/>
  <c r="H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J29" i="33" s="1"/>
  <c r="AC29" i="33" s="1"/>
  <c r="B92" i="33"/>
  <c r="J28" i="33" s="1"/>
  <c r="AC28" i="33" s="1"/>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G66" i="33"/>
  <c r="H66" i="33" s="1"/>
  <c r="I66" i="33" s="1"/>
  <c r="C63" i="33"/>
  <c r="J54" i="33"/>
  <c r="I54" i="33"/>
  <c r="G54" i="33"/>
  <c r="H54" i="33" s="1"/>
  <c r="F54" i="33"/>
  <c r="E54" i="33"/>
  <c r="P49" i="33"/>
  <c r="P48" i="33"/>
  <c r="K48" i="33"/>
  <c r="V47" i="33"/>
  <c r="T47" i="33"/>
  <c r="R47" i="33"/>
  <c r="P47" i="33"/>
  <c r="Q46" i="33"/>
  <c r="Z46" i="33" s="1"/>
  <c r="J46" i="33"/>
  <c r="AC46" i="33" s="1"/>
  <c r="F46" i="33"/>
  <c r="AA46" i="33" s="1"/>
  <c r="Q45" i="33"/>
  <c r="Z45" i="33" s="1"/>
  <c r="H45" i="33"/>
  <c r="AB45" i="33" s="1"/>
  <c r="F45" i="33"/>
  <c r="AA45" i="33" s="1"/>
  <c r="Q44" i="33"/>
  <c r="Z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J30" i="33"/>
  <c r="AC30" i="33" s="1"/>
  <c r="H30" i="33"/>
  <c r="AB30" i="33" s="1"/>
  <c r="F30" i="33"/>
  <c r="AA30" i="33" s="1"/>
  <c r="Q29" i="33"/>
  <c r="Z29" i="33" s="1"/>
  <c r="H29" i="33"/>
  <c r="AB29" i="33" s="1"/>
  <c r="F29" i="33"/>
  <c r="AA29" i="33" s="1"/>
  <c r="Q28" i="33"/>
  <c r="Z28" i="33" s="1"/>
  <c r="H28" i="33"/>
  <c r="AB28" i="33" s="1"/>
  <c r="F28" i="33"/>
  <c r="AA28" i="33" s="1"/>
  <c r="Q27" i="33"/>
  <c r="Z27" i="33" s="1"/>
  <c r="J27" i="33"/>
  <c r="AC27" i="33" s="1"/>
  <c r="H27" i="33"/>
  <c r="AB27" i="33" s="1"/>
  <c r="F27" i="33"/>
  <c r="AA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J8" i="33"/>
  <c r="AC8" i="33" s="1"/>
  <c r="H8" i="33"/>
  <c r="AB8" i="33" s="1"/>
  <c r="F8" i="33"/>
  <c r="AA8" i="33" s="1"/>
  <c r="D3" i="33"/>
  <c r="G17" i="11"/>
  <c r="C16" i="11"/>
  <c r="C15" i="11"/>
  <c r="C14" i="11"/>
  <c r="E13" i="11"/>
  <c r="E12" i="11"/>
  <c r="C11" i="11"/>
  <c r="C10" i="11" s="1"/>
  <c r="C9" i="11"/>
  <c r="C8" i="11"/>
  <c r="C32" i="57"/>
  <c r="C31" i="57"/>
  <c r="C30" i="57"/>
  <c r="I23" i="57"/>
  <c r="D20" i="57"/>
  <c r="I19" i="57"/>
  <c r="I18" i="57"/>
  <c r="I17" i="57"/>
  <c r="E15" i="57"/>
  <c r="I14" i="57"/>
  <c r="I13" i="57"/>
  <c r="I12" i="57"/>
  <c r="I15" i="57" s="1"/>
  <c r="I9" i="57"/>
  <c r="I8" i="57"/>
  <c r="I7" i="57"/>
  <c r="I6" i="57"/>
  <c r="I5" i="57"/>
  <c r="I4" i="57"/>
  <c r="I3" i="57"/>
  <c r="P75" i="15"/>
  <c r="Q73" i="15"/>
  <c r="P62" i="15"/>
  <c r="Q60" i="15"/>
  <c r="D60" i="15"/>
  <c r="Q59" i="15"/>
  <c r="K59" i="15"/>
  <c r="Q52" i="15"/>
  <c r="J50" i="15"/>
  <c r="M47" i="15"/>
  <c r="F33" i="15"/>
  <c r="F60" i="15" s="1"/>
  <c r="F23" i="15"/>
  <c r="D24" i="15" s="1"/>
  <c r="F21" i="15"/>
  <c r="F20" i="15"/>
  <c r="M19" i="15"/>
  <c r="F18" i="15"/>
  <c r="F17" i="15"/>
  <c r="F15" i="15"/>
  <c r="Q74" i="44"/>
  <c r="Q61" i="44"/>
  <c r="Q60" i="44"/>
  <c r="Q53" i="44"/>
  <c r="J51" i="44"/>
  <c r="M48" i="44"/>
  <c r="F35" i="44"/>
  <c r="F25" i="44"/>
  <c r="D26" i="44" s="1"/>
  <c r="F23" i="44"/>
  <c r="F22" i="44"/>
  <c r="M21" i="44"/>
  <c r="F20" i="44"/>
  <c r="F19" i="44"/>
  <c r="F17" i="44"/>
  <c r="D85" i="59"/>
  <c r="F84" i="59"/>
  <c r="F83" i="59" s="1"/>
  <c r="F82" i="59" s="1"/>
  <c r="E84" i="59"/>
  <c r="E83" i="59" s="1"/>
  <c r="E82" i="59" s="1"/>
  <c r="C84" i="59"/>
  <c r="D84" i="59" s="1"/>
  <c r="B84" i="59"/>
  <c r="B83" i="59" s="1"/>
  <c r="B82" i="59" s="1"/>
  <c r="D81" i="59"/>
  <c r="F80" i="59"/>
  <c r="E80" i="59"/>
  <c r="E79" i="59" s="1"/>
  <c r="E78" i="59" s="1"/>
  <c r="C80" i="59"/>
  <c r="D80" i="59" s="1"/>
  <c r="B80" i="59"/>
  <c r="B79" i="59" s="1"/>
  <c r="B78" i="59" s="1"/>
  <c r="F79" i="59"/>
  <c r="F78" i="59" s="1"/>
  <c r="D77" i="59"/>
  <c r="Q76" i="59"/>
  <c r="P76" i="59"/>
  <c r="O76" i="59"/>
  <c r="N76" i="59"/>
  <c r="F76" i="59"/>
  <c r="V76" i="59" s="1"/>
  <c r="E76" i="59"/>
  <c r="E75" i="59" s="1"/>
  <c r="E74" i="59" s="1"/>
  <c r="C76" i="59"/>
  <c r="T76" i="59" s="1"/>
  <c r="B76" i="59"/>
  <c r="B75" i="59" s="1"/>
  <c r="B74" i="59" s="1"/>
  <c r="Q75" i="59"/>
  <c r="P75" i="59"/>
  <c r="O75" i="59"/>
  <c r="N75" i="59"/>
  <c r="F75" i="59"/>
  <c r="F74" i="59" s="1"/>
  <c r="Q74" i="59"/>
  <c r="P74" i="59"/>
  <c r="O74" i="59"/>
  <c r="N74" i="59"/>
  <c r="Q73" i="59"/>
  <c r="P73" i="59"/>
  <c r="O73" i="59"/>
  <c r="N73" i="59"/>
  <c r="D73" i="59"/>
  <c r="Q72" i="59"/>
  <c r="P72" i="59"/>
  <c r="O72" i="59"/>
  <c r="N72" i="59"/>
  <c r="F72" i="59"/>
  <c r="V72" i="59" s="1"/>
  <c r="E72" i="59"/>
  <c r="E71" i="59" s="1"/>
  <c r="E70" i="59" s="1"/>
  <c r="C72" i="59"/>
  <c r="T72" i="59" s="1"/>
  <c r="B72" i="59"/>
  <c r="B71" i="59" s="1"/>
  <c r="B70" i="59" s="1"/>
  <c r="Q71" i="59"/>
  <c r="P71" i="59"/>
  <c r="O71" i="59"/>
  <c r="N71" i="59"/>
  <c r="F71" i="59"/>
  <c r="F70" i="59" s="1"/>
  <c r="Q70" i="59"/>
  <c r="P70" i="59"/>
  <c r="O70" i="59"/>
  <c r="N70" i="59"/>
  <c r="Q69" i="59"/>
  <c r="P69" i="59"/>
  <c r="O69" i="59"/>
  <c r="N69" i="59"/>
  <c r="D69" i="59"/>
  <c r="Q68" i="59"/>
  <c r="P68" i="59"/>
  <c r="O68" i="59"/>
  <c r="N68" i="59"/>
  <c r="F68" i="59"/>
  <c r="V68" i="59" s="1"/>
  <c r="E68" i="59"/>
  <c r="E67" i="59" s="1"/>
  <c r="C68" i="59"/>
  <c r="B68" i="59"/>
  <c r="B67" i="59" s="1"/>
  <c r="B66" i="59" s="1"/>
  <c r="Q67" i="59"/>
  <c r="P67" i="59"/>
  <c r="O67" i="59"/>
  <c r="N67" i="59"/>
  <c r="F67" i="59"/>
  <c r="F66" i="59" s="1"/>
  <c r="Q66" i="59"/>
  <c r="P66" i="59"/>
  <c r="O66" i="59"/>
  <c r="N66" i="59"/>
  <c r="E66" i="59"/>
  <c r="Q65" i="59"/>
  <c r="P65" i="59"/>
  <c r="O65" i="59"/>
  <c r="N65" i="59"/>
  <c r="D65" i="59"/>
  <c r="S64" i="59"/>
  <c r="N64" i="59"/>
  <c r="F64" i="59"/>
  <c r="V64" i="59" s="1"/>
  <c r="E64" i="59"/>
  <c r="E63" i="59" s="1"/>
  <c r="C64" i="59"/>
  <c r="B64" i="59"/>
  <c r="B63" i="59"/>
  <c r="D61" i="59"/>
  <c r="Q60" i="59"/>
  <c r="P60" i="59"/>
  <c r="O60" i="59"/>
  <c r="N60" i="59"/>
  <c r="Q59" i="59"/>
  <c r="P59" i="59"/>
  <c r="O59" i="59"/>
  <c r="N59" i="59"/>
  <c r="Q58" i="59"/>
  <c r="P58" i="59"/>
  <c r="O58" i="59"/>
  <c r="N58" i="59"/>
  <c r="E58" i="59"/>
  <c r="Q57" i="59"/>
  <c r="F58" i="59" s="1"/>
  <c r="P57" i="59"/>
  <c r="O57" i="59"/>
  <c r="C58" i="59" s="1"/>
  <c r="N57" i="59"/>
  <c r="B58" i="59" s="1"/>
  <c r="D57" i="59"/>
  <c r="Q56" i="59"/>
  <c r="P56" i="59"/>
  <c r="O56" i="59"/>
  <c r="N56" i="59"/>
  <c r="Q55" i="59"/>
  <c r="P55" i="59"/>
  <c r="O55" i="59"/>
  <c r="N55" i="59"/>
  <c r="Q54" i="59"/>
  <c r="P54" i="59"/>
  <c r="O54" i="59"/>
  <c r="N54" i="59"/>
  <c r="Q53" i="59"/>
  <c r="F54" i="59" s="1"/>
  <c r="F55" i="59" s="1"/>
  <c r="F56" i="59" s="1"/>
  <c r="V56" i="59" s="1"/>
  <c r="P53" i="59"/>
  <c r="E54" i="59" s="1"/>
  <c r="O53" i="59"/>
  <c r="C54" i="59" s="1"/>
  <c r="N53" i="59"/>
  <c r="B54" i="59" s="1"/>
  <c r="D53" i="59"/>
  <c r="Q52" i="59"/>
  <c r="P52" i="59"/>
  <c r="O52" i="59"/>
  <c r="N52" i="59"/>
  <c r="Q51" i="59"/>
  <c r="P51" i="59"/>
  <c r="O51" i="59"/>
  <c r="N51" i="59"/>
  <c r="Q50" i="59"/>
  <c r="P50" i="59"/>
  <c r="O50" i="59"/>
  <c r="N50" i="59"/>
  <c r="E50" i="59"/>
  <c r="E51" i="59" s="1"/>
  <c r="E52" i="59" s="1"/>
  <c r="U52" i="59" s="1"/>
  <c r="Q49" i="59"/>
  <c r="F50" i="59" s="1"/>
  <c r="F51" i="59" s="1"/>
  <c r="P49" i="59"/>
  <c r="O49" i="59"/>
  <c r="C50" i="59" s="1"/>
  <c r="N49" i="59"/>
  <c r="B50" i="59" s="1"/>
  <c r="D49" i="59"/>
  <c r="Q48" i="59"/>
  <c r="P48" i="59"/>
  <c r="O48" i="59"/>
  <c r="N48" i="59"/>
  <c r="Q47" i="59"/>
  <c r="P47" i="59"/>
  <c r="O47" i="59"/>
  <c r="N47" i="59"/>
  <c r="Q46" i="59"/>
  <c r="P46" i="59"/>
  <c r="O46" i="59"/>
  <c r="N46" i="59"/>
  <c r="Q45" i="59"/>
  <c r="F46" i="59" s="1"/>
  <c r="P45" i="59"/>
  <c r="E46" i="59" s="1"/>
  <c r="E47" i="59" s="1"/>
  <c r="E48" i="59" s="1"/>
  <c r="U48" i="59" s="1"/>
  <c r="O45" i="59"/>
  <c r="C46" i="59" s="1"/>
  <c r="N45" i="59"/>
  <c r="B46" i="59" s="1"/>
  <c r="D45" i="59"/>
  <c r="T44" i="59"/>
  <c r="Q44" i="59"/>
  <c r="P44" i="59"/>
  <c r="O44" i="59"/>
  <c r="N44" i="59"/>
  <c r="D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B39" i="59" s="1"/>
  <c r="B40" i="59" s="1"/>
  <c r="S40" i="59" s="1"/>
  <c r="D37" i="59"/>
  <c r="AH36" i="59"/>
  <c r="AG36" i="59"/>
  <c r="AE36" i="59"/>
  <c r="AF36" i="59" s="1"/>
  <c r="AD36" i="59"/>
  <c r="Q36" i="59"/>
  <c r="P36" i="59"/>
  <c r="O36" i="59"/>
  <c r="N36" i="59"/>
  <c r="AH35" i="59"/>
  <c r="AG35" i="59"/>
  <c r="AE35" i="59"/>
  <c r="AF35" i="59" s="1"/>
  <c r="AD35" i="59"/>
  <c r="Q35" i="59"/>
  <c r="AB35" i="59" s="1"/>
  <c r="P35" i="59"/>
  <c r="AA35" i="59" s="1"/>
  <c r="O35" i="59"/>
  <c r="Y35" i="59" s="1"/>
  <c r="Z35" i="59" s="1"/>
  <c r="N35" i="59"/>
  <c r="X35" i="59" s="1"/>
  <c r="AH34" i="59"/>
  <c r="AG34" i="59"/>
  <c r="AF34" i="59"/>
  <c r="AE34" i="59"/>
  <c r="AD34" i="59"/>
  <c r="Q34" i="59"/>
  <c r="AB34" i="59" s="1"/>
  <c r="P34" i="59"/>
  <c r="O34" i="59"/>
  <c r="N34" i="59"/>
  <c r="X34" i="59" s="1"/>
  <c r="AH33" i="59"/>
  <c r="AG33" i="59"/>
  <c r="AE33" i="59"/>
  <c r="AF33" i="59" s="1"/>
  <c r="AD33" i="59"/>
  <c r="Q33" i="59"/>
  <c r="F34" i="59" s="1"/>
  <c r="F35" i="59" s="1"/>
  <c r="F36" i="59" s="1"/>
  <c r="V36" i="59" s="1"/>
  <c r="P33" i="59"/>
  <c r="E34" i="59" s="1"/>
  <c r="E35" i="59" s="1"/>
  <c r="O33" i="59"/>
  <c r="C34" i="59" s="1"/>
  <c r="N33" i="59"/>
  <c r="B34" i="59" s="1"/>
  <c r="B35" i="59" s="1"/>
  <c r="B36" i="59" s="1"/>
  <c r="S36" i="59" s="1"/>
  <c r="D33" i="59"/>
  <c r="AH32" i="59"/>
  <c r="AG32" i="59"/>
  <c r="AE32" i="59"/>
  <c r="AF32" i="59" s="1"/>
  <c r="AD32" i="59"/>
  <c r="Q32" i="59"/>
  <c r="P32" i="59"/>
  <c r="O32" i="59"/>
  <c r="Y32" i="59" s="1"/>
  <c r="Z32" i="59" s="1"/>
  <c r="N32" i="59"/>
  <c r="AH31" i="59"/>
  <c r="AG31" i="59"/>
  <c r="AE31" i="59"/>
  <c r="AF31" i="59" s="1"/>
  <c r="AD31" i="59"/>
  <c r="Q31" i="59"/>
  <c r="P31" i="59"/>
  <c r="O31" i="59"/>
  <c r="Y31" i="59" s="1"/>
  <c r="Z31" i="59" s="1"/>
  <c r="N31" i="59"/>
  <c r="AH30" i="59"/>
  <c r="AG30" i="59"/>
  <c r="AE30" i="59"/>
  <c r="AF30" i="59" s="1"/>
  <c r="AD30" i="59"/>
  <c r="Q30" i="59"/>
  <c r="P30" i="59"/>
  <c r="O30" i="59"/>
  <c r="Y30" i="59" s="1"/>
  <c r="Z30" i="59" s="1"/>
  <c r="N30" i="59"/>
  <c r="AH29" i="59"/>
  <c r="AG29" i="59"/>
  <c r="AE29" i="59"/>
  <c r="AF29" i="59" s="1"/>
  <c r="AD29" i="59"/>
  <c r="Q29" i="59"/>
  <c r="F30" i="59" s="1"/>
  <c r="F31" i="59" s="1"/>
  <c r="F32" i="59" s="1"/>
  <c r="V32" i="59" s="1"/>
  <c r="P29" i="59"/>
  <c r="E30" i="59" s="1"/>
  <c r="E31" i="59" s="1"/>
  <c r="E32" i="59" s="1"/>
  <c r="U32" i="59" s="1"/>
  <c r="O29" i="59"/>
  <c r="C30" i="59" s="1"/>
  <c r="N29" i="59"/>
  <c r="B30" i="59" s="1"/>
  <c r="B31" i="59" s="1"/>
  <c r="B32" i="59" s="1"/>
  <c r="S32" i="59" s="1"/>
  <c r="D29" i="59"/>
  <c r="AH28" i="59"/>
  <c r="AG28" i="59"/>
  <c r="AE28" i="59"/>
  <c r="AF28" i="59" s="1"/>
  <c r="AD28" i="59"/>
  <c r="Q28" i="59"/>
  <c r="P28" i="59"/>
  <c r="AA28" i="59" s="1"/>
  <c r="O28" i="59"/>
  <c r="N28" i="59"/>
  <c r="AH27" i="59"/>
  <c r="AG27" i="59"/>
  <c r="AE27" i="59"/>
  <c r="AF27" i="59" s="1"/>
  <c r="AD27" i="59"/>
  <c r="Q27" i="59"/>
  <c r="P27" i="59"/>
  <c r="AA27" i="59" s="1"/>
  <c r="O27" i="59"/>
  <c r="N27" i="59"/>
  <c r="AH26" i="59"/>
  <c r="AG26" i="59"/>
  <c r="AE26" i="59"/>
  <c r="AF26" i="59" s="1"/>
  <c r="AD26" i="59"/>
  <c r="Q26" i="59"/>
  <c r="P26" i="59"/>
  <c r="AA26" i="59" s="1"/>
  <c r="O26" i="59"/>
  <c r="N26" i="59"/>
  <c r="AH25" i="59"/>
  <c r="AG25" i="59"/>
  <c r="AE25" i="59"/>
  <c r="AF25" i="59" s="1"/>
  <c r="AD25" i="59"/>
  <c r="Q25" i="59"/>
  <c r="F26" i="59" s="1"/>
  <c r="F27" i="59" s="1"/>
  <c r="F28" i="59" s="1"/>
  <c r="V28" i="59" s="1"/>
  <c r="P25" i="59"/>
  <c r="E26" i="59" s="1"/>
  <c r="E27" i="59" s="1"/>
  <c r="E28" i="59" s="1"/>
  <c r="U28" i="59" s="1"/>
  <c r="O25" i="59"/>
  <c r="C26" i="59" s="1"/>
  <c r="N25" i="59"/>
  <c r="B26" i="59" s="1"/>
  <c r="B27" i="59" s="1"/>
  <c r="B28" i="59" s="1"/>
  <c r="S28" i="59" s="1"/>
  <c r="D25" i="59"/>
  <c r="AH24" i="59"/>
  <c r="AG24" i="59"/>
  <c r="AE24" i="59"/>
  <c r="AF24" i="59" s="1"/>
  <c r="AD24" i="59"/>
  <c r="Q24" i="59"/>
  <c r="P24" i="59"/>
  <c r="O24" i="59"/>
  <c r="N24" i="59"/>
  <c r="E24" i="59"/>
  <c r="C24" i="59"/>
  <c r="T24" i="59" s="1"/>
  <c r="AH23" i="59"/>
  <c r="AG23" i="59"/>
  <c r="AE23" i="59"/>
  <c r="AF23" i="59" s="1"/>
  <c r="AD23" i="59"/>
  <c r="Q23" i="59"/>
  <c r="P23" i="59"/>
  <c r="O23" i="59"/>
  <c r="N23" i="59"/>
  <c r="C23" i="59"/>
  <c r="D23" i="59" s="1"/>
  <c r="AH22" i="59"/>
  <c r="AG22" i="59"/>
  <c r="AF22" i="59"/>
  <c r="AE22" i="59"/>
  <c r="AD22" i="59"/>
  <c r="Q22" i="59"/>
  <c r="P22" i="59"/>
  <c r="O22" i="59"/>
  <c r="C22" i="59" s="1"/>
  <c r="D22" i="59" s="1"/>
  <c r="N22" i="59"/>
  <c r="X22" i="59" s="1"/>
  <c r="AH21" i="59"/>
  <c r="AG21" i="59"/>
  <c r="AE21" i="59"/>
  <c r="AF21" i="59" s="1"/>
  <c r="AD21" i="59"/>
  <c r="AB21" i="59"/>
  <c r="Q21" i="59"/>
  <c r="P21" i="59"/>
  <c r="O21" i="59"/>
  <c r="N21" i="59"/>
  <c r="D21" i="59"/>
  <c r="AH20" i="59"/>
  <c r="AG20" i="59"/>
  <c r="AF20" i="59"/>
  <c r="AE20" i="59"/>
  <c r="AD20" i="59"/>
  <c r="Q20" i="59"/>
  <c r="P20" i="59"/>
  <c r="O20" i="59"/>
  <c r="C20" i="59" s="1"/>
  <c r="N20" i="59"/>
  <c r="F20" i="59"/>
  <c r="F19" i="59" s="1"/>
  <c r="E20" i="59"/>
  <c r="AH19" i="59"/>
  <c r="AG19" i="59"/>
  <c r="AE19" i="59"/>
  <c r="AF19" i="59" s="1"/>
  <c r="AD19" i="59"/>
  <c r="Q19" i="59"/>
  <c r="P19" i="59"/>
  <c r="AA19" i="59" s="1"/>
  <c r="O19" i="59"/>
  <c r="N19" i="59"/>
  <c r="AH18" i="59"/>
  <c r="AG18" i="59"/>
  <c r="AF18" i="59"/>
  <c r="AE18" i="59"/>
  <c r="AD18" i="59"/>
  <c r="Q18" i="59"/>
  <c r="AB18" i="59" s="1"/>
  <c r="P18" i="59"/>
  <c r="O18" i="59"/>
  <c r="N18" i="59"/>
  <c r="AH17" i="59"/>
  <c r="AG17" i="59"/>
  <c r="AE17" i="59"/>
  <c r="AF17" i="59" s="1"/>
  <c r="AD17" i="59"/>
  <c r="Q17" i="59"/>
  <c r="AB17" i="59" s="1"/>
  <c r="P17" i="59"/>
  <c r="O17" i="59"/>
  <c r="N17" i="59"/>
  <c r="AH16" i="59"/>
  <c r="AG16" i="59"/>
  <c r="AE16" i="59"/>
  <c r="AF16" i="59" s="1"/>
  <c r="AD16" i="59"/>
  <c r="Q16" i="59"/>
  <c r="P16" i="59"/>
  <c r="O16" i="59"/>
  <c r="N16" i="59"/>
  <c r="AH15" i="59"/>
  <c r="AG15" i="59"/>
  <c r="AE15" i="59"/>
  <c r="AF15" i="59" s="1"/>
  <c r="AD15" i="59"/>
  <c r="Q15" i="59"/>
  <c r="P15" i="59"/>
  <c r="O15" i="59"/>
  <c r="N15" i="59"/>
  <c r="AH14" i="59"/>
  <c r="AG14" i="59"/>
  <c r="AF14" i="59"/>
  <c r="AE14" i="59"/>
  <c r="AD14" i="59"/>
  <c r="Q14" i="59"/>
  <c r="P14" i="59"/>
  <c r="O14" i="59"/>
  <c r="N14" i="59"/>
  <c r="AH13" i="59"/>
  <c r="AG13" i="59"/>
  <c r="AE13" i="59"/>
  <c r="AF13" i="59" s="1"/>
  <c r="AD13" i="59"/>
  <c r="Q13" i="59"/>
  <c r="P13" i="59"/>
  <c r="O13" i="59"/>
  <c r="N13" i="59"/>
  <c r="AH12" i="59"/>
  <c r="AG12" i="59"/>
  <c r="AE12" i="59"/>
  <c r="AF12" i="59" s="1"/>
  <c r="AD12" i="59"/>
  <c r="Q12" i="59"/>
  <c r="P12" i="59"/>
  <c r="O12" i="59"/>
  <c r="N12" i="59"/>
  <c r="X12" i="59" s="1"/>
  <c r="AH11" i="59"/>
  <c r="AG11" i="59"/>
  <c r="AE11" i="59"/>
  <c r="AF11" i="59" s="1"/>
  <c r="AD11" i="59"/>
  <c r="Q11" i="59"/>
  <c r="P11" i="59"/>
  <c r="O11" i="59"/>
  <c r="Y11" i="59" s="1"/>
  <c r="Z11" i="59" s="1"/>
  <c r="N11" i="59"/>
  <c r="AH10" i="59"/>
  <c r="AG10" i="59"/>
  <c r="AE10" i="59"/>
  <c r="AF10" i="59" s="1"/>
  <c r="AD10" i="59"/>
  <c r="Q10" i="59"/>
  <c r="P10" i="59"/>
  <c r="O10" i="59"/>
  <c r="N10" i="59"/>
  <c r="AH9" i="59"/>
  <c r="AG9" i="59"/>
  <c r="AF9" i="59"/>
  <c r="AE9" i="59"/>
  <c r="AD9" i="59"/>
  <c r="Q9" i="59"/>
  <c r="P9" i="59"/>
  <c r="AA9" i="59" s="1"/>
  <c r="O9" i="59"/>
  <c r="N9" i="59"/>
  <c r="AH8" i="59"/>
  <c r="AG8" i="59"/>
  <c r="AE8" i="59"/>
  <c r="AF8" i="59" s="1"/>
  <c r="AD8" i="59"/>
  <c r="Q8" i="59"/>
  <c r="P8" i="59"/>
  <c r="O8" i="59"/>
  <c r="N8" i="59"/>
  <c r="AH7" i="59"/>
  <c r="AG7" i="59"/>
  <c r="AE7" i="59"/>
  <c r="AF7" i="59" s="1"/>
  <c r="AD7" i="59"/>
  <c r="Q7" i="59"/>
  <c r="P7" i="59"/>
  <c r="O7" i="59"/>
  <c r="N7" i="59"/>
  <c r="AH6" i="59"/>
  <c r="AG6" i="59"/>
  <c r="AE6" i="59"/>
  <c r="AF6" i="59" s="1"/>
  <c r="AD6" i="59"/>
  <c r="Q6" i="59"/>
  <c r="P6" i="59"/>
  <c r="O6" i="59"/>
  <c r="N6" i="59"/>
  <c r="AH5" i="59"/>
  <c r="AG5" i="59"/>
  <c r="AE5" i="59"/>
  <c r="AF5" i="59" s="1"/>
  <c r="AD5" i="59"/>
  <c r="Q5" i="59"/>
  <c r="P5" i="59"/>
  <c r="O5" i="59"/>
  <c r="N5" i="59"/>
  <c r="L3" i="59"/>
  <c r="AH3" i="59" s="1"/>
  <c r="K3" i="59"/>
  <c r="AG3" i="59" s="1"/>
  <c r="J3" i="59"/>
  <c r="AE3" i="59" s="1"/>
  <c r="AF3" i="59" s="1"/>
  <c r="I3" i="59"/>
  <c r="AD3" i="59" s="1"/>
  <c r="H61" i="49"/>
  <c r="M15" i="49"/>
  <c r="L15" i="49"/>
  <c r="K15" i="49"/>
  <c r="J15" i="49"/>
  <c r="I15" i="49"/>
  <c r="H15" i="49"/>
  <c r="G15" i="49"/>
  <c r="F15" i="49"/>
  <c r="E15" i="49"/>
  <c r="D15" i="49"/>
  <c r="C15" i="49"/>
  <c r="B15" i="49"/>
  <c r="F113" i="46"/>
  <c r="N99" i="46"/>
  <c r="N108" i="46" s="1"/>
  <c r="M99" i="46"/>
  <c r="M108" i="46" s="1"/>
  <c r="L99" i="46"/>
  <c r="L108" i="46" s="1"/>
  <c r="K99" i="46"/>
  <c r="K108" i="46" s="1"/>
  <c r="J99" i="46"/>
  <c r="J108" i="46" s="1"/>
  <c r="I99" i="46"/>
  <c r="I108" i="46" s="1"/>
  <c r="H99" i="46"/>
  <c r="H108" i="46" s="1"/>
  <c r="G99" i="46"/>
  <c r="G108" i="46" s="1"/>
  <c r="F99" i="46"/>
  <c r="F108" i="46" s="1"/>
  <c r="E99" i="46"/>
  <c r="E108" i="46" s="1"/>
  <c r="D99" i="46"/>
  <c r="D108" i="46" s="1"/>
  <c r="C99" i="46"/>
  <c r="C108" i="46" s="1"/>
  <c r="M87" i="46"/>
  <c r="N87" i="46" s="1"/>
  <c r="K87" i="46"/>
  <c r="J87" i="46"/>
  <c r="D87" i="46"/>
  <c r="M86" i="46"/>
  <c r="N86" i="46" s="1"/>
  <c r="K86" i="46"/>
  <c r="J86" i="46" s="1"/>
  <c r="D86" i="46"/>
  <c r="N85" i="46"/>
  <c r="M85" i="46"/>
  <c r="K85" i="46"/>
  <c r="J85" i="46" s="1"/>
  <c r="D85" i="46"/>
  <c r="M84" i="46"/>
  <c r="N84" i="46" s="1"/>
  <c r="K84" i="46"/>
  <c r="J84" i="46"/>
  <c r="D84" i="46"/>
  <c r="N83" i="46"/>
  <c r="M83" i="46"/>
  <c r="K83" i="46"/>
  <c r="J83" i="46" s="1"/>
  <c r="D83" i="46"/>
  <c r="B83" i="46"/>
  <c r="M82" i="46"/>
  <c r="N82" i="46" s="1"/>
  <c r="K82" i="46"/>
  <c r="J82" i="46" s="1"/>
  <c r="D82" i="46"/>
  <c r="B82" i="46"/>
  <c r="N81" i="46"/>
  <c r="M81" i="46"/>
  <c r="K81" i="46"/>
  <c r="J81" i="46" s="1"/>
  <c r="D81" i="46"/>
  <c r="M80" i="46"/>
  <c r="N80" i="46" s="1"/>
  <c r="K80" i="46"/>
  <c r="J80" i="46"/>
  <c r="F80" i="46"/>
  <c r="H86" i="46" s="1"/>
  <c r="D80" i="46"/>
  <c r="E80" i="46" s="1"/>
  <c r="B78" i="46" s="1"/>
  <c r="M77" i="46"/>
  <c r="N77" i="46" s="1"/>
  <c r="K77" i="46"/>
  <c r="J77" i="46" s="1"/>
  <c r="D77" i="46"/>
  <c r="M76" i="46"/>
  <c r="N76" i="46" s="1"/>
  <c r="K76" i="46"/>
  <c r="J76" i="46" s="1"/>
  <c r="D76" i="46"/>
  <c r="M75" i="46"/>
  <c r="N75" i="46" s="1"/>
  <c r="K75" i="46"/>
  <c r="J75" i="46" s="1"/>
  <c r="M74" i="46"/>
  <c r="N74" i="46" s="1"/>
  <c r="K74" i="46"/>
  <c r="J74" i="46" s="1"/>
  <c r="D74" i="46" s="1"/>
  <c r="M73" i="46"/>
  <c r="N73" i="46" s="1"/>
  <c r="K73" i="46"/>
  <c r="J73" i="46" s="1"/>
  <c r="D73" i="46"/>
  <c r="M72" i="46"/>
  <c r="K72" i="46"/>
  <c r="J72" i="46" s="1"/>
  <c r="M71" i="46"/>
  <c r="N71" i="46" s="1"/>
  <c r="K71" i="46"/>
  <c r="J71" i="46" s="1"/>
  <c r="B71" i="46"/>
  <c r="M70" i="46"/>
  <c r="N70" i="46" s="1"/>
  <c r="K70" i="46"/>
  <c r="J70" i="46" s="1"/>
  <c r="D70" i="46"/>
  <c r="M69" i="46"/>
  <c r="N69" i="46" s="1"/>
  <c r="K69" i="46"/>
  <c r="J69" i="46"/>
  <c r="D69" i="46"/>
  <c r="M66" i="46"/>
  <c r="N66" i="46" s="1"/>
  <c r="K66" i="46"/>
  <c r="J66" i="46"/>
  <c r="D66" i="46"/>
  <c r="M65" i="46"/>
  <c r="N65" i="46" s="1"/>
  <c r="K65" i="46"/>
  <c r="J65" i="46" s="1"/>
  <c r="D65" i="46"/>
  <c r="M64" i="46"/>
  <c r="N64" i="46" s="1"/>
  <c r="K64" i="46"/>
  <c r="J64" i="46"/>
  <c r="D64" i="46"/>
  <c r="M63" i="46"/>
  <c r="N63" i="46" s="1"/>
  <c r="K63" i="46"/>
  <c r="J63" i="46" s="1"/>
  <c r="D63" i="46"/>
  <c r="N62" i="46"/>
  <c r="M62" i="46"/>
  <c r="K62" i="46"/>
  <c r="J62" i="46" s="1"/>
  <c r="D62" i="46"/>
  <c r="M61" i="46"/>
  <c r="N61" i="46" s="1"/>
  <c r="K61" i="46"/>
  <c r="J61" i="46"/>
  <c r="D61" i="46"/>
  <c r="M60" i="46"/>
  <c r="N60" i="46" s="1"/>
  <c r="K60" i="46"/>
  <c r="J60" i="46"/>
  <c r="D60" i="46"/>
  <c r="B60" i="46"/>
  <c r="M59" i="46"/>
  <c r="N59" i="46" s="1"/>
  <c r="K59" i="46"/>
  <c r="J59" i="46" s="1"/>
  <c r="D59" i="46"/>
  <c r="M58" i="46"/>
  <c r="N58" i="46" s="1"/>
  <c r="K58" i="46"/>
  <c r="J58" i="46" s="1"/>
  <c r="F58" i="46"/>
  <c r="H65" i="46" s="1"/>
  <c r="D58" i="46"/>
  <c r="M55" i="46"/>
  <c r="N55" i="46" s="1"/>
  <c r="K55" i="46"/>
  <c r="J55" i="46" s="1"/>
  <c r="D55" i="46"/>
  <c r="N54" i="46"/>
  <c r="M54" i="46"/>
  <c r="K54" i="46"/>
  <c r="J54" i="46" s="1"/>
  <c r="D54" i="46"/>
  <c r="M53" i="46"/>
  <c r="N53" i="46" s="1"/>
  <c r="K53" i="46"/>
  <c r="J53" i="46" s="1"/>
  <c r="D53" i="46"/>
  <c r="M52" i="46"/>
  <c r="N52" i="46" s="1"/>
  <c r="K52" i="46"/>
  <c r="J52" i="46" s="1"/>
  <c r="D52" i="46"/>
  <c r="M51" i="46"/>
  <c r="N51" i="46" s="1"/>
  <c r="K51" i="46"/>
  <c r="J51" i="46" s="1"/>
  <c r="D51" i="46"/>
  <c r="M50" i="46"/>
  <c r="N50" i="46" s="1"/>
  <c r="K50" i="46"/>
  <c r="J50" i="46"/>
  <c r="D50" i="46"/>
  <c r="M49" i="46"/>
  <c r="N49" i="46" s="1"/>
  <c r="K49" i="46"/>
  <c r="J49" i="46" s="1"/>
  <c r="D49" i="46"/>
  <c r="B49" i="46"/>
  <c r="M48" i="46"/>
  <c r="N48" i="46" s="1"/>
  <c r="K48" i="46"/>
  <c r="J48" i="46" s="1"/>
  <c r="D48" i="46"/>
  <c r="M47" i="46"/>
  <c r="N47" i="46" s="1"/>
  <c r="K47" i="46"/>
  <c r="J47" i="46" s="1"/>
  <c r="F47" i="46"/>
  <c r="D47" i="46"/>
  <c r="H39" i="46"/>
  <c r="H38" i="46"/>
  <c r="H37" i="46"/>
  <c r="H36" i="46"/>
  <c r="H35" i="46"/>
  <c r="H34" i="46"/>
  <c r="H33" i="46"/>
  <c r="J20" i="46"/>
  <c r="I19" i="46"/>
  <c r="C18" i="46"/>
  <c r="F15" i="46"/>
  <c r="E15" i="46"/>
  <c r="D15" i="46"/>
  <c r="C15" i="46"/>
  <c r="AH12" i="46"/>
  <c r="AD12" i="46"/>
  <c r="AB12" i="46"/>
  <c r="Z12" i="46"/>
  <c r="Y12" i="46"/>
  <c r="Y10" i="46"/>
  <c r="C10" i="46"/>
  <c r="C11" i="46" s="1"/>
  <c r="E9" i="46" s="1"/>
  <c r="AJ9" i="46"/>
  <c r="AI9" i="46"/>
  <c r="AI12" i="46" s="1"/>
  <c r="AH9" i="46"/>
  <c r="AH10" i="46" s="1"/>
  <c r="AG9" i="46"/>
  <c r="AF9" i="46"/>
  <c r="AF10" i="46" s="1"/>
  <c r="AE9" i="46"/>
  <c r="AE12" i="46" s="1"/>
  <c r="AD9" i="46"/>
  <c r="AD10" i="46" s="1"/>
  <c r="AC9" i="46"/>
  <c r="AB9" i="46"/>
  <c r="AB10" i="46" s="1"/>
  <c r="AA9" i="46"/>
  <c r="AA12" i="46" s="1"/>
  <c r="Z9" i="46"/>
  <c r="Z10" i="46" s="1"/>
  <c r="C9" i="46"/>
  <c r="C7" i="46"/>
  <c r="A7" i="46"/>
  <c r="I2" i="46"/>
  <c r="M11" i="46" s="1"/>
  <c r="G2" i="46"/>
  <c r="H113" i="46" s="1"/>
  <c r="D1" i="46"/>
  <c r="B122" i="40"/>
  <c r="B120" i="40"/>
  <c r="F41" i="40" s="1"/>
  <c r="AA41" i="40" s="1"/>
  <c r="B118" i="40"/>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H35" i="40" s="1"/>
  <c r="B105" i="40"/>
  <c r="B103" i="40"/>
  <c r="H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E96" i="40"/>
  <c r="F96" i="40" s="1"/>
  <c r="G96" i="40" s="1"/>
  <c r="D96" i="40"/>
  <c r="D94" i="40"/>
  <c r="E94" i="40" s="1"/>
  <c r="F94" i="40" s="1"/>
  <c r="G94" i="40" s="1"/>
  <c r="D92" i="40"/>
  <c r="E92" i="40" s="1"/>
  <c r="F92" i="40" s="1"/>
  <c r="G92" i="40" s="1"/>
  <c r="E90" i="40"/>
  <c r="F90" i="40" s="1"/>
  <c r="G90" i="40" s="1"/>
  <c r="D90" i="40"/>
  <c r="E88" i="40"/>
  <c r="F88" i="40" s="1"/>
  <c r="G88" i="40" s="1"/>
  <c r="D88" i="40"/>
  <c r="D86" i="40"/>
  <c r="E86" i="40" s="1"/>
  <c r="F86" i="40" s="1"/>
  <c r="G86" i="40" s="1"/>
  <c r="B83" i="40"/>
  <c r="H16" i="40" s="1"/>
  <c r="B81" i="40"/>
  <c r="B79" i="40"/>
  <c r="H14" i="40" s="1"/>
  <c r="D78" i="40"/>
  <c r="E78" i="40" s="1"/>
  <c r="F78" i="40" s="1"/>
  <c r="G78" i="40" s="1"/>
  <c r="H78" i="40" s="1"/>
  <c r="I78" i="40" s="1"/>
  <c r="J78" i="40" s="1"/>
  <c r="K78" i="40" s="1"/>
  <c r="L78" i="40" s="1"/>
  <c r="M78" i="40" s="1"/>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H56" i="40"/>
  <c r="I56" i="40" s="1"/>
  <c r="C56" i="40" s="1"/>
  <c r="H55" i="40"/>
  <c r="I55" i="40" s="1"/>
  <c r="C55" i="40" s="1"/>
  <c r="I54" i="40"/>
  <c r="C54" i="40" s="1"/>
  <c r="H54" i="40"/>
  <c r="I50" i="40"/>
  <c r="J50" i="40" s="1"/>
  <c r="G50" i="40"/>
  <c r="H50" i="40" s="1"/>
  <c r="E50" i="40"/>
  <c r="F50" i="40" s="1"/>
  <c r="P45" i="40"/>
  <c r="P44" i="40"/>
  <c r="K44" i="40"/>
  <c r="V43" i="40"/>
  <c r="T43" i="40"/>
  <c r="R43" i="40"/>
  <c r="P43" i="40"/>
  <c r="Q42" i="40"/>
  <c r="Z42" i="40" s="1"/>
  <c r="H42" i="40"/>
  <c r="AB42" i="40" s="1"/>
  <c r="Q41" i="40"/>
  <c r="Z41" i="40" s="1"/>
  <c r="J41" i="40"/>
  <c r="AC41" i="40" s="1"/>
  <c r="H41" i="40"/>
  <c r="AB41" i="40" s="1"/>
  <c r="Q40" i="40"/>
  <c r="Z40" i="40" s="1"/>
  <c r="H40" i="40"/>
  <c r="AB40" i="40" s="1"/>
  <c r="AC39" i="40"/>
  <c r="Q39" i="40"/>
  <c r="Z39" i="40" s="1"/>
  <c r="J39" i="40"/>
  <c r="W39" i="40" s="1"/>
  <c r="H39" i="40"/>
  <c r="AB39" i="40" s="1"/>
  <c r="F39" i="40"/>
  <c r="AA39" i="40" s="1"/>
  <c r="AB38" i="40"/>
  <c r="U38" i="40"/>
  <c r="Q38" i="40"/>
  <c r="Z38" i="40" s="1"/>
  <c r="J38" i="40"/>
  <c r="AC38" i="40" s="1"/>
  <c r="H38" i="40"/>
  <c r="F38" i="40"/>
  <c r="AA38" i="40" s="1"/>
  <c r="Q37" i="40"/>
  <c r="Z37" i="40" s="1"/>
  <c r="J37" i="40"/>
  <c r="AC37" i="40" s="1"/>
  <c r="H37" i="40"/>
  <c r="AB37" i="40" s="1"/>
  <c r="F37" i="40"/>
  <c r="AA37" i="40" s="1"/>
  <c r="Q36" i="40"/>
  <c r="Z36" i="40" s="1"/>
  <c r="J36" i="40"/>
  <c r="AC36" i="40" s="1"/>
  <c r="H36" i="40"/>
  <c r="AB36" i="40" s="1"/>
  <c r="F36" i="40"/>
  <c r="AA36" i="40" s="1"/>
  <c r="Q35" i="40"/>
  <c r="Z35" i="40" s="1"/>
  <c r="J35" i="40"/>
  <c r="W35" i="40" s="1"/>
  <c r="F35" i="40"/>
  <c r="AA35" i="40" s="1"/>
  <c r="Q34" i="40"/>
  <c r="Z34" i="40" s="1"/>
  <c r="J34" i="40"/>
  <c r="AC34" i="40" s="1"/>
  <c r="H34" i="40"/>
  <c r="AB34" i="40" s="1"/>
  <c r="F34" i="40"/>
  <c r="AA34" i="40" s="1"/>
  <c r="Q33" i="40"/>
  <c r="Z33" i="40" s="1"/>
  <c r="J33" i="40"/>
  <c r="AC33" i="40" s="1"/>
  <c r="Q32" i="40"/>
  <c r="Z32" i="40" s="1"/>
  <c r="C32" i="40"/>
  <c r="Q30" i="40"/>
  <c r="Z30" i="40" s="1"/>
  <c r="J30" i="40"/>
  <c r="AC30" i="40" s="1"/>
  <c r="H30" i="40"/>
  <c r="AB30" i="40" s="1"/>
  <c r="F30" i="40"/>
  <c r="AA30" i="40" s="1"/>
  <c r="C30" i="40"/>
  <c r="Q29" i="40"/>
  <c r="Z29" i="40" s="1"/>
  <c r="J29" i="40"/>
  <c r="AC29" i="40" s="1"/>
  <c r="H29" i="40"/>
  <c r="AB29" i="40" s="1"/>
  <c r="F29" i="40"/>
  <c r="AA29" i="40" s="1"/>
  <c r="Q27" i="40"/>
  <c r="Z27" i="40" s="1"/>
  <c r="J27" i="40"/>
  <c r="AC27" i="40" s="1"/>
  <c r="H27" i="40"/>
  <c r="AB27" i="40" s="1"/>
  <c r="F27" i="40"/>
  <c r="AA27" i="40" s="1"/>
  <c r="AC25" i="40"/>
  <c r="W25" i="40"/>
  <c r="Q25" i="40"/>
  <c r="Z25" i="40" s="1"/>
  <c r="J25" i="40"/>
  <c r="H25" i="40"/>
  <c r="AB25" i="40" s="1"/>
  <c r="F25" i="40"/>
  <c r="AA25" i="40" s="1"/>
  <c r="Q23" i="40"/>
  <c r="Z23" i="40" s="1"/>
  <c r="J23" i="40"/>
  <c r="AC23" i="40" s="1"/>
  <c r="H23" i="40"/>
  <c r="AB23" i="40" s="1"/>
  <c r="F23" i="40"/>
  <c r="AA23" i="40" s="1"/>
  <c r="Q21" i="40"/>
  <c r="Z21" i="40" s="1"/>
  <c r="J21" i="40"/>
  <c r="AC21" i="40" s="1"/>
  <c r="H21" i="40"/>
  <c r="AB21" i="40" s="1"/>
  <c r="F21" i="40"/>
  <c r="AA21" i="40" s="1"/>
  <c r="C21" i="40"/>
  <c r="AC19" i="40"/>
  <c r="W19" i="40"/>
  <c r="Q19" i="40"/>
  <c r="Z19" i="40" s="1"/>
  <c r="J19" i="40"/>
  <c r="H19" i="40"/>
  <c r="AB19" i="40" s="1"/>
  <c r="F19" i="40"/>
  <c r="AA19" i="40" s="1"/>
  <c r="Q17" i="40"/>
  <c r="Z17" i="40" s="1"/>
  <c r="J17" i="40"/>
  <c r="W17" i="40" s="1"/>
  <c r="H17" i="40"/>
  <c r="AB17" i="40" s="1"/>
  <c r="F17" i="40"/>
  <c r="AA17" i="40" s="1"/>
  <c r="AA16" i="40"/>
  <c r="Q16" i="40"/>
  <c r="Z16" i="40" s="1"/>
  <c r="F16" i="40"/>
  <c r="S16" i="40" s="1"/>
  <c r="Q15" i="40"/>
  <c r="Z15" i="40" s="1"/>
  <c r="S14" i="40"/>
  <c r="Q14" i="40"/>
  <c r="Z14" i="40" s="1"/>
  <c r="J14" i="40"/>
  <c r="AC14" i="40" s="1"/>
  <c r="F14" i="40"/>
  <c r="AA14" i="40" s="1"/>
  <c r="AB13" i="40"/>
  <c r="U13" i="40"/>
  <c r="Q13" i="40"/>
  <c r="Z13" i="40" s="1"/>
  <c r="J13" i="40"/>
  <c r="AC13" i="40" s="1"/>
  <c r="H13" i="40"/>
  <c r="F13" i="40"/>
  <c r="AA13" i="40" s="1"/>
  <c r="Q12" i="40"/>
  <c r="Z12" i="40" s="1"/>
  <c r="Q11" i="40"/>
  <c r="Z11" i="40" s="1"/>
  <c r="J11" i="40"/>
  <c r="AC11" i="40" s="1"/>
  <c r="H11" i="40"/>
  <c r="AB11" i="40" s="1"/>
  <c r="F11" i="40"/>
  <c r="AA11" i="40" s="1"/>
  <c r="J10" i="40"/>
  <c r="W10" i="40" s="1"/>
  <c r="H10" i="40"/>
  <c r="F10" i="40"/>
  <c r="S10" i="40" s="1"/>
  <c r="F27" i="43"/>
  <c r="F20" i="43"/>
  <c r="F19" i="43"/>
  <c r="F17" i="43"/>
  <c r="E16" i="43"/>
  <c r="F15" i="43"/>
  <c r="F14" i="43"/>
  <c r="K9" i="43"/>
  <c r="J9" i="43"/>
  <c r="I9" i="43"/>
  <c r="H9" i="43"/>
  <c r="G9" i="43"/>
  <c r="F9" i="43"/>
  <c r="E9" i="43"/>
  <c r="D9" i="43"/>
  <c r="C9" i="43"/>
  <c r="C10" i="43" s="1"/>
  <c r="C145" i="21"/>
  <c r="J142" i="21"/>
  <c r="J140" i="21"/>
  <c r="K143" i="21" s="1"/>
  <c r="K139" i="21"/>
  <c r="B130" i="21"/>
  <c r="H46" i="21" s="1"/>
  <c r="B128" i="21"/>
  <c r="J45" i="21" s="1"/>
  <c r="AC45" i="21" s="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J31" i="21" s="1"/>
  <c r="AC31" i="21" s="1"/>
  <c r="B96" i="21"/>
  <c r="B94" i="21"/>
  <c r="J29" i="21" s="1"/>
  <c r="AC29" i="21" s="1"/>
  <c r="B92" i="21"/>
  <c r="F28" i="21" s="1"/>
  <c r="AA28" i="21" s="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D79" i="21"/>
  <c r="E79" i="21" s="1"/>
  <c r="F79" i="21" s="1"/>
  <c r="G79" i="21" s="1"/>
  <c r="D77" i="21"/>
  <c r="E77" i="21" s="1"/>
  <c r="B74" i="21"/>
  <c r="F14" i="21" s="1"/>
  <c r="AA14" i="21" s="1"/>
  <c r="B72" i="21"/>
  <c r="F13" i="21" s="1"/>
  <c r="AA13" i="21" s="1"/>
  <c r="B70" i="21"/>
  <c r="F12" i="21" s="1"/>
  <c r="AA12" i="21" s="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J9" i="21" s="1"/>
  <c r="AC9" i="21" s="1"/>
  <c r="I54" i="21"/>
  <c r="J54" i="21" s="1"/>
  <c r="H54" i="21"/>
  <c r="G54" i="21"/>
  <c r="E54" i="21"/>
  <c r="F54" i="21" s="1"/>
  <c r="P49" i="21"/>
  <c r="P48" i="21"/>
  <c r="K48" i="21"/>
  <c r="V47" i="21"/>
  <c r="T47" i="21"/>
  <c r="R47" i="21"/>
  <c r="P47" i="21"/>
  <c r="Q46" i="21"/>
  <c r="Z46" i="21" s="1"/>
  <c r="J46" i="21"/>
  <c r="AC46" i="21" s="1"/>
  <c r="F46" i="21"/>
  <c r="AA46" i="21" s="1"/>
  <c r="Q45" i="21"/>
  <c r="Z45" i="21" s="1"/>
  <c r="H45" i="21"/>
  <c r="AB45" i="21" s="1"/>
  <c r="F45" i="21"/>
  <c r="AA45" i="21" s="1"/>
  <c r="Q44" i="21"/>
  <c r="Z44" i="21" s="1"/>
  <c r="J44" i="21"/>
  <c r="AC44" i="21" s="1"/>
  <c r="F44" i="21"/>
  <c r="AA44" i="21" s="1"/>
  <c r="Q43" i="21"/>
  <c r="Z43" i="21" s="1"/>
  <c r="J43" i="21"/>
  <c r="AC43" i="21" s="1"/>
  <c r="H43" i="21"/>
  <c r="AB43" i="21" s="1"/>
  <c r="F43" i="21"/>
  <c r="AA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F31" i="21"/>
  <c r="AA31" i="21" s="1"/>
  <c r="Q30" i="21"/>
  <c r="Z30" i="21" s="1"/>
  <c r="Q29" i="21"/>
  <c r="Z29" i="21" s="1"/>
  <c r="Q28" i="21"/>
  <c r="Z28" i="21" s="1"/>
  <c r="J28" i="21"/>
  <c r="AC28" i="21" s="1"/>
  <c r="H28" i="21"/>
  <c r="AB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C19" i="21"/>
  <c r="Q17" i="21"/>
  <c r="Z17" i="21" s="1"/>
  <c r="C17" i="21"/>
  <c r="Q15" i="21"/>
  <c r="Z15" i="21" s="1"/>
  <c r="C15" i="21"/>
  <c r="Q14" i="21"/>
  <c r="Z14" i="21" s="1"/>
  <c r="Q13" i="21"/>
  <c r="Z13" i="21" s="1"/>
  <c r="Q12" i="21"/>
  <c r="Z12" i="21" s="1"/>
  <c r="H12" i="21"/>
  <c r="AB12" i="21" s="1"/>
  <c r="Q11" i="21"/>
  <c r="Z11" i="21" s="1"/>
  <c r="H11" i="21"/>
  <c r="AB11" i="21" s="1"/>
  <c r="Q10" i="21"/>
  <c r="Z10" i="21" s="1"/>
  <c r="J10" i="21"/>
  <c r="AC10" i="21" s="1"/>
  <c r="H10" i="21"/>
  <c r="AB10" i="21" s="1"/>
  <c r="F10" i="21"/>
  <c r="AA10" i="21" s="1"/>
  <c r="Q9" i="21"/>
  <c r="Z9" i="21" s="1"/>
  <c r="H9" i="21"/>
  <c r="AB9" i="21" s="1"/>
  <c r="F9" i="21"/>
  <c r="AA9" i="21" s="1"/>
  <c r="U8" i="21"/>
  <c r="J8" i="21"/>
  <c r="W8" i="21" s="1"/>
  <c r="H8" i="21"/>
  <c r="AB8" i="21" s="1"/>
  <c r="F8" i="21"/>
  <c r="S8" i="21" s="1"/>
  <c r="F25" i="12"/>
  <c r="C25" i="12" s="1"/>
  <c r="F24" i="12"/>
  <c r="F23" i="12"/>
  <c r="E22" i="12"/>
  <c r="E21" i="12"/>
  <c r="E19" i="12"/>
  <c r="F17" i="12"/>
  <c r="E16" i="12"/>
  <c r="F15" i="12"/>
  <c r="F14" i="12"/>
  <c r="K9" i="12"/>
  <c r="J9" i="12"/>
  <c r="I9" i="12"/>
  <c r="H9" i="12"/>
  <c r="G9" i="12"/>
  <c r="F9" i="12"/>
  <c r="E9" i="12"/>
  <c r="D9" i="12"/>
  <c r="B133" i="39"/>
  <c r="B131" i="39"/>
  <c r="J46" i="39" s="1"/>
  <c r="B129" i="39"/>
  <c r="D128" i="39"/>
  <c r="E128" i="39" s="1"/>
  <c r="F128" i="39" s="1"/>
  <c r="G128" i="39" s="1"/>
  <c r="H128" i="39" s="1"/>
  <c r="I128" i="39" s="1"/>
  <c r="J128" i="39" s="1"/>
  <c r="K128" i="39" s="1"/>
  <c r="L128" i="39" s="1"/>
  <c r="M128" i="39" s="1"/>
  <c r="E126" i="39"/>
  <c r="F126" i="39" s="1"/>
  <c r="G126" i="39" s="1"/>
  <c r="H126" i="39" s="1"/>
  <c r="I126" i="39" s="1"/>
  <c r="J126" i="39" s="1"/>
  <c r="K126" i="39" s="1"/>
  <c r="L126" i="39" s="1"/>
  <c r="M126" i="39" s="1"/>
  <c r="D126" i="39"/>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B114" i="39"/>
  <c r="J38" i="39" s="1"/>
  <c r="B112"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E107" i="39"/>
  <c r="F107" i="39" s="1"/>
  <c r="G107" i="39" s="1"/>
  <c r="H107" i="39" s="1"/>
  <c r="I107" i="39" s="1"/>
  <c r="J107" i="39" s="1"/>
  <c r="K107" i="39" s="1"/>
  <c r="L107" i="39" s="1"/>
  <c r="M107" i="39" s="1"/>
  <c r="D107" i="39"/>
  <c r="B106" i="39"/>
  <c r="J33" i="39" s="1"/>
  <c r="D105" i="39"/>
  <c r="E105" i="39" s="1"/>
  <c r="F105" i="39" s="1"/>
  <c r="G105" i="39" s="1"/>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B88" i="39"/>
  <c r="B86" i="39"/>
  <c r="J15" i="39" s="1"/>
  <c r="AC15" i="39" s="1"/>
  <c r="B84" i="39"/>
  <c r="D83" i="39"/>
  <c r="E83" i="39" s="1"/>
  <c r="F83" i="39" s="1"/>
  <c r="G83" i="39" s="1"/>
  <c r="H83" i="39" s="1"/>
  <c r="I83" i="39" s="1"/>
  <c r="J83" i="39" s="1"/>
  <c r="K83" i="39" s="1"/>
  <c r="L83" i="39" s="1"/>
  <c r="M83" i="39" s="1"/>
  <c r="M81" i="39"/>
  <c r="L81" i="39"/>
  <c r="K81" i="39"/>
  <c r="J81" i="39"/>
  <c r="I81" i="39"/>
  <c r="H81" i="39"/>
  <c r="G81" i="39"/>
  <c r="F81" i="39"/>
  <c r="E81" i="39"/>
  <c r="D81" i="39"/>
  <c r="C81" i="39"/>
  <c r="H67" i="39"/>
  <c r="I67" i="39" s="1"/>
  <c r="C67" i="39"/>
  <c r="H66" i="39"/>
  <c r="I66" i="39" s="1"/>
  <c r="C66" i="39"/>
  <c r="H65" i="39"/>
  <c r="I65" i="39" s="1"/>
  <c r="C65" i="39" s="1"/>
  <c r="H64" i="39"/>
  <c r="I64" i="39" s="1"/>
  <c r="C64" i="39" s="1"/>
  <c r="H63" i="39"/>
  <c r="I63" i="39" s="1"/>
  <c r="C63" i="39"/>
  <c r="H62" i="39"/>
  <c r="I62" i="39" s="1"/>
  <c r="C62" i="39" s="1"/>
  <c r="H61" i="39"/>
  <c r="I61" i="39" s="1"/>
  <c r="C61" i="39" s="1"/>
  <c r="H60" i="39"/>
  <c r="I60" i="39" s="1"/>
  <c r="C60" i="39" s="1"/>
  <c r="H59" i="39"/>
  <c r="I59" i="39" s="1"/>
  <c r="C59" i="39" s="1"/>
  <c r="I55" i="39"/>
  <c r="J55" i="39" s="1"/>
  <c r="H55" i="39"/>
  <c r="G55" i="39"/>
  <c r="F55" i="39"/>
  <c r="E55" i="39"/>
  <c r="P50" i="39"/>
  <c r="P49" i="39"/>
  <c r="K49" i="39"/>
  <c r="V48" i="39"/>
  <c r="T48" i="39"/>
  <c r="R48" i="39"/>
  <c r="P48" i="39"/>
  <c r="Q47" i="39"/>
  <c r="Z47" i="39" s="1"/>
  <c r="J47" i="39"/>
  <c r="AC47" i="39" s="1"/>
  <c r="H47" i="39"/>
  <c r="AB47" i="39" s="1"/>
  <c r="F47" i="39"/>
  <c r="AA47" i="39" s="1"/>
  <c r="Q46" i="39"/>
  <c r="Z46" i="39" s="1"/>
  <c r="H46" i="39"/>
  <c r="AB46" i="39" s="1"/>
  <c r="Q45" i="39"/>
  <c r="Z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H38" i="39"/>
  <c r="AB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H33" i="39"/>
  <c r="AB33"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C25" i="39"/>
  <c r="Q23" i="39"/>
  <c r="Z23" i="39" s="1"/>
  <c r="J23" i="39"/>
  <c r="AC23" i="39" s="1"/>
  <c r="H23" i="39"/>
  <c r="AB23" i="39" s="1"/>
  <c r="F23" i="39"/>
  <c r="AA23" i="39" s="1"/>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6" i="39"/>
  <c r="Z16" i="39" s="1"/>
  <c r="J16" i="39"/>
  <c r="AC16" i="39" s="1"/>
  <c r="H16" i="39"/>
  <c r="AB16" i="39" s="1"/>
  <c r="F16" i="39"/>
  <c r="AA16" i="39" s="1"/>
  <c r="Q15" i="39"/>
  <c r="Z15" i="39" s="1"/>
  <c r="H15" i="39"/>
  <c r="AB15" i="39" s="1"/>
  <c r="F15" i="39"/>
  <c r="AA15" i="39" s="1"/>
  <c r="Q14" i="39"/>
  <c r="Z14" i="39" s="1"/>
  <c r="Q13" i="39"/>
  <c r="Z13" i="39" s="1"/>
  <c r="J13" i="39"/>
  <c r="AC13" i="39" s="1"/>
  <c r="H13" i="39"/>
  <c r="AB13" i="39" s="1"/>
  <c r="F13" i="39"/>
  <c r="AA13" i="39" s="1"/>
  <c r="Q12" i="39"/>
  <c r="Z12" i="39" s="1"/>
  <c r="Q11" i="39"/>
  <c r="Z11" i="39" s="1"/>
  <c r="J11" i="39"/>
  <c r="AC11" i="39" s="1"/>
  <c r="H11" i="39"/>
  <c r="AB11" i="39" s="1"/>
  <c r="F11" i="39"/>
  <c r="AA11" i="39" s="1"/>
  <c r="J10" i="39"/>
  <c r="AC10" i="39" s="1"/>
  <c r="H10" i="39"/>
  <c r="F10" i="39"/>
  <c r="AA10" i="39" s="1"/>
  <c r="C112" i="9"/>
  <c r="C109" i="9"/>
  <c r="E108" i="9"/>
  <c r="D107" i="9"/>
  <c r="C107" i="9" s="1"/>
  <c r="C105" i="9" s="1"/>
  <c r="H95" i="9"/>
  <c r="D95" i="9"/>
  <c r="C94" i="9"/>
  <c r="F77" i="9"/>
  <c r="E77" i="9"/>
  <c r="O75" i="9" s="1"/>
  <c r="L75" i="9"/>
  <c r="K75" i="9"/>
  <c r="P74" i="9"/>
  <c r="O74" i="9"/>
  <c r="F74" i="9"/>
  <c r="O73" i="9"/>
  <c r="I73" i="9"/>
  <c r="F73" i="9"/>
  <c r="P73" i="9" s="1"/>
  <c r="E66" i="9"/>
  <c r="O72" i="9" s="1"/>
  <c r="D66" i="9"/>
  <c r="N72" i="9" s="1"/>
  <c r="A46" i="9"/>
  <c r="C46" i="9" s="1"/>
  <c r="A45" i="9"/>
  <c r="C45" i="9" s="1"/>
  <c r="H14" i="66" s="1"/>
  <c r="B7" i="66" s="1"/>
  <c r="K44" i="9"/>
  <c r="C44" i="9"/>
  <c r="N69" i="9" s="1"/>
  <c r="A44" i="9"/>
  <c r="K43" i="9"/>
  <c r="C43" i="9"/>
  <c r="K47" i="9" s="1"/>
  <c r="O40" i="9"/>
  <c r="K31" i="9" s="1"/>
  <c r="K32" i="9" s="1"/>
  <c r="O39" i="9"/>
  <c r="K39" i="9"/>
  <c r="K29" i="9"/>
  <c r="K30" i="9" s="1"/>
  <c r="C25" i="9"/>
  <c r="C24" i="9"/>
  <c r="C17" i="9"/>
  <c r="M4" i="9"/>
  <c r="L4" i="9"/>
  <c r="F23" i="66"/>
  <c r="E23" i="66"/>
  <c r="F22" i="66"/>
  <c r="E22" i="66"/>
  <c r="F21" i="66"/>
  <c r="E21" i="66"/>
  <c r="F20" i="66"/>
  <c r="E20" i="66"/>
  <c r="F19" i="66"/>
  <c r="E19" i="66"/>
  <c r="F18" i="66"/>
  <c r="E18" i="66"/>
  <c r="F17" i="66"/>
  <c r="E17" i="66"/>
  <c r="F16" i="66"/>
  <c r="E16" i="66"/>
  <c r="F15" i="66"/>
  <c r="E15" i="66"/>
  <c r="B3" i="66"/>
  <c r="C24" i="20"/>
  <c r="C22" i="20"/>
  <c r="C21" i="20"/>
  <c r="G20" i="20"/>
  <c r="C20" i="20"/>
  <c r="G19" i="20"/>
  <c r="G18" i="20"/>
  <c r="C18" i="20"/>
  <c r="C17" i="20"/>
  <c r="G16" i="20"/>
  <c r="C16" i="20"/>
  <c r="G15" i="20"/>
  <c r="C15" i="20"/>
  <c r="B69" i="73" s="1"/>
  <c r="B52" i="1"/>
  <c r="B43" i="1"/>
  <c r="D96" i="9" s="1"/>
  <c r="B41" i="1"/>
  <c r="D86" i="9" s="1"/>
  <c r="B31" i="1"/>
  <c r="B24" i="1"/>
  <c r="B23" i="1"/>
  <c r="B22" i="1"/>
  <c r="AG13" i="1"/>
  <c r="AE13" i="1"/>
  <c r="F13" i="1"/>
  <c r="AP13" i="1" s="1"/>
  <c r="D13" i="1"/>
  <c r="A13" i="1"/>
  <c r="R13" i="1" s="1"/>
  <c r="AG12" i="1"/>
  <c r="AE12" i="1"/>
  <c r="F12" i="1"/>
  <c r="AP12" i="1" s="1"/>
  <c r="D12" i="1"/>
  <c r="A12" i="1"/>
  <c r="R12" i="1" s="1"/>
  <c r="AG11" i="1"/>
  <c r="AE11" i="1"/>
  <c r="F11" i="1"/>
  <c r="AP11" i="1" s="1"/>
  <c r="D11" i="1"/>
  <c r="A11" i="1"/>
  <c r="R11" i="1" s="1"/>
  <c r="AG10" i="1"/>
  <c r="AE10" i="1"/>
  <c r="F10" i="1"/>
  <c r="AP10" i="1" s="1"/>
  <c r="D10" i="1"/>
  <c r="A10" i="1"/>
  <c r="R10" i="1" s="1"/>
  <c r="AG9" i="1"/>
  <c r="AE9" i="1"/>
  <c r="F9" i="1"/>
  <c r="AP9" i="1" s="1"/>
  <c r="D9" i="1"/>
  <c r="A9" i="1"/>
  <c r="R9" i="1" s="1"/>
  <c r="AG8" i="1"/>
  <c r="AE8" i="1"/>
  <c r="F8" i="1"/>
  <c r="AP8" i="1" s="1"/>
  <c r="D8" i="1"/>
  <c r="A8" i="1"/>
  <c r="R8" i="1" s="1"/>
  <c r="AG7" i="1"/>
  <c r="AE7" i="1"/>
  <c r="F7" i="1"/>
  <c r="AP7" i="1" s="1"/>
  <c r="D7" i="1"/>
  <c r="A7" i="1"/>
  <c r="R7" i="1" s="1"/>
  <c r="AG6" i="1"/>
  <c r="AE6" i="1"/>
  <c r="D6" i="1"/>
  <c r="A6" i="1"/>
  <c r="T4" i="1"/>
  <c r="B2" i="1"/>
  <c r="O27" i="6"/>
  <c r="N27" i="6"/>
  <c r="G27" i="6"/>
  <c r="P26" i="6"/>
  <c r="L26" i="6"/>
  <c r="E26" i="6"/>
  <c r="P25" i="6"/>
  <c r="L25" i="6"/>
  <c r="E25" i="6"/>
  <c r="P24" i="6"/>
  <c r="L24" i="6"/>
  <c r="E24" i="6"/>
  <c r="P23" i="6"/>
  <c r="L23" i="6"/>
  <c r="E23" i="6"/>
  <c r="P22" i="6"/>
  <c r="L22" i="6"/>
  <c r="E22" i="6"/>
  <c r="P21" i="6"/>
  <c r="L21" i="6"/>
  <c r="E21" i="6"/>
  <c r="P20" i="6"/>
  <c r="L20" i="6"/>
  <c r="E20" i="6"/>
  <c r="P19" i="6"/>
  <c r="E19" i="6"/>
  <c r="BT572" i="3"/>
  <c r="BS572" i="3"/>
  <c r="BR572" i="3"/>
  <c r="BL572" i="3" s="1"/>
  <c r="BQ572" i="3"/>
  <c r="BP572" i="3"/>
  <c r="BO572" i="3"/>
  <c r="BN572" i="3"/>
  <c r="BM572" i="3"/>
  <c r="BK572" i="3"/>
  <c r="BJ572" i="3"/>
  <c r="BI572" i="3"/>
  <c r="BH572" i="3"/>
  <c r="BG572" i="3"/>
  <c r="BF572" i="3"/>
  <c r="BE572" i="3"/>
  <c r="BD572" i="3"/>
  <c r="BC572" i="3"/>
  <c r="BB572" i="3"/>
  <c r="BA572" i="3" s="1"/>
  <c r="AX572" i="3"/>
  <c r="AW572" i="3"/>
  <c r="AV572" i="3"/>
  <c r="AC572" i="3"/>
  <c r="H572" i="3"/>
  <c r="BT571" i="3"/>
  <c r="BS571" i="3"/>
  <c r="BR571" i="3"/>
  <c r="BQ571" i="3"/>
  <c r="BP571" i="3"/>
  <c r="BO571" i="3"/>
  <c r="BN571" i="3"/>
  <c r="BM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K569" i="3"/>
  <c r="BJ569" i="3"/>
  <c r="BI569" i="3"/>
  <c r="BH569" i="3"/>
  <c r="BG569" i="3"/>
  <c r="BF569" i="3"/>
  <c r="BE569" i="3"/>
  <c r="BD569" i="3"/>
  <c r="BC569" i="3"/>
  <c r="BB569" i="3"/>
  <c r="BA569" i="3" s="1"/>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K567" i="3"/>
  <c r="BJ567" i="3"/>
  <c r="BI567" i="3"/>
  <c r="BH567" i="3"/>
  <c r="BG567" i="3"/>
  <c r="BF567" i="3"/>
  <c r="BE567" i="3"/>
  <c r="BD567" i="3"/>
  <c r="BC567" i="3"/>
  <c r="BB567" i="3"/>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A563" i="3" s="1"/>
  <c r="AZ563" i="3" s="1"/>
  <c r="BC563" i="3"/>
  <c r="BB563" i="3"/>
  <c r="AX563" i="3"/>
  <c r="AW563" i="3"/>
  <c r="AV563" i="3"/>
  <c r="AC563" i="3"/>
  <c r="H563" i="3"/>
  <c r="G563" i="3" s="1"/>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G559" i="3" s="1"/>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G558" i="3" s="1"/>
  <c r="BT557" i="3"/>
  <c r="BS557" i="3"/>
  <c r="BR557" i="3"/>
  <c r="BQ557" i="3"/>
  <c r="BP557" i="3"/>
  <c r="BO557" i="3"/>
  <c r="BN557" i="3"/>
  <c r="BM557" i="3"/>
  <c r="BK557" i="3"/>
  <c r="BJ557" i="3"/>
  <c r="BI557" i="3"/>
  <c r="BH557" i="3"/>
  <c r="BG557" i="3"/>
  <c r="BF557" i="3"/>
  <c r="BA557" i="3" s="1"/>
  <c r="BE557" i="3"/>
  <c r="BD557" i="3"/>
  <c r="BC557" i="3"/>
  <c r="BB557" i="3"/>
  <c r="AX557" i="3"/>
  <c r="AW557" i="3"/>
  <c r="AV557" i="3"/>
  <c r="AC557" i="3"/>
  <c r="H557" i="3"/>
  <c r="G557" i="3"/>
  <c r="BT556" i="3"/>
  <c r="BS556" i="3"/>
  <c r="BR556" i="3"/>
  <c r="BQ556" i="3"/>
  <c r="BP556" i="3"/>
  <c r="BL556" i="3" s="1"/>
  <c r="BO556" i="3"/>
  <c r="BN556" i="3"/>
  <c r="BM556" i="3"/>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AX554" i="3"/>
  <c r="AW554" i="3"/>
  <c r="AV554" i="3"/>
  <c r="AC554" i="3"/>
  <c r="H554" i="3"/>
  <c r="G554" i="3" s="1"/>
  <c r="BT553" i="3"/>
  <c r="BS553" i="3"/>
  <c r="BR553" i="3"/>
  <c r="BQ553" i="3"/>
  <c r="BP553" i="3"/>
  <c r="BO553" i="3"/>
  <c r="BN553" i="3"/>
  <c r="BM553" i="3"/>
  <c r="BK553" i="3"/>
  <c r="BJ553" i="3"/>
  <c r="BI553" i="3"/>
  <c r="BH553" i="3"/>
  <c r="BG553" i="3"/>
  <c r="BF553" i="3"/>
  <c r="BE553" i="3"/>
  <c r="BD553" i="3"/>
  <c r="BC553" i="3"/>
  <c r="BA553" i="3" s="1"/>
  <c r="BB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L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A547" i="3" s="1"/>
  <c r="BB547" i="3"/>
  <c r="AX547" i="3"/>
  <c r="AW547" i="3"/>
  <c r="AV547" i="3"/>
  <c r="AC547" i="3"/>
  <c r="G547" i="3" s="1"/>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L544" i="3" s="1"/>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AX542" i="3"/>
  <c r="AW542" i="3"/>
  <c r="AV542" i="3"/>
  <c r="AC542" i="3"/>
  <c r="H542" i="3"/>
  <c r="G542" i="3" s="1"/>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G539" i="3" s="1"/>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s="1"/>
  <c r="AX536" i="3"/>
  <c r="AW536" i="3"/>
  <c r="AV536" i="3"/>
  <c r="AC536" i="3"/>
  <c r="H536" i="3"/>
  <c r="BT535" i="3"/>
  <c r="BS535" i="3"/>
  <c r="BR535" i="3"/>
  <c r="BQ535" i="3"/>
  <c r="BP535" i="3"/>
  <c r="BO535" i="3"/>
  <c r="BN535" i="3"/>
  <c r="BM535" i="3"/>
  <c r="BK535" i="3"/>
  <c r="BJ535" i="3"/>
  <c r="BI535" i="3"/>
  <c r="BH535" i="3"/>
  <c r="BG535" i="3"/>
  <c r="BF535" i="3"/>
  <c r="BE535" i="3"/>
  <c r="BD535" i="3"/>
  <c r="BC535" i="3"/>
  <c r="BB535" i="3"/>
  <c r="BA535" i="3"/>
  <c r="AX535" i="3"/>
  <c r="AW535" i="3"/>
  <c r="AV535" i="3"/>
  <c r="AC535" i="3"/>
  <c r="G535" i="3" s="1"/>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BA533" i="3" s="1"/>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G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c r="BT528" i="3"/>
  <c r="BS528" i="3"/>
  <c r="BR528" i="3"/>
  <c r="BQ528" i="3"/>
  <c r="BP528" i="3"/>
  <c r="BL528" i="3" s="1"/>
  <c r="BO528" i="3"/>
  <c r="BN528" i="3"/>
  <c r="BM528" i="3"/>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A525" i="3" s="1"/>
  <c r="BC525" i="3"/>
  <c r="BB525" i="3"/>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A523" i="3" s="1"/>
  <c r="BB523" i="3"/>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A515" i="3" s="1"/>
  <c r="BD515" i="3"/>
  <c r="BC515" i="3"/>
  <c r="BB515" i="3"/>
  <c r="AX515" i="3"/>
  <c r="AW515" i="3"/>
  <c r="AV515" i="3"/>
  <c r="AC515" i="3"/>
  <c r="H515" i="3"/>
  <c r="BT514" i="3"/>
  <c r="BS514" i="3"/>
  <c r="BR514" i="3"/>
  <c r="BQ514" i="3"/>
  <c r="BP514" i="3"/>
  <c r="BO514" i="3"/>
  <c r="BL514" i="3" s="1"/>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K511" i="3"/>
  <c r="BJ511" i="3"/>
  <c r="BI511" i="3"/>
  <c r="BH511" i="3"/>
  <c r="BA511" i="3" s="1"/>
  <c r="BG511" i="3"/>
  <c r="BF511" i="3"/>
  <c r="BE511" i="3"/>
  <c r="BD511" i="3"/>
  <c r="BC511" i="3"/>
  <c r="BB511" i="3"/>
  <c r="AX511" i="3"/>
  <c r="AW511" i="3"/>
  <c r="AV511" i="3"/>
  <c r="AC511" i="3"/>
  <c r="H511" i="3"/>
  <c r="G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L508" i="3" s="1"/>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G507" i="3" s="1"/>
  <c r="H507" i="3"/>
  <c r="BT506" i="3"/>
  <c r="BS506" i="3"/>
  <c r="BL506" i="3" s="1"/>
  <c r="BR506" i="3"/>
  <c r="BQ506" i="3"/>
  <c r="BP506" i="3"/>
  <c r="BO506" i="3"/>
  <c r="BN506" i="3"/>
  <c r="BM506" i="3"/>
  <c r="BK506" i="3"/>
  <c r="BJ506" i="3"/>
  <c r="BI506" i="3"/>
  <c r="BH506" i="3"/>
  <c r="BG506" i="3"/>
  <c r="BF506" i="3"/>
  <c r="BE506" i="3"/>
  <c r="BD506" i="3"/>
  <c r="BC506" i="3"/>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BA505" i="3" s="1"/>
  <c r="AX505" i="3"/>
  <c r="AW505" i="3"/>
  <c r="AV505" i="3"/>
  <c r="AC505" i="3"/>
  <c r="H505" i="3"/>
  <c r="G505" i="3" s="1"/>
  <c r="BT504" i="3"/>
  <c r="BS504" i="3"/>
  <c r="BR504" i="3"/>
  <c r="BQ504" i="3"/>
  <c r="BP504" i="3"/>
  <c r="BO504" i="3"/>
  <c r="BN504" i="3"/>
  <c r="BL504" i="3" s="1"/>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G502" i="3" s="1"/>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A499" i="3" s="1"/>
  <c r="BE499" i="3"/>
  <c r="BD499" i="3"/>
  <c r="BC499" i="3"/>
  <c r="BB499" i="3"/>
  <c r="AX499" i="3"/>
  <c r="AW499" i="3"/>
  <c r="AV499" i="3"/>
  <c r="AC499" i="3"/>
  <c r="H499" i="3"/>
  <c r="G499" i="3" s="1"/>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c r="BT496" i="3"/>
  <c r="BS496" i="3"/>
  <c r="BR496" i="3"/>
  <c r="BQ496" i="3"/>
  <c r="BP496" i="3"/>
  <c r="BL496" i="3" s="1"/>
  <c r="BO496" i="3"/>
  <c r="BN496" i="3"/>
  <c r="BM496" i="3"/>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K495" i="3"/>
  <c r="BJ495" i="3"/>
  <c r="BI495" i="3"/>
  <c r="BH495" i="3"/>
  <c r="BG495" i="3"/>
  <c r="BA495" i="3" s="1"/>
  <c r="BF495" i="3"/>
  <c r="BE495" i="3"/>
  <c r="BD495" i="3"/>
  <c r="BC495" i="3"/>
  <c r="BB495" i="3"/>
  <c r="AX495" i="3"/>
  <c r="AW495" i="3"/>
  <c r="AV495" i="3"/>
  <c r="AC495" i="3"/>
  <c r="H495" i="3"/>
  <c r="G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s="1"/>
  <c r="BT493" i="3"/>
  <c r="BS493" i="3"/>
  <c r="BR493" i="3"/>
  <c r="BQ493" i="3"/>
  <c r="BP493" i="3"/>
  <c r="BO493" i="3"/>
  <c r="BN493" i="3"/>
  <c r="BM493" i="3"/>
  <c r="BK493" i="3"/>
  <c r="BJ493" i="3"/>
  <c r="BI493" i="3"/>
  <c r="BH493" i="3"/>
  <c r="BG493" i="3"/>
  <c r="BF493" i="3"/>
  <c r="BE493" i="3"/>
  <c r="BD493" i="3"/>
  <c r="BC493" i="3"/>
  <c r="BB493" i="3"/>
  <c r="BA493" i="3" s="1"/>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A483" i="3" s="1"/>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A469" i="3" s="1"/>
  <c r="AZ469" i="3" s="1"/>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L450" i="3" s="1"/>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A447" i="3" s="1"/>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A437" i="3" s="1"/>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s="1"/>
  <c r="BT434" i="3"/>
  <c r="BS434" i="3"/>
  <c r="BR434" i="3"/>
  <c r="BQ434" i="3"/>
  <c r="BP434" i="3"/>
  <c r="BL434" i="3" s="1"/>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A431" i="3" s="1"/>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A427" i="3" s="1"/>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A423" i="3" s="1"/>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A417" i="3" s="1"/>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A411" i="3" s="1"/>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A403" i="3" s="1"/>
  <c r="BE403" i="3"/>
  <c r="BD403" i="3"/>
  <c r="BC403" i="3"/>
  <c r="BB403" i="3"/>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L400" i="3" s="1"/>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G383" i="3" s="1"/>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c r="AX377" i="3"/>
  <c r="AW377" i="3"/>
  <c r="AV377" i="3"/>
  <c r="AC377" i="3"/>
  <c r="H377" i="3"/>
  <c r="G377" i="3" s="1"/>
  <c r="BT376" i="3"/>
  <c r="BS376" i="3"/>
  <c r="BR376" i="3"/>
  <c r="BQ376" i="3"/>
  <c r="BP376" i="3"/>
  <c r="BO376" i="3"/>
  <c r="BN376" i="3"/>
  <c r="BM376" i="3"/>
  <c r="BK376" i="3"/>
  <c r="BJ376" i="3"/>
  <c r="BI376" i="3"/>
  <c r="BH376" i="3"/>
  <c r="BG376" i="3"/>
  <c r="BF376" i="3"/>
  <c r="BE376" i="3"/>
  <c r="BD376" i="3"/>
  <c r="BC376" i="3"/>
  <c r="BB376" i="3"/>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L374" i="3" s="1"/>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G367" i="3" s="1"/>
  <c r="H367" i="3"/>
  <c r="BT366" i="3"/>
  <c r="BS366" i="3"/>
  <c r="BR366" i="3"/>
  <c r="BL366" i="3" s="1"/>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A361" i="3" s="1"/>
  <c r="BB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s="1"/>
  <c r="AX359" i="3"/>
  <c r="AW359" i="3"/>
  <c r="AV359" i="3"/>
  <c r="AC359" i="3"/>
  <c r="H359" i="3"/>
  <c r="G359" i="3" s="1"/>
  <c r="BT358" i="3"/>
  <c r="BS358" i="3"/>
  <c r="BR358" i="3"/>
  <c r="BQ358" i="3"/>
  <c r="BP358" i="3"/>
  <c r="BL358" i="3" s="1"/>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G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G356" i="3" s="1"/>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AX353" i="3"/>
  <c r="AW353" i="3"/>
  <c r="AV353" i="3"/>
  <c r="AC353" i="3"/>
  <c r="H353" i="3"/>
  <c r="G353" i="3" s="1"/>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G350" i="3" s="1"/>
  <c r="BT349" i="3"/>
  <c r="BS349" i="3"/>
  <c r="BR349" i="3"/>
  <c r="BQ349" i="3"/>
  <c r="BP349" i="3"/>
  <c r="BO349" i="3"/>
  <c r="BN349" i="3"/>
  <c r="BM349" i="3"/>
  <c r="BK349" i="3"/>
  <c r="BJ349" i="3"/>
  <c r="BI349" i="3"/>
  <c r="BH349" i="3"/>
  <c r="BG349" i="3"/>
  <c r="BF349" i="3"/>
  <c r="BA349" i="3" s="1"/>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A345" i="3" s="1"/>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G337" i="3" s="1"/>
  <c r="BT336" i="3"/>
  <c r="BS336" i="3"/>
  <c r="BR336" i="3"/>
  <c r="BQ336" i="3"/>
  <c r="BP336" i="3"/>
  <c r="BO336" i="3"/>
  <c r="BN336" i="3"/>
  <c r="BM336" i="3"/>
  <c r="BK336" i="3"/>
  <c r="BJ336" i="3"/>
  <c r="BI336" i="3"/>
  <c r="BH336" i="3"/>
  <c r="BG336" i="3"/>
  <c r="BF336" i="3"/>
  <c r="BE336" i="3"/>
  <c r="BD336" i="3"/>
  <c r="BC336" i="3"/>
  <c r="BB336" i="3"/>
  <c r="BA336" i="3" s="1"/>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G335" i="3" s="1"/>
  <c r="H335" i="3"/>
  <c r="BT334" i="3"/>
  <c r="BS334" i="3"/>
  <c r="BR334" i="3"/>
  <c r="BL334" i="3" s="1"/>
  <c r="BQ334" i="3"/>
  <c r="BP334" i="3"/>
  <c r="BO334" i="3"/>
  <c r="BN334" i="3"/>
  <c r="BM334" i="3"/>
  <c r="BK334" i="3"/>
  <c r="BJ334" i="3"/>
  <c r="BI334" i="3"/>
  <c r="BH334" i="3"/>
  <c r="BG334" i="3"/>
  <c r="BF334" i="3"/>
  <c r="BE334" i="3"/>
  <c r="BD334" i="3"/>
  <c r="BC334" i="3"/>
  <c r="BB334" i="3"/>
  <c r="BA334" i="3" s="1"/>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L330" i="3" s="1"/>
  <c r="BQ330" i="3"/>
  <c r="BP330" i="3"/>
  <c r="BO330" i="3"/>
  <c r="BN330" i="3"/>
  <c r="BM330" i="3"/>
  <c r="BK330" i="3"/>
  <c r="BJ330" i="3"/>
  <c r="BI330" i="3"/>
  <c r="BH330" i="3"/>
  <c r="BG330" i="3"/>
  <c r="BF330" i="3"/>
  <c r="BE330" i="3"/>
  <c r="BD330" i="3"/>
  <c r="BC330" i="3"/>
  <c r="BB330" i="3"/>
  <c r="BA330" i="3" s="1"/>
  <c r="AZ330" i="3" s="1"/>
  <c r="AX330" i="3"/>
  <c r="AW330" i="3"/>
  <c r="AV330" i="3"/>
  <c r="AC330" i="3"/>
  <c r="H330" i="3"/>
  <c r="BT329" i="3"/>
  <c r="BS329" i="3"/>
  <c r="BR329" i="3"/>
  <c r="BQ329" i="3"/>
  <c r="BP329" i="3"/>
  <c r="BO329" i="3"/>
  <c r="BN329" i="3"/>
  <c r="BM329" i="3"/>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BA327" i="3" s="1"/>
  <c r="AX327" i="3"/>
  <c r="AW327" i="3"/>
  <c r="AV327" i="3"/>
  <c r="AC327" i="3"/>
  <c r="H327" i="3"/>
  <c r="G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A321" i="3" s="1"/>
  <c r="BC321" i="3"/>
  <c r="BB321" i="3"/>
  <c r="AX321" i="3"/>
  <c r="AW321" i="3"/>
  <c r="AV321" i="3"/>
  <c r="AC321" i="3"/>
  <c r="H321" i="3"/>
  <c r="G321" i="3" s="1"/>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A319" i="3" s="1"/>
  <c r="BF319" i="3"/>
  <c r="BE319" i="3"/>
  <c r="BD319" i="3"/>
  <c r="BC319" i="3"/>
  <c r="BB319" i="3"/>
  <c r="AX319" i="3"/>
  <c r="AW319" i="3"/>
  <c r="AV319" i="3"/>
  <c r="AC319" i="3"/>
  <c r="G319" i="3" s="1"/>
  <c r="H319" i="3"/>
  <c r="BT318" i="3"/>
  <c r="BS318" i="3"/>
  <c r="BR318" i="3"/>
  <c r="BQ318" i="3"/>
  <c r="BP318" i="3"/>
  <c r="BL318" i="3" s="1"/>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L314" i="3" s="1"/>
  <c r="BQ314" i="3"/>
  <c r="BP314" i="3"/>
  <c r="BO314" i="3"/>
  <c r="BN314" i="3"/>
  <c r="BM314" i="3"/>
  <c r="BK314" i="3"/>
  <c r="BJ314" i="3"/>
  <c r="BI314" i="3"/>
  <c r="BH314" i="3"/>
  <c r="BG314" i="3"/>
  <c r="BF314" i="3"/>
  <c r="BE314" i="3"/>
  <c r="BD314" i="3"/>
  <c r="BC314" i="3"/>
  <c r="BB314" i="3"/>
  <c r="BA314" i="3" s="1"/>
  <c r="AX314" i="3"/>
  <c r="AW314" i="3"/>
  <c r="AV314" i="3"/>
  <c r="AC314" i="3"/>
  <c r="H314" i="3"/>
  <c r="G314" i="3" s="1"/>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L308" i="3" s="1"/>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A305" i="3" s="1"/>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G303" i="3" s="1"/>
  <c r="H303" i="3"/>
  <c r="BT302" i="3"/>
  <c r="BS302" i="3"/>
  <c r="BR302" i="3"/>
  <c r="BQ302" i="3"/>
  <c r="BP302" i="3"/>
  <c r="BL302" i="3" s="1"/>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A301" i="3" s="1"/>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A299" i="3" s="1"/>
  <c r="AZ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L297" i="3" s="1"/>
  <c r="BK297" i="3"/>
  <c r="BJ297" i="3"/>
  <c r="BI297" i="3"/>
  <c r="BH297" i="3"/>
  <c r="BG297" i="3"/>
  <c r="BF297" i="3"/>
  <c r="BE297" i="3"/>
  <c r="BD297" i="3"/>
  <c r="BA297" i="3" s="1"/>
  <c r="BC297" i="3"/>
  <c r="BB297" i="3"/>
  <c r="AX297" i="3"/>
  <c r="AW297" i="3"/>
  <c r="AV297" i="3"/>
  <c r="AC297" i="3"/>
  <c r="H297" i="3"/>
  <c r="BT296" i="3"/>
  <c r="BS296" i="3"/>
  <c r="BR296" i="3"/>
  <c r="BQ296" i="3"/>
  <c r="BP296" i="3"/>
  <c r="BO296" i="3"/>
  <c r="BN296" i="3"/>
  <c r="BL296" i="3" s="1"/>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A289" i="3" s="1"/>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A269" i="3" s="1"/>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L266" i="3" s="1"/>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A253" i="3" s="1"/>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G239" i="3" s="1"/>
  <c r="H239" i="3"/>
  <c r="BT238" i="3"/>
  <c r="BS238" i="3"/>
  <c r="BR238" i="3"/>
  <c r="BL238" i="3" s="1"/>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A231" i="3" s="1"/>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A227" i="3" s="1"/>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L220" i="3" s="1"/>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A215" i="3" s="1"/>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L212" i="3" s="1"/>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c r="BT198" i="3"/>
  <c r="BS198" i="3"/>
  <c r="BR198" i="3"/>
  <c r="BQ198" i="3"/>
  <c r="BP198" i="3"/>
  <c r="BL198" i="3" s="1"/>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L196" i="3" s="1"/>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A187" i="3" s="1"/>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L178" i="3" s="1"/>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A177" i="3" s="1"/>
  <c r="BG177" i="3"/>
  <c r="BF177" i="3"/>
  <c r="BE177" i="3"/>
  <c r="BD177" i="3"/>
  <c r="BC177" i="3"/>
  <c r="BB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G175" i="3" s="1"/>
  <c r="BT174" i="3"/>
  <c r="BS174" i="3"/>
  <c r="BR174" i="3"/>
  <c r="BQ174" i="3"/>
  <c r="BP174" i="3"/>
  <c r="BO174" i="3"/>
  <c r="BN174" i="3"/>
  <c r="BL174" i="3" s="1"/>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G173" i="3" s="1"/>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s="1"/>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A165" i="3" s="1"/>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L162" i="3" s="1"/>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G157" i="3" s="1"/>
  <c r="H157" i="3"/>
  <c r="BT156" i="3"/>
  <c r="BS156" i="3"/>
  <c r="BR156" i="3"/>
  <c r="BQ156" i="3"/>
  <c r="BP156" i="3"/>
  <c r="BO156" i="3"/>
  <c r="BL156" i="3" s="1"/>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A149" i="3" s="1"/>
  <c r="BD149" i="3"/>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L146" i="3" s="1"/>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A137" i="3" s="1"/>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A135" i="3" s="1"/>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BT133" i="3"/>
  <c r="BS133" i="3"/>
  <c r="BL133" i="3" s="1"/>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A124" i="3" s="1"/>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L121" i="3" s="1"/>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A118" i="3" s="1"/>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A108" i="3" s="1"/>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L105" i="3" s="1"/>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A97" i="3" s="1"/>
  <c r="AZ97" i="3" s="1"/>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A75" i="3" s="1"/>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L72" i="3" s="1"/>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L68" i="3" s="1"/>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A63" i="3" s="1"/>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L60" i="3" s="1"/>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L54" i="3" s="1"/>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A47" i="3" s="1"/>
  <c r="BD47" i="3"/>
  <c r="BC47" i="3"/>
  <c r="BB47" i="3"/>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G45" i="3" s="1"/>
  <c r="H45" i="3"/>
  <c r="BT44" i="3"/>
  <c r="BS44" i="3"/>
  <c r="BR44" i="3"/>
  <c r="BQ44" i="3"/>
  <c r="BP44" i="3"/>
  <c r="BL44" i="3" s="1"/>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A43" i="3" s="1"/>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s="1"/>
  <c r="BT40" i="3"/>
  <c r="BS40" i="3"/>
  <c r="BR40" i="3"/>
  <c r="BQ40" i="3"/>
  <c r="BP40" i="3"/>
  <c r="BO40" i="3"/>
  <c r="BN40" i="3"/>
  <c r="BL40" i="3" s="1"/>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G39" i="3" s="1"/>
  <c r="H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A31" i="3" s="1"/>
  <c r="BD31" i="3"/>
  <c r="BC31" i="3"/>
  <c r="BB31" i="3"/>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G29" i="3" s="1"/>
  <c r="H29" i="3"/>
  <c r="BT28" i="3"/>
  <c r="BS28" i="3"/>
  <c r="BR28" i="3"/>
  <c r="BQ28" i="3"/>
  <c r="BP28" i="3"/>
  <c r="BL28" i="3" s="1"/>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Q5" i="3" s="1"/>
  <c r="F28" i="6" s="1"/>
  <c r="BP25" i="3"/>
  <c r="BO25" i="3"/>
  <c r="BN25" i="3"/>
  <c r="BM25" i="3"/>
  <c r="BK25" i="3"/>
  <c r="BJ25" i="3"/>
  <c r="BI25" i="3"/>
  <c r="BI5" i="3" s="1"/>
  <c r="BH25" i="3"/>
  <c r="BG25" i="3"/>
  <c r="BF25" i="3"/>
  <c r="BE25" i="3"/>
  <c r="BD25" i="3"/>
  <c r="BC25" i="3"/>
  <c r="BB25" i="3"/>
  <c r="BA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s="1"/>
  <c r="AX23" i="3"/>
  <c r="AW23" i="3"/>
  <c r="AV23" i="3"/>
  <c r="AC23" i="3"/>
  <c r="G23" i="3" s="1"/>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A17" i="3" s="1"/>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A15" i="3" s="1"/>
  <c r="BD15" i="3"/>
  <c r="BC15" i="3"/>
  <c r="BB15" i="3"/>
  <c r="AX15" i="3"/>
  <c r="AW15" i="3"/>
  <c r="AV15" i="3"/>
  <c r="AC15" i="3"/>
  <c r="H15" i="3"/>
  <c r="G15" i="3" s="1"/>
  <c r="BT14" i="3"/>
  <c r="BS14" i="3"/>
  <c r="BR14" i="3"/>
  <c r="BQ14" i="3"/>
  <c r="BP14" i="3"/>
  <c r="BO14" i="3"/>
  <c r="BN14" i="3"/>
  <c r="BM14" i="3"/>
  <c r="BK14" i="3"/>
  <c r="BJ14" i="3"/>
  <c r="BI14" i="3"/>
  <c r="BH14" i="3"/>
  <c r="BH5" i="3" s="1"/>
  <c r="BG14" i="3"/>
  <c r="BF14" i="3"/>
  <c r="BE14" i="3"/>
  <c r="BD14" i="3"/>
  <c r="BC14" i="3"/>
  <c r="BC5" i="3" s="1"/>
  <c r="BB14" i="3"/>
  <c r="AX14" i="3"/>
  <c r="AW14" i="3"/>
  <c r="AV14" i="3"/>
  <c r="AC14" i="3"/>
  <c r="H14" i="3"/>
  <c r="BT13" i="3"/>
  <c r="BS13" i="3"/>
  <c r="BS5" i="3" s="1"/>
  <c r="BR13" i="3"/>
  <c r="BQ13" i="3"/>
  <c r="BP13" i="3"/>
  <c r="BO13" i="3"/>
  <c r="BO5" i="3" s="1"/>
  <c r="BN13" i="3"/>
  <c r="BM13" i="3"/>
  <c r="BK13" i="3"/>
  <c r="BJ13" i="3"/>
  <c r="BI13" i="3"/>
  <c r="BH13" i="3"/>
  <c r="BG13" i="3"/>
  <c r="BG5" i="3" s="1"/>
  <c r="BF13" i="3"/>
  <c r="BE13" i="3"/>
  <c r="BE5" i="3" s="1"/>
  <c r="BD13" i="3"/>
  <c r="BC13" i="3"/>
  <c r="BB13" i="3"/>
  <c r="BA13" i="3" s="1"/>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K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K40" i="4"/>
  <c r="T40" i="4" s="1"/>
  <c r="D38" i="4"/>
  <c r="C39" i="4" s="1"/>
  <c r="G36" i="4"/>
  <c r="C35" i="4"/>
  <c r="L26" i="4"/>
  <c r="L25" i="4"/>
  <c r="L24" i="4"/>
  <c r="A2" i="55" s="1"/>
  <c r="B55" i="63" s="1"/>
  <c r="F23" i="4"/>
  <c r="I19" i="4"/>
  <c r="H19" i="4"/>
  <c r="G19" i="4"/>
  <c r="F19" i="4"/>
  <c r="E19" i="4"/>
  <c r="D19" i="4"/>
  <c r="F6" i="1" s="1"/>
  <c r="U16" i="4"/>
  <c r="S16" i="4"/>
  <c r="Q16" i="4"/>
  <c r="R16" i="4" s="1"/>
  <c r="O16" i="4"/>
  <c r="P16" i="4" s="1"/>
  <c r="M16" i="4"/>
  <c r="K16" i="4"/>
  <c r="D14" i="4"/>
  <c r="K6" i="4"/>
  <c r="K4" i="4"/>
  <c r="B46" i="50" s="1"/>
  <c r="B4" i="63" s="1"/>
  <c r="I4" i="4"/>
  <c r="G4" i="4"/>
  <c r="K2" i="4"/>
  <c r="A2" i="9" s="1"/>
  <c r="K1" i="4"/>
  <c r="B1" i="4"/>
  <c r="B37" i="50" s="1"/>
  <c r="B2" i="63" s="1"/>
  <c r="C57" i="10"/>
  <c r="C56" i="10"/>
  <c r="C55" i="10"/>
  <c r="C54" i="10"/>
  <c r="D51" i="10"/>
  <c r="B51" i="10"/>
  <c r="B2" i="52"/>
  <c r="B15" i="52" s="1"/>
  <c r="A21" i="55"/>
  <c r="B71" i="63" s="1"/>
  <c r="A20" i="55"/>
  <c r="A16" i="55"/>
  <c r="B67" i="63" s="1"/>
  <c r="A15" i="55"/>
  <c r="B66" i="63" s="1"/>
  <c r="A14" i="55"/>
  <c r="B65" i="63" s="1"/>
  <c r="A10" i="55"/>
  <c r="B61" i="63" s="1"/>
  <c r="A9" i="55"/>
  <c r="B60" i="63" s="1"/>
  <c r="A8" i="55"/>
  <c r="B59" i="63" s="1"/>
  <c r="A4" i="55"/>
  <c r="A8" i="54"/>
  <c r="R7" i="54"/>
  <c r="B52" i="63" s="1"/>
  <c r="A7" i="54"/>
  <c r="R6" i="54"/>
  <c r="A6" i="54"/>
  <c r="B49" i="63" s="1"/>
  <c r="M5" i="54"/>
  <c r="G5" i="54"/>
  <c r="B34" i="63" s="1"/>
  <c r="E5" i="54"/>
  <c r="N3" i="54"/>
  <c r="R2" i="54"/>
  <c r="K2" i="54"/>
  <c r="B23" i="63" s="1"/>
  <c r="A30" i="64"/>
  <c r="A28" i="64"/>
  <c r="A27" i="64"/>
  <c r="A26" i="64"/>
  <c r="A21" i="64"/>
  <c r="B75" i="63" s="1"/>
  <c r="A15" i="64"/>
  <c r="A14" i="64"/>
  <c r="A11" i="64"/>
  <c r="A3" i="64"/>
  <c r="A30" i="51"/>
  <c r="B22" i="63" s="1"/>
  <c r="A28" i="51"/>
  <c r="B21" i="63" s="1"/>
  <c r="A27" i="51"/>
  <c r="A26" i="51"/>
  <c r="B19" i="63" s="1"/>
  <c r="A23" i="51"/>
  <c r="B17" i="63" s="1"/>
  <c r="A15" i="51"/>
  <c r="B12" i="63" s="1"/>
  <c r="A14" i="51"/>
  <c r="B11" i="63" s="1"/>
  <c r="A11" i="51"/>
  <c r="B10" i="63" s="1"/>
  <c r="A4" i="51"/>
  <c r="B6" i="63" s="1"/>
  <c r="A3" i="51"/>
  <c r="B49" i="50"/>
  <c r="B5" i="63" s="1"/>
  <c r="B40" i="50"/>
  <c r="B76" i="63"/>
  <c r="B73" i="63"/>
  <c r="B69" i="63"/>
  <c r="B68" i="63"/>
  <c r="B64" i="63"/>
  <c r="B63" i="63"/>
  <c r="B58" i="63"/>
  <c r="B57" i="63"/>
  <c r="B53" i="63"/>
  <c r="B51" i="63"/>
  <c r="B50" i="63"/>
  <c r="B44" i="63"/>
  <c r="B42" i="63"/>
  <c r="B41" i="63"/>
  <c r="B40" i="63"/>
  <c r="B37" i="63"/>
  <c r="B36" i="63"/>
  <c r="B35" i="63"/>
  <c r="B33" i="63"/>
  <c r="B32" i="63"/>
  <c r="B31" i="63"/>
  <c r="B30" i="63"/>
  <c r="B29" i="63"/>
  <c r="B28" i="63"/>
  <c r="B27" i="63"/>
  <c r="B26" i="63"/>
  <c r="B25" i="63"/>
  <c r="B24" i="63"/>
  <c r="B20" i="63"/>
  <c r="B8" i="63"/>
  <c r="B3" i="63"/>
  <c r="F9" i="67"/>
  <c r="B14" i="67"/>
  <c r="B12" i="67"/>
  <c r="F7" i="67"/>
  <c r="B8" i="67"/>
  <c r="F10" i="67"/>
  <c r="F12" i="67"/>
  <c r="E9" i="67"/>
  <c r="E10" i="67"/>
  <c r="B11" i="67"/>
  <c r="B10" i="67"/>
  <c r="E7" i="67"/>
  <c r="E13" i="67"/>
  <c r="F8" i="67"/>
  <c r="B9" i="67"/>
  <c r="B7" i="67"/>
  <c r="F13" i="67"/>
  <c r="F11" i="67"/>
  <c r="E8" i="67"/>
  <c r="E12" i="67"/>
  <c r="E14" i="67"/>
  <c r="E11" i="67"/>
  <c r="F14" i="67"/>
  <c r="B13" i="67"/>
  <c r="H36" i="21" l="1"/>
  <c r="AB36" i="21" s="1"/>
  <c r="H42" i="21"/>
  <c r="AB42" i="21" s="1"/>
  <c r="B59" i="73"/>
  <c r="B70" i="73"/>
  <c r="B48" i="73"/>
  <c r="J17" i="21"/>
  <c r="AC17" i="21" s="1"/>
  <c r="F17" i="21"/>
  <c r="AA17" i="21" s="1"/>
  <c r="H17" i="21"/>
  <c r="AB17" i="21" s="1"/>
  <c r="J42" i="21"/>
  <c r="AC42" i="21" s="1"/>
  <c r="F42" i="21"/>
  <c r="AA42" i="21" s="1"/>
  <c r="B66" i="73"/>
  <c r="B55" i="73"/>
  <c r="B76" i="73"/>
  <c r="F77" i="21"/>
  <c r="G77" i="21" s="1"/>
  <c r="J15" i="21"/>
  <c r="AC15" i="21" s="1"/>
  <c r="H15" i="21"/>
  <c r="AB15" i="21" s="1"/>
  <c r="F15" i="21"/>
  <c r="AA15" i="21" s="1"/>
  <c r="F81" i="21"/>
  <c r="G81" i="21" s="1"/>
  <c r="F19" i="21"/>
  <c r="AA19" i="21" s="1"/>
  <c r="B73" i="73"/>
  <c r="B53" i="73"/>
  <c r="B64" i="73"/>
  <c r="F29" i="21"/>
  <c r="AA29" i="21" s="1"/>
  <c r="H29" i="21"/>
  <c r="AB29" i="21" s="1"/>
  <c r="H13" i="21"/>
  <c r="AB13" i="21" s="1"/>
  <c r="J13" i="21"/>
  <c r="AC13" i="21" s="1"/>
  <c r="H14" i="21"/>
  <c r="AB14" i="21" s="1"/>
  <c r="J14" i="21"/>
  <c r="AC14" i="21" s="1"/>
  <c r="D113" i="73"/>
  <c r="AZ249" i="3"/>
  <c r="AZ29" i="3"/>
  <c r="AZ49" i="3"/>
  <c r="AZ85" i="3"/>
  <c r="AZ45" i="3"/>
  <c r="AZ53" i="3"/>
  <c r="BA256" i="3"/>
  <c r="BA48" i="3"/>
  <c r="AZ48" i="3" s="1"/>
  <c r="BA64" i="3"/>
  <c r="AZ64" i="3" s="1"/>
  <c r="BA109" i="3"/>
  <c r="BL119" i="3"/>
  <c r="BA153" i="3"/>
  <c r="H5" i="3"/>
  <c r="AC5" i="3"/>
  <c r="BF5" i="3"/>
  <c r="BN5" i="3"/>
  <c r="G29" i="6" s="1"/>
  <c r="E29" i="6" s="1"/>
  <c r="BL15" i="3"/>
  <c r="G16" i="3"/>
  <c r="BA22" i="3"/>
  <c r="AZ22" i="3" s="1"/>
  <c r="BL31" i="3"/>
  <c r="G32" i="3"/>
  <c r="BA38" i="3"/>
  <c r="AZ38" i="3" s="1"/>
  <c r="BL47" i="3"/>
  <c r="G48" i="3"/>
  <c r="BA54" i="3"/>
  <c r="AZ54" i="3" s="1"/>
  <c r="BL63" i="3"/>
  <c r="G64" i="3"/>
  <c r="BL74" i="3"/>
  <c r="BA84" i="3"/>
  <c r="AZ84" i="3" s="1"/>
  <c r="BA86" i="3"/>
  <c r="AZ86" i="3" s="1"/>
  <c r="BA88" i="3"/>
  <c r="AZ88" i="3" s="1"/>
  <c r="BA89" i="3"/>
  <c r="AZ89" i="3" s="1"/>
  <c r="BL92" i="3"/>
  <c r="BL93" i="3"/>
  <c r="G94" i="3"/>
  <c r="BL95" i="3"/>
  <c r="G96" i="3"/>
  <c r="BL107" i="3"/>
  <c r="G108" i="3"/>
  <c r="BA126" i="3"/>
  <c r="AZ126" i="3" s="1"/>
  <c r="BL151" i="3"/>
  <c r="BL159" i="3"/>
  <c r="BL244" i="3"/>
  <c r="BL254" i="3"/>
  <c r="AZ287" i="3"/>
  <c r="A11" i="55"/>
  <c r="B62" i="63" s="1"/>
  <c r="BL17" i="3"/>
  <c r="AZ17" i="3" s="1"/>
  <c r="G18" i="3"/>
  <c r="BA24" i="3"/>
  <c r="AZ24" i="3" s="1"/>
  <c r="BL33" i="3"/>
  <c r="AZ33" i="3" s="1"/>
  <c r="G34" i="3"/>
  <c r="BA40" i="3"/>
  <c r="AZ40" i="3" s="1"/>
  <c r="BL49" i="3"/>
  <c r="G50" i="3"/>
  <c r="BA56" i="3"/>
  <c r="AZ56" i="3" s="1"/>
  <c r="BL65" i="3"/>
  <c r="G66" i="3"/>
  <c r="BL70" i="3"/>
  <c r="BL73" i="3"/>
  <c r="G74" i="3"/>
  <c r="BL75" i="3"/>
  <c r="G76" i="3"/>
  <c r="BL77" i="3"/>
  <c r="G78" i="3"/>
  <c r="BL79" i="3"/>
  <c r="G80" i="3"/>
  <c r="BL90" i="3"/>
  <c r="G91" i="3"/>
  <c r="BL91" i="3"/>
  <c r="G92" i="3"/>
  <c r="BL103" i="3"/>
  <c r="BA125" i="3"/>
  <c r="BL127" i="3"/>
  <c r="BL128" i="3"/>
  <c r="G129" i="3"/>
  <c r="BA139" i="3"/>
  <c r="BA142" i="3"/>
  <c r="AZ142" i="3" s="1"/>
  <c r="BA144" i="3"/>
  <c r="BA146" i="3"/>
  <c r="AZ146" i="3" s="1"/>
  <c r="BA147" i="3"/>
  <c r="BL150" i="3"/>
  <c r="G151" i="3"/>
  <c r="BA169" i="3"/>
  <c r="AZ169" i="3" s="1"/>
  <c r="BA171" i="3"/>
  <c r="BA174" i="3"/>
  <c r="AZ174" i="3" s="1"/>
  <c r="BA176" i="3"/>
  <c r="AZ176" i="3" s="1"/>
  <c r="BA178" i="3"/>
  <c r="AZ178" i="3" s="1"/>
  <c r="BA179" i="3"/>
  <c r="BA188" i="3"/>
  <c r="BA189" i="3"/>
  <c r="AZ189" i="3" s="1"/>
  <c r="BL190" i="3"/>
  <c r="BL206" i="3"/>
  <c r="BL208" i="3"/>
  <c r="BA213" i="3"/>
  <c r="BL216" i="3"/>
  <c r="AZ238" i="3"/>
  <c r="AZ333" i="3"/>
  <c r="AZ334" i="3"/>
  <c r="BP5" i="3"/>
  <c r="AZ26" i="3"/>
  <c r="AZ42" i="3"/>
  <c r="J35" i="35"/>
  <c r="AC35" i="35" s="1"/>
  <c r="H35" i="35"/>
  <c r="AB35" i="35" s="1"/>
  <c r="F35" i="35"/>
  <c r="AA35" i="35" s="1"/>
  <c r="BA28" i="3"/>
  <c r="AZ28" i="3" s="1"/>
  <c r="BL37" i="3"/>
  <c r="AZ37" i="3" s="1"/>
  <c r="BA44" i="3"/>
  <c r="AZ44" i="3" s="1"/>
  <c r="BL53" i="3"/>
  <c r="BA60" i="3"/>
  <c r="AZ60" i="3" s="1"/>
  <c r="BL85" i="3"/>
  <c r="BA112" i="3"/>
  <c r="BA114" i="3"/>
  <c r="AZ114" i="3" s="1"/>
  <c r="BA117" i="3"/>
  <c r="AZ117" i="3" s="1"/>
  <c r="BA119" i="3"/>
  <c r="AZ119" i="3" s="1"/>
  <c r="BA121" i="3"/>
  <c r="AZ121" i="3" s="1"/>
  <c r="BA122" i="3"/>
  <c r="BL125" i="3"/>
  <c r="BL136" i="3"/>
  <c r="G137" i="3"/>
  <c r="BL138" i="3"/>
  <c r="BL139" i="3"/>
  <c r="G140" i="3"/>
  <c r="BL144" i="3"/>
  <c r="BA166" i="3"/>
  <c r="BL168" i="3"/>
  <c r="BL169" i="3"/>
  <c r="G170" i="3"/>
  <c r="BL171" i="3"/>
  <c r="BL176" i="3"/>
  <c r="BA185" i="3"/>
  <c r="BL188" i="3"/>
  <c r="BA203" i="3"/>
  <c r="BL214" i="3"/>
  <c r="BA232" i="3"/>
  <c r="AZ232" i="3" s="1"/>
  <c r="BL236" i="3"/>
  <c r="BA254" i="3"/>
  <c r="AZ492" i="3"/>
  <c r="BM5" i="3"/>
  <c r="F29" i="6" s="1"/>
  <c r="BL21" i="3"/>
  <c r="AZ21" i="3" s="1"/>
  <c r="N4" i="63"/>
  <c r="N16" i="4"/>
  <c r="BA14" i="3"/>
  <c r="BJ5" i="3"/>
  <c r="BR5" i="3"/>
  <c r="BL23" i="3"/>
  <c r="G24" i="3"/>
  <c r="BA30" i="3"/>
  <c r="AZ30" i="3" s="1"/>
  <c r="BL39" i="3"/>
  <c r="G40" i="3"/>
  <c r="BA46" i="3"/>
  <c r="AZ46" i="3" s="1"/>
  <c r="BL55" i="3"/>
  <c r="G56" i="3"/>
  <c r="BA62" i="3"/>
  <c r="AZ62" i="3" s="1"/>
  <c r="BA110" i="3"/>
  <c r="BL123" i="3"/>
  <c r="G124" i="3"/>
  <c r="BL143" i="3"/>
  <c r="AZ143" i="3" s="1"/>
  <c r="BL167" i="3"/>
  <c r="G168" i="3"/>
  <c r="BL175" i="3"/>
  <c r="AZ175" i="3" s="1"/>
  <c r="G187" i="3"/>
  <c r="G213" i="3"/>
  <c r="BL234" i="3"/>
  <c r="BL235" i="3"/>
  <c r="AZ235" i="3" s="1"/>
  <c r="BA250" i="3"/>
  <c r="AZ250" i="3" s="1"/>
  <c r="BA251" i="3"/>
  <c r="BA267" i="3"/>
  <c r="BL328" i="3"/>
  <c r="BA219" i="3"/>
  <c r="BA221" i="3"/>
  <c r="BL224" i="3"/>
  <c r="BA229" i="3"/>
  <c r="BL233" i="3"/>
  <c r="BA247" i="3"/>
  <c r="BL252" i="3"/>
  <c r="AZ266" i="3"/>
  <c r="AZ58" i="3"/>
  <c r="AZ255" i="3"/>
  <c r="U20" i="59"/>
  <c r="E19" i="59"/>
  <c r="E18" i="59" s="1"/>
  <c r="E17" i="59" s="1"/>
  <c r="E16" i="59" s="1"/>
  <c r="BA16" i="3"/>
  <c r="AZ16" i="3" s="1"/>
  <c r="BL25" i="3"/>
  <c r="BA32" i="3"/>
  <c r="AZ32" i="3" s="1"/>
  <c r="BL41" i="3"/>
  <c r="AZ41" i="3" s="1"/>
  <c r="BL57" i="3"/>
  <c r="AZ57" i="3" s="1"/>
  <c r="AZ158" i="3"/>
  <c r="AZ160" i="3"/>
  <c r="AZ162" i="3"/>
  <c r="BA163" i="3"/>
  <c r="BL166" i="3"/>
  <c r="G13" i="3"/>
  <c r="BL14" i="3"/>
  <c r="BL27" i="3"/>
  <c r="BA34" i="3"/>
  <c r="AZ34" i="3" s="1"/>
  <c r="BL43" i="3"/>
  <c r="BA50" i="3"/>
  <c r="AZ50" i="3" s="1"/>
  <c r="BL59" i="3"/>
  <c r="BA66" i="3"/>
  <c r="AZ66" i="3" s="1"/>
  <c r="BA76" i="3"/>
  <c r="AZ76" i="3" s="1"/>
  <c r="BA92" i="3"/>
  <c r="AZ92" i="3" s="1"/>
  <c r="BA93" i="3"/>
  <c r="AZ93" i="3" s="1"/>
  <c r="BA95" i="3"/>
  <c r="BA98" i="3"/>
  <c r="AZ98" i="3" s="1"/>
  <c r="BL110" i="3"/>
  <c r="BL118" i="3"/>
  <c r="AZ118" i="3" s="1"/>
  <c r="BA151" i="3"/>
  <c r="BL164" i="3"/>
  <c r="BA183" i="3"/>
  <c r="BL184" i="3"/>
  <c r="BA193" i="3"/>
  <c r="AZ193" i="3" s="1"/>
  <c r="BA195" i="3"/>
  <c r="BA432" i="3"/>
  <c r="AZ25" i="3"/>
  <c r="I4" i="6"/>
  <c r="BL186" i="3"/>
  <c r="BD5" i="3"/>
  <c r="BT5" i="3"/>
  <c r="BA18" i="3"/>
  <c r="AZ18" i="3" s="1"/>
  <c r="T16" i="4"/>
  <c r="BL13" i="3"/>
  <c r="AZ13" i="3" s="1"/>
  <c r="G14" i="3"/>
  <c r="BA20" i="3"/>
  <c r="AZ20" i="3" s="1"/>
  <c r="BL29" i="3"/>
  <c r="G30" i="3"/>
  <c r="BA36" i="3"/>
  <c r="AZ36" i="3" s="1"/>
  <c r="BL45" i="3"/>
  <c r="G46" i="3"/>
  <c r="BA52" i="3"/>
  <c r="AZ52" i="3" s="1"/>
  <c r="BL61" i="3"/>
  <c r="AZ61" i="3" s="1"/>
  <c r="G62" i="3"/>
  <c r="BA68" i="3"/>
  <c r="AZ68" i="3" s="1"/>
  <c r="BA70" i="3"/>
  <c r="AZ70" i="3" s="1"/>
  <c r="BA72" i="3"/>
  <c r="AZ72" i="3" s="1"/>
  <c r="BA73" i="3"/>
  <c r="BA77" i="3"/>
  <c r="BA79" i="3"/>
  <c r="BA82" i="3"/>
  <c r="AZ82" i="3" s="1"/>
  <c r="BA101" i="3"/>
  <c r="AZ101" i="3" s="1"/>
  <c r="BA103" i="3"/>
  <c r="BA105" i="3"/>
  <c r="AZ105" i="3" s="1"/>
  <c r="BA106" i="3"/>
  <c r="BL109" i="3"/>
  <c r="G110" i="3"/>
  <c r="BA128" i="3"/>
  <c r="BA130" i="3"/>
  <c r="AZ130" i="3" s="1"/>
  <c r="BA133" i="3"/>
  <c r="AZ133" i="3" s="1"/>
  <c r="BA150" i="3"/>
  <c r="AZ150" i="3" s="1"/>
  <c r="BL152" i="3"/>
  <c r="BL153" i="3"/>
  <c r="G154" i="3"/>
  <c r="BL155" i="3"/>
  <c r="BL160" i="3"/>
  <c r="BA181" i="3"/>
  <c r="BA191" i="3"/>
  <c r="BL194" i="3"/>
  <c r="BA216" i="3"/>
  <c r="BL218" i="3"/>
  <c r="BA80" i="3"/>
  <c r="AZ80" i="3" s="1"/>
  <c r="BL89" i="3"/>
  <c r="G90" i="3"/>
  <c r="BA96" i="3"/>
  <c r="AZ96" i="3" s="1"/>
  <c r="BL106" i="3"/>
  <c r="G107" i="3"/>
  <c r="BA113" i="3"/>
  <c r="AZ113" i="3" s="1"/>
  <c r="BL122" i="3"/>
  <c r="G123" i="3"/>
  <c r="BA129" i="3"/>
  <c r="AZ129" i="3" s="1"/>
  <c r="BL147" i="3"/>
  <c r="G148" i="3"/>
  <c r="BA154" i="3"/>
  <c r="AZ154" i="3" s="1"/>
  <c r="BL163" i="3"/>
  <c r="G164" i="3"/>
  <c r="BA170" i="3"/>
  <c r="AZ170" i="3" s="1"/>
  <c r="BL179" i="3"/>
  <c r="G180" i="3"/>
  <c r="G181" i="3"/>
  <c r="BL181" i="3"/>
  <c r="G182" i="3"/>
  <c r="BL183" i="3"/>
  <c r="G184" i="3"/>
  <c r="BL185" i="3"/>
  <c r="G186" i="3"/>
  <c r="BA192" i="3"/>
  <c r="AZ192" i="3" s="1"/>
  <c r="BA194" i="3"/>
  <c r="BA196" i="3"/>
  <c r="AZ196" i="3" s="1"/>
  <c r="BA204" i="3"/>
  <c r="AZ204" i="3" s="1"/>
  <c r="BA207" i="3"/>
  <c r="BL210" i="3"/>
  <c r="BL211" i="3"/>
  <c r="G212" i="3"/>
  <c r="BL213" i="3"/>
  <c r="G214" i="3"/>
  <c r="BA220" i="3"/>
  <c r="AZ220" i="3" s="1"/>
  <c r="BA226" i="3"/>
  <c r="AZ226" i="3" s="1"/>
  <c r="BL230" i="3"/>
  <c r="BL270" i="3"/>
  <c r="BL279" i="3"/>
  <c r="G280" i="3"/>
  <c r="BA303" i="3"/>
  <c r="BL312" i="3"/>
  <c r="BA343" i="3"/>
  <c r="BL364" i="3"/>
  <c r="AZ511" i="3"/>
  <c r="AZ536" i="3"/>
  <c r="BL538" i="3"/>
  <c r="BL108" i="3"/>
  <c r="G109" i="3"/>
  <c r="BA115" i="3"/>
  <c r="AZ115" i="3" s="1"/>
  <c r="BL124" i="3"/>
  <c r="G125" i="3"/>
  <c r="BA131" i="3"/>
  <c r="AZ131" i="3" s="1"/>
  <c r="BL137" i="3"/>
  <c r="AZ137" i="3" s="1"/>
  <c r="G138" i="3"/>
  <c r="BA140" i="3"/>
  <c r="AZ140" i="3" s="1"/>
  <c r="BL149" i="3"/>
  <c r="AZ149" i="3" s="1"/>
  <c r="G150" i="3"/>
  <c r="BA156" i="3"/>
  <c r="AZ156" i="3" s="1"/>
  <c r="BL165" i="3"/>
  <c r="AZ165" i="3" s="1"/>
  <c r="G166" i="3"/>
  <c r="BA172" i="3"/>
  <c r="AZ172" i="3" s="1"/>
  <c r="BL187" i="3"/>
  <c r="G188" i="3"/>
  <c r="BA197" i="3"/>
  <c r="BA200" i="3"/>
  <c r="AZ200" i="3" s="1"/>
  <c r="BA202" i="3"/>
  <c r="AZ202" i="3" s="1"/>
  <c r="BA205" i="3"/>
  <c r="BL209" i="3"/>
  <c r="G210" i="3"/>
  <c r="BL215" i="3"/>
  <c r="G216" i="3"/>
  <c r="BA222" i="3"/>
  <c r="AZ222" i="3" s="1"/>
  <c r="BA224" i="3"/>
  <c r="AZ224" i="3" s="1"/>
  <c r="G229" i="3"/>
  <c r="BA275" i="3"/>
  <c r="G279" i="3"/>
  <c r="BL292" i="3"/>
  <c r="G293" i="3"/>
  <c r="BL342" i="3"/>
  <c r="BA351" i="3"/>
  <c r="BL368" i="3"/>
  <c r="AZ368" i="3" s="1"/>
  <c r="AZ462" i="3"/>
  <c r="BA464" i="3"/>
  <c r="AZ464" i="3" s="1"/>
  <c r="AZ468" i="3"/>
  <c r="G193" i="3"/>
  <c r="BL193" i="3"/>
  <c r="BL195" i="3"/>
  <c r="BL197" i="3"/>
  <c r="G203" i="3"/>
  <c r="BL203" i="3"/>
  <c r="G204" i="3"/>
  <c r="BL219" i="3"/>
  <c r="BA243" i="3"/>
  <c r="BA252" i="3"/>
  <c r="AZ252" i="3" s="1"/>
  <c r="BA258" i="3"/>
  <c r="BA261" i="3"/>
  <c r="BA264" i="3"/>
  <c r="AZ264" i="3" s="1"/>
  <c r="BA268" i="3"/>
  <c r="BA270" i="3"/>
  <c r="AZ270" i="3" s="1"/>
  <c r="G291" i="3"/>
  <c r="BL340" i="3"/>
  <c r="BL350" i="3"/>
  <c r="BA395" i="3"/>
  <c r="BL395" i="3"/>
  <c r="G396" i="3"/>
  <c r="E396" i="3" s="1"/>
  <c r="BL458" i="3"/>
  <c r="BL67" i="3"/>
  <c r="AZ67" i="3" s="1"/>
  <c r="G68" i="3"/>
  <c r="BA74" i="3"/>
  <c r="AZ74" i="3" s="1"/>
  <c r="BL83" i="3"/>
  <c r="G84" i="3"/>
  <c r="BA90" i="3"/>
  <c r="AZ90" i="3" s="1"/>
  <c r="BL99" i="3"/>
  <c r="G100" i="3"/>
  <c r="BL100" i="3"/>
  <c r="AZ100" i="3" s="1"/>
  <c r="G101" i="3"/>
  <c r="BA107" i="3"/>
  <c r="AZ107" i="3" s="1"/>
  <c r="BL116" i="3"/>
  <c r="G117" i="3"/>
  <c r="BA123" i="3"/>
  <c r="AZ123" i="3" s="1"/>
  <c r="BL132" i="3"/>
  <c r="G133" i="3"/>
  <c r="G134" i="3"/>
  <c r="BA136" i="3"/>
  <c r="AZ136" i="3" s="1"/>
  <c r="BL141" i="3"/>
  <c r="G142" i="3"/>
  <c r="BA148" i="3"/>
  <c r="AZ148" i="3" s="1"/>
  <c r="BL157" i="3"/>
  <c r="AZ157" i="3" s="1"/>
  <c r="G158" i="3"/>
  <c r="BA164" i="3"/>
  <c r="BL173" i="3"/>
  <c r="AZ173" i="3" s="1"/>
  <c r="G174" i="3"/>
  <c r="BA180" i="3"/>
  <c r="AZ180" i="3" s="1"/>
  <c r="BA182" i="3"/>
  <c r="BA184" i="3"/>
  <c r="BA233" i="3"/>
  <c r="AZ233" i="3" s="1"/>
  <c r="BA241" i="3"/>
  <c r="BL241" i="3"/>
  <c r="G242" i="3"/>
  <c r="BL249" i="3"/>
  <c r="G250" i="3"/>
  <c r="BL258" i="3"/>
  <c r="BL259" i="3"/>
  <c r="G260" i="3"/>
  <c r="E260" i="3" s="1"/>
  <c r="BL261" i="3"/>
  <c r="G262" i="3"/>
  <c r="BA285" i="3"/>
  <c r="G289" i="3"/>
  <c r="G297" i="3"/>
  <c r="BA323" i="3"/>
  <c r="BA337" i="3"/>
  <c r="BL337" i="3"/>
  <c r="G338" i="3"/>
  <c r="BL346" i="3"/>
  <c r="BL348" i="3"/>
  <c r="BL372" i="3"/>
  <c r="BA379" i="3"/>
  <c r="BA381" i="3"/>
  <c r="BA421" i="3"/>
  <c r="BL251" i="3"/>
  <c r="AZ251" i="3" s="1"/>
  <c r="BL257" i="3"/>
  <c r="BA279" i="3"/>
  <c r="AZ312" i="3"/>
  <c r="AZ314" i="3"/>
  <c r="BA320" i="3"/>
  <c r="AZ320" i="3" s="1"/>
  <c r="BL327" i="3"/>
  <c r="BL332" i="3"/>
  <c r="AZ332" i="3" s="1"/>
  <c r="AZ366" i="3"/>
  <c r="BL71" i="3"/>
  <c r="G72" i="3"/>
  <c r="BA78" i="3"/>
  <c r="AZ78" i="3" s="1"/>
  <c r="BL87" i="3"/>
  <c r="G88" i="3"/>
  <c r="BA94" i="3"/>
  <c r="AZ94" i="3" s="1"/>
  <c r="BL104" i="3"/>
  <c r="G105" i="3"/>
  <c r="BA111" i="3"/>
  <c r="AZ111" i="3" s="1"/>
  <c r="BL120" i="3"/>
  <c r="G121" i="3"/>
  <c r="BA127" i="3"/>
  <c r="AZ127" i="3" s="1"/>
  <c r="BL135" i="3"/>
  <c r="AZ135" i="3" s="1"/>
  <c r="G136" i="3"/>
  <c r="BA138" i="3"/>
  <c r="BL145" i="3"/>
  <c r="AZ145" i="3" s="1"/>
  <c r="G146" i="3"/>
  <c r="BA152" i="3"/>
  <c r="BL161" i="3"/>
  <c r="AZ161" i="3" s="1"/>
  <c r="G162" i="3"/>
  <c r="BA168" i="3"/>
  <c r="AZ168" i="3" s="1"/>
  <c r="BL177" i="3"/>
  <c r="AZ177" i="3" s="1"/>
  <c r="G178" i="3"/>
  <c r="BL182" i="3"/>
  <c r="BA190" i="3"/>
  <c r="AZ190" i="3" s="1"/>
  <c r="BA209" i="3"/>
  <c r="BA211" i="3"/>
  <c r="AZ211" i="3" s="1"/>
  <c r="BA218" i="3"/>
  <c r="BA228" i="3"/>
  <c r="AZ228" i="3" s="1"/>
  <c r="BL231" i="3"/>
  <c r="BL240" i="3"/>
  <c r="AZ240" i="3" s="1"/>
  <c r="BL256" i="3"/>
  <c r="BL280" i="3"/>
  <c r="BL281" i="3"/>
  <c r="BL283" i="3"/>
  <c r="BL294" i="3"/>
  <c r="G295" i="3"/>
  <c r="BL304" i="3"/>
  <c r="BA309" i="3"/>
  <c r="BA315" i="3"/>
  <c r="BA318" i="3"/>
  <c r="AZ318" i="3" s="1"/>
  <c r="BL331" i="3"/>
  <c r="BL336" i="3"/>
  <c r="AZ336" i="3" s="1"/>
  <c r="BL356" i="3"/>
  <c r="BA362" i="3"/>
  <c r="AZ362" i="3" s="1"/>
  <c r="BA363" i="3"/>
  <c r="AZ363" i="3" s="1"/>
  <c r="BA369" i="3"/>
  <c r="BL369" i="3"/>
  <c r="G370" i="3"/>
  <c r="BL541" i="3"/>
  <c r="BL199" i="3"/>
  <c r="G200" i="3"/>
  <c r="BA206" i="3"/>
  <c r="BL221" i="3"/>
  <c r="BL226" i="3"/>
  <c r="BA234" i="3"/>
  <c r="AZ234" i="3" s="1"/>
  <c r="BA280" i="3"/>
  <c r="AZ280" i="3" s="1"/>
  <c r="BA282" i="3"/>
  <c r="AZ282" i="3" s="1"/>
  <c r="BA291" i="3"/>
  <c r="BL344" i="3"/>
  <c r="BA353" i="3"/>
  <c r="BL353" i="3"/>
  <c r="BA371" i="3"/>
  <c r="BL388" i="3"/>
  <c r="BL389" i="3"/>
  <c r="BA396" i="3"/>
  <c r="AZ396" i="3" s="1"/>
  <c r="BA397" i="3"/>
  <c r="AZ397" i="3" s="1"/>
  <c r="BA399" i="3"/>
  <c r="BA402" i="3"/>
  <c r="AZ402" i="3" s="1"/>
  <c r="BA412" i="3"/>
  <c r="AZ412" i="3" s="1"/>
  <c r="BL416" i="3"/>
  <c r="BL420" i="3"/>
  <c r="BA425" i="3"/>
  <c r="BL428" i="3"/>
  <c r="BL429" i="3"/>
  <c r="AZ429" i="3" s="1"/>
  <c r="BA449" i="3"/>
  <c r="BL490" i="3"/>
  <c r="AZ505" i="3"/>
  <c r="BA543" i="3"/>
  <c r="BL546" i="3"/>
  <c r="Y10" i="59"/>
  <c r="Z10" i="59" s="1"/>
  <c r="Y3" i="59"/>
  <c r="Z3" i="59" s="1"/>
  <c r="J11" i="36"/>
  <c r="AC11" i="36" s="1"/>
  <c r="F11" i="36"/>
  <c r="AA11" i="36" s="1"/>
  <c r="BA186" i="3"/>
  <c r="AZ186" i="3" s="1"/>
  <c r="BL201" i="3"/>
  <c r="G202" i="3"/>
  <c r="BA208" i="3"/>
  <c r="AZ208" i="3" s="1"/>
  <c r="BA210" i="3"/>
  <c r="BA212" i="3"/>
  <c r="AZ212" i="3" s="1"/>
  <c r="G225" i="3"/>
  <c r="BL225" i="3"/>
  <c r="G226" i="3"/>
  <c r="BL227" i="3"/>
  <c r="G228" i="3"/>
  <c r="BL229" i="3"/>
  <c r="G230" i="3"/>
  <c r="BA236" i="3"/>
  <c r="AZ236" i="3" s="1"/>
  <c r="BA242" i="3"/>
  <c r="AZ242" i="3" s="1"/>
  <c r="BA245" i="3"/>
  <c r="BA248" i="3"/>
  <c r="AZ248" i="3" s="1"/>
  <c r="BA277" i="3"/>
  <c r="BA283" i="3"/>
  <c r="BA286" i="3"/>
  <c r="AZ286" i="3" s="1"/>
  <c r="BA288" i="3"/>
  <c r="AZ288" i="3" s="1"/>
  <c r="BL290" i="3"/>
  <c r="BL291" i="3"/>
  <c r="G292" i="3"/>
  <c r="BL293" i="3"/>
  <c r="G294" i="3"/>
  <c r="BL295" i="3"/>
  <c r="G296" i="3"/>
  <c r="BL300" i="3"/>
  <c r="G305" i="3"/>
  <c r="BL305" i="3"/>
  <c r="G306" i="3"/>
  <c r="BA338" i="3"/>
  <c r="AZ338" i="3" s="1"/>
  <c r="BA339" i="3"/>
  <c r="G343" i="3"/>
  <c r="BL343" i="3"/>
  <c r="G344" i="3"/>
  <c r="BL345" i="3"/>
  <c r="AZ345" i="3" s="1"/>
  <c r="G346" i="3"/>
  <c r="BL347" i="3"/>
  <c r="G373" i="3"/>
  <c r="E373" i="3" s="1"/>
  <c r="BL386" i="3"/>
  <c r="BL387" i="3"/>
  <c r="G388" i="3"/>
  <c r="BL414" i="3"/>
  <c r="BL415" i="3"/>
  <c r="BL426" i="3"/>
  <c r="BL427" i="3"/>
  <c r="BL476" i="3"/>
  <c r="BL532" i="3"/>
  <c r="BA539" i="3"/>
  <c r="BL570" i="3"/>
  <c r="H45" i="39"/>
  <c r="AB45" i="39" s="1"/>
  <c r="J45" i="39"/>
  <c r="AC45" i="39" s="1"/>
  <c r="BL378" i="3"/>
  <c r="AZ378" i="3" s="1"/>
  <c r="BL379" i="3"/>
  <c r="BL457" i="3"/>
  <c r="BL263" i="3"/>
  <c r="AZ263" i="3" s="1"/>
  <c r="BL268" i="3"/>
  <c r="BL273" i="3"/>
  <c r="BA306" i="3"/>
  <c r="AZ306" i="3" s="1"/>
  <c r="BA307" i="3"/>
  <c r="BL311" i="3"/>
  <c r="BL313" i="3"/>
  <c r="BL315" i="3"/>
  <c r="BA344" i="3"/>
  <c r="AZ344" i="3" s="1"/>
  <c r="BA346" i="3"/>
  <c r="BA355" i="3"/>
  <c r="AZ355" i="3" s="1"/>
  <c r="BL359" i="3"/>
  <c r="BL376" i="3"/>
  <c r="BL377" i="3"/>
  <c r="AZ377" i="3" s="1"/>
  <c r="BA405" i="3"/>
  <c r="BL408" i="3"/>
  <c r="BA418" i="3"/>
  <c r="AZ418" i="3" s="1"/>
  <c r="BA419" i="3"/>
  <c r="BA428" i="3"/>
  <c r="AZ428" i="3" s="1"/>
  <c r="BL432" i="3"/>
  <c r="BL492" i="3"/>
  <c r="BL265" i="3"/>
  <c r="BL267" i="3"/>
  <c r="BL272" i="3"/>
  <c r="AZ272" i="3" s="1"/>
  <c r="BA295" i="3"/>
  <c r="BA298" i="3"/>
  <c r="AZ298" i="3" s="1"/>
  <c r="BA300" i="3"/>
  <c r="BA302" i="3"/>
  <c r="AZ302" i="3" s="1"/>
  <c r="BA304" i="3"/>
  <c r="AZ304" i="3" s="1"/>
  <c r="BA341" i="3"/>
  <c r="BA347" i="3"/>
  <c r="BA350" i="3"/>
  <c r="AZ350" i="3" s="1"/>
  <c r="BA352" i="3"/>
  <c r="BL354" i="3"/>
  <c r="BL355" i="3"/>
  <c r="BL357" i="3"/>
  <c r="BL375" i="3"/>
  <c r="AZ375" i="3" s="1"/>
  <c r="BA404" i="3"/>
  <c r="AZ404" i="3" s="1"/>
  <c r="BA407" i="3"/>
  <c r="AZ407" i="3" s="1"/>
  <c r="BA415" i="3"/>
  <c r="BL431" i="3"/>
  <c r="BL444" i="3"/>
  <c r="BA507" i="3"/>
  <c r="BA545" i="3"/>
  <c r="AZ545" i="3" s="1"/>
  <c r="AZ572" i="3"/>
  <c r="BL274" i="3"/>
  <c r="AZ274" i="3" s="1"/>
  <c r="BL275" i="3"/>
  <c r="G276" i="3"/>
  <c r="BL277" i="3"/>
  <c r="G278" i="3"/>
  <c r="BA284" i="3"/>
  <c r="AZ284" i="3" s="1"/>
  <c r="BA290" i="3"/>
  <c r="BA293" i="3"/>
  <c r="BA296" i="3"/>
  <c r="AZ296" i="3" s="1"/>
  <c r="BL320" i="3"/>
  <c r="BL329" i="3"/>
  <c r="G330" i="3"/>
  <c r="BL338" i="3"/>
  <c r="BL339" i="3"/>
  <c r="AZ339" i="3" s="1"/>
  <c r="G340" i="3"/>
  <c r="BL341" i="3"/>
  <c r="G342" i="3"/>
  <c r="BA348" i="3"/>
  <c r="BA354" i="3"/>
  <c r="AZ354" i="3" s="1"/>
  <c r="BA357" i="3"/>
  <c r="BA360" i="3"/>
  <c r="AZ360" i="3" s="1"/>
  <c r="BL384" i="3"/>
  <c r="BL399" i="3"/>
  <c r="BL477" i="3"/>
  <c r="AZ477" i="3" s="1"/>
  <c r="AZ487" i="3"/>
  <c r="BL498" i="3"/>
  <c r="BA503" i="3"/>
  <c r="BL522" i="3"/>
  <c r="BA364" i="3"/>
  <c r="BA370" i="3"/>
  <c r="BA373" i="3"/>
  <c r="BA376" i="3"/>
  <c r="AZ376" i="3" s="1"/>
  <c r="BA413" i="3"/>
  <c r="AZ413" i="3" s="1"/>
  <c r="BA420" i="3"/>
  <c r="BA422" i="3"/>
  <c r="BA424" i="3"/>
  <c r="AZ424" i="3" s="1"/>
  <c r="BA438" i="3"/>
  <c r="AZ438" i="3" s="1"/>
  <c r="BA439" i="3"/>
  <c r="AZ439" i="3" s="1"/>
  <c r="BA441" i="3"/>
  <c r="BA444" i="3"/>
  <c r="AZ444" i="3" s="1"/>
  <c r="BA446" i="3"/>
  <c r="AZ446" i="3" s="1"/>
  <c r="BA448" i="3"/>
  <c r="AZ448" i="3" s="1"/>
  <c r="BA452" i="3"/>
  <c r="BA465" i="3"/>
  <c r="G503" i="3"/>
  <c r="BL512" i="3"/>
  <c r="BA516" i="3"/>
  <c r="AZ516" i="3" s="1"/>
  <c r="BL518" i="3"/>
  <c r="BL519" i="3"/>
  <c r="G520" i="3"/>
  <c r="BL536" i="3"/>
  <c r="BL560" i="3"/>
  <c r="BA567" i="3"/>
  <c r="G8" i="1"/>
  <c r="B58" i="46"/>
  <c r="D77" i="9"/>
  <c r="N75" i="9" s="1"/>
  <c r="P75" i="9"/>
  <c r="AA18" i="59"/>
  <c r="F18" i="59"/>
  <c r="F17" i="59" s="1"/>
  <c r="F16" i="59" s="1"/>
  <c r="BA501" i="3"/>
  <c r="BL501" i="3"/>
  <c r="BA517" i="3"/>
  <c r="BL517" i="3"/>
  <c r="BA559" i="3"/>
  <c r="BL567" i="3"/>
  <c r="BL569" i="3"/>
  <c r="AZ569" i="3" s="1"/>
  <c r="AB10" i="39"/>
  <c r="U10" i="39"/>
  <c r="F15" i="40"/>
  <c r="AA15" i="40" s="1"/>
  <c r="J15" i="40"/>
  <c r="AC15" i="40" s="1"/>
  <c r="H15" i="40"/>
  <c r="X20" i="59"/>
  <c r="B20" i="59"/>
  <c r="S20" i="59" s="1"/>
  <c r="G298" i="3"/>
  <c r="E298" i="3" s="1"/>
  <c r="BL306" i="3"/>
  <c r="BL307" i="3"/>
  <c r="G308" i="3"/>
  <c r="BL309" i="3"/>
  <c r="G310" i="3"/>
  <c r="BA316" i="3"/>
  <c r="AZ316" i="3" s="1"/>
  <c r="BA322" i="3"/>
  <c r="AZ322" i="3" s="1"/>
  <c r="BA325" i="3"/>
  <c r="BA328" i="3"/>
  <c r="BL352" i="3"/>
  <c r="BL361" i="3"/>
  <c r="G362" i="3"/>
  <c r="BL370" i="3"/>
  <c r="BL371" i="3"/>
  <c r="G372" i="3"/>
  <c r="E372" i="3" s="1"/>
  <c r="BL373" i="3"/>
  <c r="G374" i="3"/>
  <c r="BA380" i="3"/>
  <c r="AZ380" i="3" s="1"/>
  <c r="BA386" i="3"/>
  <c r="AZ386" i="3" s="1"/>
  <c r="BA389" i="3"/>
  <c r="BA391" i="3"/>
  <c r="AZ391" i="3" s="1"/>
  <c r="BA398" i="3"/>
  <c r="AZ398" i="3" s="1"/>
  <c r="BA408" i="3"/>
  <c r="AZ408" i="3" s="1"/>
  <c r="G411" i="3"/>
  <c r="BL411" i="3"/>
  <c r="G412" i="3"/>
  <c r="BL417" i="3"/>
  <c r="BL422" i="3"/>
  <c r="BA433" i="3"/>
  <c r="AZ433" i="3" s="1"/>
  <c r="BL438" i="3"/>
  <c r="BL439" i="3"/>
  <c r="G440" i="3"/>
  <c r="E440" i="3" s="1"/>
  <c r="BL441" i="3"/>
  <c r="BL446" i="3"/>
  <c r="BL452" i="3"/>
  <c r="G453" i="3"/>
  <c r="BL453" i="3"/>
  <c r="AZ453" i="3" s="1"/>
  <c r="G454" i="3"/>
  <c r="G461" i="3"/>
  <c r="BL461" i="3"/>
  <c r="G462" i="3"/>
  <c r="G485" i="3"/>
  <c r="BA510" i="3"/>
  <c r="BA512" i="3"/>
  <c r="BA513" i="3"/>
  <c r="AZ513" i="3" s="1"/>
  <c r="BA551" i="3"/>
  <c r="AB3" i="59"/>
  <c r="BA382" i="3"/>
  <c r="AZ382" i="3" s="1"/>
  <c r="BA384" i="3"/>
  <c r="BA387" i="3"/>
  <c r="AZ387" i="3" s="1"/>
  <c r="BL390" i="3"/>
  <c r="BL391" i="3"/>
  <c r="G392" i="3"/>
  <c r="BL393" i="3"/>
  <c r="AZ393" i="3" s="1"/>
  <c r="G394" i="3"/>
  <c r="BA400" i="3"/>
  <c r="AZ400" i="3" s="1"/>
  <c r="BA406" i="3"/>
  <c r="BL410" i="3"/>
  <c r="G421" i="3"/>
  <c r="BL421" i="3"/>
  <c r="G422" i="3"/>
  <c r="BL423" i="3"/>
  <c r="AZ423" i="3" s="1"/>
  <c r="G424" i="3"/>
  <c r="BL425" i="3"/>
  <c r="G426" i="3"/>
  <c r="BL430" i="3"/>
  <c r="AZ430" i="3" s="1"/>
  <c r="BL436" i="3"/>
  <c r="AZ436" i="3" s="1"/>
  <c r="G437" i="3"/>
  <c r="BL437" i="3"/>
  <c r="G438" i="3"/>
  <c r="G445" i="3"/>
  <c r="E445" i="3" s="1"/>
  <c r="BL445" i="3"/>
  <c r="G446" i="3"/>
  <c r="BL447" i="3"/>
  <c r="AZ447" i="3" s="1"/>
  <c r="G451" i="3"/>
  <c r="BA481" i="3"/>
  <c r="AZ481" i="3" s="1"/>
  <c r="BL484" i="3"/>
  <c r="BA494" i="3"/>
  <c r="BA496" i="3"/>
  <c r="AZ496" i="3" s="1"/>
  <c r="BA497" i="3"/>
  <c r="BA508" i="3"/>
  <c r="AZ508" i="3" s="1"/>
  <c r="BA527" i="3"/>
  <c r="BA541" i="3"/>
  <c r="AZ541" i="3" s="1"/>
  <c r="BA544" i="3"/>
  <c r="AZ544" i="3" s="1"/>
  <c r="BA546" i="3"/>
  <c r="AZ546" i="3" s="1"/>
  <c r="BA548" i="3"/>
  <c r="AZ548" i="3" s="1"/>
  <c r="BA549" i="3"/>
  <c r="G565" i="3"/>
  <c r="P27" i="6"/>
  <c r="D72" i="46"/>
  <c r="N72" i="46"/>
  <c r="AB24" i="59"/>
  <c r="F24" i="59"/>
  <c r="BL463" i="3"/>
  <c r="AZ463" i="3" s="1"/>
  <c r="G467" i="3"/>
  <c r="BL482" i="3"/>
  <c r="BA500" i="3"/>
  <c r="BL502" i="3"/>
  <c r="BL503" i="3"/>
  <c r="G504" i="3"/>
  <c r="E504" i="3" s="1"/>
  <c r="BL505" i="3"/>
  <c r="BL510" i="3"/>
  <c r="G515" i="3"/>
  <c r="BL516" i="3"/>
  <c r="BA537" i="3"/>
  <c r="BL537" i="3"/>
  <c r="G538" i="3"/>
  <c r="BL558" i="3"/>
  <c r="BL564" i="3"/>
  <c r="BL565" i="3"/>
  <c r="G566" i="3"/>
  <c r="E566" i="3" s="1"/>
  <c r="AJ10" i="46"/>
  <c r="AJ12" i="46"/>
  <c r="AB19" i="59"/>
  <c r="AC36" i="33"/>
  <c r="W36" i="33"/>
  <c r="AC12" i="46"/>
  <c r="AC10" i="46"/>
  <c r="X11" i="59"/>
  <c r="AA20" i="59"/>
  <c r="P63" i="59"/>
  <c r="E62" i="59"/>
  <c r="P61" i="59" s="1"/>
  <c r="J12" i="34"/>
  <c r="AC12" i="34" s="1"/>
  <c r="H12" i="34"/>
  <c r="AB12" i="34" s="1"/>
  <c r="F12" i="34"/>
  <c r="AA12" i="34" s="1"/>
  <c r="U8" i="37"/>
  <c r="AC8" i="35"/>
  <c r="W8" i="35"/>
  <c r="BL237" i="3"/>
  <c r="BA244" i="3"/>
  <c r="AZ244" i="3" s="1"/>
  <c r="BL253" i="3"/>
  <c r="BA260" i="3"/>
  <c r="AZ260" i="3" s="1"/>
  <c r="BL269" i="3"/>
  <c r="BA276" i="3"/>
  <c r="AZ276" i="3" s="1"/>
  <c r="BL285" i="3"/>
  <c r="BA292" i="3"/>
  <c r="AZ292" i="3" s="1"/>
  <c r="BL301" i="3"/>
  <c r="BA308" i="3"/>
  <c r="AZ308" i="3" s="1"/>
  <c r="BL317" i="3"/>
  <c r="BA324" i="3"/>
  <c r="AZ324" i="3" s="1"/>
  <c r="BL333" i="3"/>
  <c r="BA340" i="3"/>
  <c r="AZ340" i="3" s="1"/>
  <c r="BL349" i="3"/>
  <c r="AZ349" i="3" s="1"/>
  <c r="BA356" i="3"/>
  <c r="AZ356" i="3" s="1"/>
  <c r="BL365" i="3"/>
  <c r="BA372" i="3"/>
  <c r="AZ372" i="3" s="1"/>
  <c r="BL381" i="3"/>
  <c r="BA388" i="3"/>
  <c r="AZ388" i="3" s="1"/>
  <c r="BL401" i="3"/>
  <c r="BL406" i="3"/>
  <c r="BA414" i="3"/>
  <c r="AZ414" i="3" s="1"/>
  <c r="BA484" i="3"/>
  <c r="BL486" i="3"/>
  <c r="BL487" i="3"/>
  <c r="BL489" i="3"/>
  <c r="BL494" i="3"/>
  <c r="BL500" i="3"/>
  <c r="BA521" i="3"/>
  <c r="BA524" i="3"/>
  <c r="AZ524" i="3" s="1"/>
  <c r="BA526" i="3"/>
  <c r="AZ526" i="3" s="1"/>
  <c r="BA528" i="3"/>
  <c r="AZ528" i="3" s="1"/>
  <c r="BA561" i="3"/>
  <c r="BL561" i="3"/>
  <c r="J14" i="39"/>
  <c r="AC14" i="39" s="1"/>
  <c r="H14" i="39"/>
  <c r="AB14" i="39" s="1"/>
  <c r="F14" i="39"/>
  <c r="AA14" i="39" s="1"/>
  <c r="AB6" i="59"/>
  <c r="AB8" i="59"/>
  <c r="AB9" i="59"/>
  <c r="AA10" i="59"/>
  <c r="X14" i="59"/>
  <c r="BL191" i="3"/>
  <c r="AZ191" i="3" s="1"/>
  <c r="G192" i="3"/>
  <c r="BA198" i="3"/>
  <c r="AZ198" i="3" s="1"/>
  <c r="BL207" i="3"/>
  <c r="G208" i="3"/>
  <c r="BA214" i="3"/>
  <c r="AZ214" i="3" s="1"/>
  <c r="BL223" i="3"/>
  <c r="AZ223" i="3" s="1"/>
  <c r="G224" i="3"/>
  <c r="BA230" i="3"/>
  <c r="AZ230" i="3" s="1"/>
  <c r="BL239" i="3"/>
  <c r="G240" i="3"/>
  <c r="BA246" i="3"/>
  <c r="AZ246" i="3" s="1"/>
  <c r="BL255" i="3"/>
  <c r="G256" i="3"/>
  <c r="BA262" i="3"/>
  <c r="AZ262" i="3" s="1"/>
  <c r="BL271" i="3"/>
  <c r="G272" i="3"/>
  <c r="E272" i="3" s="1"/>
  <c r="BA278" i="3"/>
  <c r="AZ278" i="3" s="1"/>
  <c r="BL287" i="3"/>
  <c r="G288" i="3"/>
  <c r="E288" i="3" s="1"/>
  <c r="BA294" i="3"/>
  <c r="AZ294" i="3" s="1"/>
  <c r="BL303" i="3"/>
  <c r="G304" i="3"/>
  <c r="BA310" i="3"/>
  <c r="AZ310" i="3" s="1"/>
  <c r="BL319" i="3"/>
  <c r="AZ319" i="3" s="1"/>
  <c r="G320" i="3"/>
  <c r="BA326" i="3"/>
  <c r="AZ326" i="3" s="1"/>
  <c r="BL335" i="3"/>
  <c r="AZ335" i="3" s="1"/>
  <c r="G336" i="3"/>
  <c r="BA342" i="3"/>
  <c r="AZ342" i="3" s="1"/>
  <c r="BL351" i="3"/>
  <c r="G352" i="3"/>
  <c r="BA358" i="3"/>
  <c r="AZ358" i="3" s="1"/>
  <c r="BL367" i="3"/>
  <c r="G368" i="3"/>
  <c r="BA374" i="3"/>
  <c r="AZ374" i="3" s="1"/>
  <c r="BL383" i="3"/>
  <c r="G384" i="3"/>
  <c r="BA390" i="3"/>
  <c r="AZ390" i="3" s="1"/>
  <c r="BA392" i="3"/>
  <c r="AZ392" i="3" s="1"/>
  <c r="G405" i="3"/>
  <c r="E405" i="3" s="1"/>
  <c r="BL405" i="3"/>
  <c r="G406" i="3"/>
  <c r="BL407" i="3"/>
  <c r="G408" i="3"/>
  <c r="BL409" i="3"/>
  <c r="AZ409" i="3" s="1"/>
  <c r="G410" i="3"/>
  <c r="BA416" i="3"/>
  <c r="AZ416" i="3" s="1"/>
  <c r="BA470" i="3"/>
  <c r="AZ470" i="3" s="1"/>
  <c r="BA471" i="3"/>
  <c r="BA473" i="3"/>
  <c r="AZ473" i="3" s="1"/>
  <c r="BA476" i="3"/>
  <c r="AZ476" i="3" s="1"/>
  <c r="BA478" i="3"/>
  <c r="AZ478" i="3" s="1"/>
  <c r="BA480" i="3"/>
  <c r="AZ480" i="3" s="1"/>
  <c r="BA485" i="3"/>
  <c r="BL485" i="3"/>
  <c r="G486" i="3"/>
  <c r="BL493" i="3"/>
  <c r="BA519" i="3"/>
  <c r="BA529" i="3"/>
  <c r="AZ529" i="3" s="1"/>
  <c r="BA531" i="3"/>
  <c r="G533" i="3"/>
  <c r="BL534" i="3"/>
  <c r="BA552" i="3"/>
  <c r="AZ552" i="3" s="1"/>
  <c r="BA554" i="3"/>
  <c r="AZ554" i="3" s="1"/>
  <c r="BA558" i="3"/>
  <c r="G561" i="3"/>
  <c r="K40" i="9"/>
  <c r="J30" i="21"/>
  <c r="AC30" i="21" s="1"/>
  <c r="H30" i="21"/>
  <c r="AB30" i="21" s="1"/>
  <c r="F30" i="21"/>
  <c r="AA30" i="21" s="1"/>
  <c r="W8" i="37"/>
  <c r="AC8" i="37"/>
  <c r="AC10" i="37"/>
  <c r="W10" i="37"/>
  <c r="BA434" i="3"/>
  <c r="AZ434" i="3" s="1"/>
  <c r="BL443" i="3"/>
  <c r="G444" i="3"/>
  <c r="BA450" i="3"/>
  <c r="AZ450" i="3" s="1"/>
  <c r="BL459" i="3"/>
  <c r="G460" i="3"/>
  <c r="BA466" i="3"/>
  <c r="AZ466" i="3" s="1"/>
  <c r="BL475" i="3"/>
  <c r="G476" i="3"/>
  <c r="E476" i="3" s="1"/>
  <c r="BA482" i="3"/>
  <c r="AZ482" i="3" s="1"/>
  <c r="BL491" i="3"/>
  <c r="G492" i="3"/>
  <c r="BA498" i="3"/>
  <c r="AZ498" i="3" s="1"/>
  <c r="BL507" i="3"/>
  <c r="G508" i="3"/>
  <c r="BA514" i="3"/>
  <c r="AZ514" i="3" s="1"/>
  <c r="BL523" i="3"/>
  <c r="AZ523" i="3" s="1"/>
  <c r="G524" i="3"/>
  <c r="BA530" i="3"/>
  <c r="BA532" i="3"/>
  <c r="AZ532" i="3" s="1"/>
  <c r="G545" i="3"/>
  <c r="BL545" i="3"/>
  <c r="G546" i="3"/>
  <c r="BL547" i="3"/>
  <c r="AZ547" i="3" s="1"/>
  <c r="G548" i="3"/>
  <c r="BL549" i="3"/>
  <c r="G550" i="3"/>
  <c r="BA556" i="3"/>
  <c r="AZ556" i="3" s="1"/>
  <c r="BL571" i="3"/>
  <c r="G572" i="3"/>
  <c r="E572" i="3" s="1"/>
  <c r="G10" i="1"/>
  <c r="D71" i="46"/>
  <c r="AB11" i="59"/>
  <c r="AA12" i="59"/>
  <c r="Y13" i="59"/>
  <c r="Z13" i="59" s="1"/>
  <c r="X15" i="59"/>
  <c r="AB22" i="59"/>
  <c r="AB30" i="59"/>
  <c r="AB31" i="59"/>
  <c r="AB32" i="59"/>
  <c r="E36" i="59"/>
  <c r="AA34" i="59"/>
  <c r="F52" i="59"/>
  <c r="V52" i="59" s="1"/>
  <c r="B59" i="59"/>
  <c r="B60" i="59" s="1"/>
  <c r="S60" i="59" s="1"/>
  <c r="X5" i="59"/>
  <c r="X3" i="59"/>
  <c r="AA14" i="59"/>
  <c r="Y23" i="59"/>
  <c r="Z23" i="59" s="1"/>
  <c r="U24" i="59"/>
  <c r="E23" i="59"/>
  <c r="E22" i="59" s="1"/>
  <c r="E55" i="59"/>
  <c r="E56" i="59" s="1"/>
  <c r="U56" i="59" s="1"/>
  <c r="S72" i="59"/>
  <c r="S76" i="59"/>
  <c r="J31" i="34"/>
  <c r="AC31" i="34" s="1"/>
  <c r="H31" i="34"/>
  <c r="AB31" i="34" s="1"/>
  <c r="BL479" i="3"/>
  <c r="BA486" i="3"/>
  <c r="AZ486" i="3" s="1"/>
  <c r="BL495" i="3"/>
  <c r="BA502" i="3"/>
  <c r="AZ502" i="3" s="1"/>
  <c r="BL511" i="3"/>
  <c r="BA518" i="3"/>
  <c r="BL527" i="3"/>
  <c r="BL530" i="3"/>
  <c r="BA538" i="3"/>
  <c r="AZ538" i="3" s="1"/>
  <c r="BL553" i="3"/>
  <c r="AZ553" i="3" s="1"/>
  <c r="BA560" i="3"/>
  <c r="AZ560" i="3" s="1"/>
  <c r="BA562" i="3"/>
  <c r="BA564" i="3"/>
  <c r="AZ564" i="3" s="1"/>
  <c r="AC17" i="40"/>
  <c r="W33" i="40"/>
  <c r="AC35" i="40"/>
  <c r="X7" i="59"/>
  <c r="AB13" i="59"/>
  <c r="AA15" i="59"/>
  <c r="Y16" i="59"/>
  <c r="Z16" i="59" s="1"/>
  <c r="X17" i="59"/>
  <c r="AA23" i="59"/>
  <c r="AA22" i="59"/>
  <c r="E39" i="59"/>
  <c r="E40" i="59" s="1"/>
  <c r="U40" i="59" s="1"/>
  <c r="F31" i="33"/>
  <c r="AA31" i="33" s="1"/>
  <c r="W38" i="33"/>
  <c r="J12" i="33"/>
  <c r="AC12" i="33" s="1"/>
  <c r="H12" i="33"/>
  <c r="AB12" i="33" s="1"/>
  <c r="J27" i="34"/>
  <c r="AC27" i="34" s="1"/>
  <c r="H27" i="34"/>
  <c r="AB27" i="34" s="1"/>
  <c r="H32" i="34"/>
  <c r="AB32" i="34" s="1"/>
  <c r="F32" i="34"/>
  <c r="AA32" i="34" s="1"/>
  <c r="BL433" i="3"/>
  <c r="G434" i="3"/>
  <c r="E434" i="3" s="1"/>
  <c r="BA440" i="3"/>
  <c r="AZ440" i="3" s="1"/>
  <c r="BL449" i="3"/>
  <c r="G450" i="3"/>
  <c r="BA456" i="3"/>
  <c r="AZ456" i="3" s="1"/>
  <c r="BL465" i="3"/>
  <c r="G466" i="3"/>
  <c r="BA472" i="3"/>
  <c r="AZ472" i="3" s="1"/>
  <c r="BL481" i="3"/>
  <c r="G482" i="3"/>
  <c r="BA488" i="3"/>
  <c r="AZ488" i="3" s="1"/>
  <c r="BL497" i="3"/>
  <c r="G498" i="3"/>
  <c r="BA504" i="3"/>
  <c r="AZ504" i="3" s="1"/>
  <c r="BL513" i="3"/>
  <c r="G514" i="3"/>
  <c r="BA520" i="3"/>
  <c r="AZ520" i="3" s="1"/>
  <c r="BL529" i="3"/>
  <c r="G530" i="3"/>
  <c r="BL531" i="3"/>
  <c r="G532" i="3"/>
  <c r="BL533" i="3"/>
  <c r="AZ533" i="3" s="1"/>
  <c r="BA540" i="3"/>
  <c r="AZ540" i="3" s="1"/>
  <c r="BL555" i="3"/>
  <c r="BA565" i="3"/>
  <c r="BA568" i="3"/>
  <c r="AZ568" i="3" s="1"/>
  <c r="AB10" i="40"/>
  <c r="U10" i="40"/>
  <c r="AG12" i="46"/>
  <c r="AG10" i="46"/>
  <c r="AA5" i="59"/>
  <c r="AA3" i="59"/>
  <c r="Y6" i="59"/>
  <c r="Z6" i="59" s="1"/>
  <c r="X9" i="59"/>
  <c r="AB15" i="59"/>
  <c r="AA16" i="59"/>
  <c r="Y17" i="59"/>
  <c r="Z17" i="59" s="1"/>
  <c r="Y21" i="59"/>
  <c r="Z21" i="59" s="1"/>
  <c r="AB23" i="59"/>
  <c r="F59" i="59"/>
  <c r="F60" i="59" s="1"/>
  <c r="V60" i="59" s="1"/>
  <c r="I20" i="57"/>
  <c r="C7" i="11"/>
  <c r="H31" i="33"/>
  <c r="AB31" i="33" s="1"/>
  <c r="J26" i="33"/>
  <c r="AC26" i="33" s="1"/>
  <c r="H26" i="33"/>
  <c r="AB26" i="33" s="1"/>
  <c r="F26" i="33"/>
  <c r="AA26" i="33" s="1"/>
  <c r="H23" i="35"/>
  <c r="AB23" i="35" s="1"/>
  <c r="BA394" i="3"/>
  <c r="AZ394" i="3" s="1"/>
  <c r="BL403" i="3"/>
  <c r="AZ403" i="3" s="1"/>
  <c r="G404" i="3"/>
  <c r="BA410" i="3"/>
  <c r="AZ410" i="3" s="1"/>
  <c r="BL419" i="3"/>
  <c r="G420" i="3"/>
  <c r="E420" i="3" s="1"/>
  <c r="BA426" i="3"/>
  <c r="AZ426" i="3" s="1"/>
  <c r="BL435" i="3"/>
  <c r="AZ435" i="3" s="1"/>
  <c r="G436" i="3"/>
  <c r="BA442" i="3"/>
  <c r="AZ442" i="3" s="1"/>
  <c r="BL451" i="3"/>
  <c r="AZ451" i="3" s="1"/>
  <c r="G452" i="3"/>
  <c r="BA458" i="3"/>
  <c r="AZ458" i="3" s="1"/>
  <c r="BL467" i="3"/>
  <c r="AZ467" i="3" s="1"/>
  <c r="G468" i="3"/>
  <c r="E468" i="3" s="1"/>
  <c r="BA474" i="3"/>
  <c r="AZ474" i="3" s="1"/>
  <c r="BL483" i="3"/>
  <c r="G484" i="3"/>
  <c r="E484" i="3" s="1"/>
  <c r="BA490" i="3"/>
  <c r="BL499" i="3"/>
  <c r="G500" i="3"/>
  <c r="BA506" i="3"/>
  <c r="AZ506" i="3" s="1"/>
  <c r="BL515" i="3"/>
  <c r="AZ515" i="3" s="1"/>
  <c r="G516" i="3"/>
  <c r="BA522" i="3"/>
  <c r="AZ522" i="3" s="1"/>
  <c r="BL535" i="3"/>
  <c r="AZ535" i="3" s="1"/>
  <c r="G536" i="3"/>
  <c r="BA542" i="3"/>
  <c r="AZ542" i="3" s="1"/>
  <c r="BL557" i="3"/>
  <c r="BL562" i="3"/>
  <c r="BA570" i="3"/>
  <c r="AZ570" i="3" s="1"/>
  <c r="B47" i="46"/>
  <c r="C29" i="39"/>
  <c r="J12" i="21"/>
  <c r="AC12" i="21" s="1"/>
  <c r="W27" i="40"/>
  <c r="AA7" i="59"/>
  <c r="Y8" i="59"/>
  <c r="Z8" i="59" s="1"/>
  <c r="X10" i="59"/>
  <c r="AB16" i="59"/>
  <c r="Y18" i="59"/>
  <c r="Z18" i="59" s="1"/>
  <c r="X19" i="59"/>
  <c r="Y24" i="59"/>
  <c r="Z24" i="59" s="1"/>
  <c r="X26" i="59"/>
  <c r="X27" i="59"/>
  <c r="X28" i="59"/>
  <c r="F43" i="59"/>
  <c r="F44" i="59" s="1"/>
  <c r="V44" i="59" s="1"/>
  <c r="B47" i="59"/>
  <c r="B48" i="59" s="1"/>
  <c r="S48" i="59" s="1"/>
  <c r="F63" i="59"/>
  <c r="F62" i="59" s="1"/>
  <c r="F12" i="33"/>
  <c r="AA12" i="33" s="1"/>
  <c r="U8" i="34"/>
  <c r="J23" i="35"/>
  <c r="AC23" i="35" s="1"/>
  <c r="AF12" i="46"/>
  <c r="E58" i="46"/>
  <c r="B56" i="46" s="1"/>
  <c r="Y5" i="59"/>
  <c r="Z5" i="59" s="1"/>
  <c r="X6" i="59"/>
  <c r="AB10" i="59"/>
  <c r="AA11" i="59"/>
  <c r="Y12" i="59"/>
  <c r="Z12" i="59" s="1"/>
  <c r="X13" i="59"/>
  <c r="AA17" i="59"/>
  <c r="X18" i="59"/>
  <c r="X24" i="59"/>
  <c r="J44" i="33"/>
  <c r="AC44" i="33" s="1"/>
  <c r="H47" i="34"/>
  <c r="AB47" i="34" s="1"/>
  <c r="E47" i="46"/>
  <c r="B45" i="46" s="1"/>
  <c r="AB5" i="59"/>
  <c r="AA6" i="59"/>
  <c r="Y7" i="59"/>
  <c r="Z7" i="59" s="1"/>
  <c r="X8" i="59"/>
  <c r="AB12" i="59"/>
  <c r="AA13" i="59"/>
  <c r="Y14" i="59"/>
  <c r="Z14" i="59" s="1"/>
  <c r="AB20" i="59"/>
  <c r="X21" i="59"/>
  <c r="AA24" i="59"/>
  <c r="Y26" i="59"/>
  <c r="Z26" i="59" s="1"/>
  <c r="Y27" i="59"/>
  <c r="Z27" i="59" s="1"/>
  <c r="Y28" i="59"/>
  <c r="Z28" i="59" s="1"/>
  <c r="X30" i="59"/>
  <c r="X31" i="59"/>
  <c r="X32" i="59"/>
  <c r="B51" i="59"/>
  <c r="B52" i="59" s="1"/>
  <c r="S52" i="59" s="1"/>
  <c r="E59" i="59"/>
  <c r="E60" i="59" s="1"/>
  <c r="U60" i="59" s="1"/>
  <c r="S68" i="59"/>
  <c r="AC8" i="36"/>
  <c r="W8" i="36"/>
  <c r="I10" i="57"/>
  <c r="E26" i="57"/>
  <c r="H28" i="37"/>
  <c r="AB28" i="37" s="1"/>
  <c r="H40" i="37"/>
  <c r="AB40" i="37" s="1"/>
  <c r="H25" i="36"/>
  <c r="AB25" i="36" s="1"/>
  <c r="F25" i="36"/>
  <c r="AA25" i="36" s="1"/>
  <c r="J34" i="36"/>
  <c r="AC34" i="36" s="1"/>
  <c r="H34" i="36"/>
  <c r="AB34" i="36" s="1"/>
  <c r="BA534" i="3"/>
  <c r="AZ534" i="3" s="1"/>
  <c r="BL543" i="3"/>
  <c r="G544" i="3"/>
  <c r="BA550" i="3"/>
  <c r="AZ550" i="3" s="1"/>
  <c r="BL559" i="3"/>
  <c r="AZ559" i="3" s="1"/>
  <c r="G560" i="3"/>
  <c r="BA566" i="3"/>
  <c r="AZ566" i="3" s="1"/>
  <c r="G12" i="1"/>
  <c r="B69" i="46"/>
  <c r="C27" i="39"/>
  <c r="J16" i="40"/>
  <c r="AC16" i="40" s="1"/>
  <c r="F33" i="40"/>
  <c r="AA33" i="40" s="1"/>
  <c r="C12" i="46"/>
  <c r="AB7" i="59"/>
  <c r="AA8" i="59"/>
  <c r="Y9" i="59"/>
  <c r="Z9" i="59" s="1"/>
  <c r="AB14" i="59"/>
  <c r="Y15" i="59"/>
  <c r="Z15" i="59" s="1"/>
  <c r="X16" i="59"/>
  <c r="Y19" i="59"/>
  <c r="Z19" i="59" s="1"/>
  <c r="AA21" i="59"/>
  <c r="X23" i="59"/>
  <c r="B24" i="59"/>
  <c r="AB26" i="59"/>
  <c r="AB27" i="59"/>
  <c r="AB28" i="59"/>
  <c r="AA30" i="59"/>
  <c r="AA31" i="59"/>
  <c r="AA32" i="59"/>
  <c r="Y34" i="59"/>
  <c r="Z34" i="59" s="1"/>
  <c r="F47" i="59"/>
  <c r="F48" i="59" s="1"/>
  <c r="V48" i="59" s="1"/>
  <c r="B55" i="59"/>
  <c r="B56" i="59" s="1"/>
  <c r="S56" i="59" s="1"/>
  <c r="U8" i="33"/>
  <c r="J13" i="37"/>
  <c r="AC13" i="37" s="1"/>
  <c r="D16" i="71"/>
  <c r="C16" i="71"/>
  <c r="F11" i="21"/>
  <c r="AA11" i="21" s="1"/>
  <c r="J11" i="21"/>
  <c r="AC11" i="21" s="1"/>
  <c r="G7" i="1"/>
  <c r="G9" i="1"/>
  <c r="G11" i="1"/>
  <c r="G13" i="1"/>
  <c r="H1" i="65"/>
  <c r="G19" i="46"/>
  <c r="C18" i="9"/>
  <c r="M43" i="9" s="1"/>
  <c r="C17" i="46"/>
  <c r="H17" i="46"/>
  <c r="L17" i="46"/>
  <c r="F33" i="46"/>
  <c r="F34" i="46"/>
  <c r="F35" i="46"/>
  <c r="F36" i="46"/>
  <c r="F37" i="46"/>
  <c r="F38" i="46"/>
  <c r="F39" i="46"/>
  <c r="X7" i="46"/>
  <c r="E17" i="46"/>
  <c r="J17" i="46"/>
  <c r="N17" i="46"/>
  <c r="D24" i="44"/>
  <c r="D22" i="15"/>
  <c r="D25" i="44"/>
  <c r="D23" i="15"/>
  <c r="B5" i="52"/>
  <c r="B7" i="52"/>
  <c r="B9" i="52"/>
  <c r="B11" i="52"/>
  <c r="E13" i="52"/>
  <c r="B4" i="52"/>
  <c r="B6" i="52"/>
  <c r="B8" i="52"/>
  <c r="B10" i="52"/>
  <c r="B12" i="52"/>
  <c r="E14" i="52"/>
  <c r="B2" i="67"/>
  <c r="E4" i="67"/>
  <c r="E3" i="67"/>
  <c r="AZ14" i="3"/>
  <c r="AZ65" i="3"/>
  <c r="AZ69" i="3"/>
  <c r="AZ73" i="3"/>
  <c r="T41" i="4"/>
  <c r="A17" i="64" s="1"/>
  <c r="C53" i="10"/>
  <c r="K5" i="54"/>
  <c r="A18" i="51"/>
  <c r="B14" i="63" s="1"/>
  <c r="L5" i="54"/>
  <c r="B39" i="63" s="1"/>
  <c r="A18" i="64"/>
  <c r="B74" i="63" s="1"/>
  <c r="AZ15" i="3"/>
  <c r="AZ19" i="3"/>
  <c r="AZ23" i="3"/>
  <c r="AZ27" i="3"/>
  <c r="AZ31" i="3"/>
  <c r="AZ35" i="3"/>
  <c r="AZ39" i="3"/>
  <c r="AZ43" i="3"/>
  <c r="AZ47" i="3"/>
  <c r="AZ51" i="3"/>
  <c r="AZ55" i="3"/>
  <c r="AZ59" i="3"/>
  <c r="AZ63" i="3"/>
  <c r="AZ71" i="3"/>
  <c r="AZ75" i="3"/>
  <c r="AZ79" i="3"/>
  <c r="AZ83" i="3"/>
  <c r="AZ87" i="3"/>
  <c r="AZ91" i="3"/>
  <c r="AZ95" i="3"/>
  <c r="AZ99" i="3"/>
  <c r="AZ104" i="3"/>
  <c r="AZ108" i="3"/>
  <c r="AZ112" i="3"/>
  <c r="AZ116" i="3"/>
  <c r="AZ120" i="3"/>
  <c r="AZ124" i="3"/>
  <c r="AZ128" i="3"/>
  <c r="AZ132" i="3"/>
  <c r="O76" i="9"/>
  <c r="L76" i="9"/>
  <c r="N76" i="9"/>
  <c r="K76" i="9"/>
  <c r="K77" i="9" s="1"/>
  <c r="K79" i="9" s="1"/>
  <c r="K81" i="9" s="1"/>
  <c r="I20" i="46"/>
  <c r="A4" i="64"/>
  <c r="E4" i="52"/>
  <c r="E5" i="52"/>
  <c r="E6" i="52"/>
  <c r="E7" i="52"/>
  <c r="E8" i="52"/>
  <c r="E9" i="52"/>
  <c r="C4" i="4" s="1"/>
  <c r="B20" i="55" s="1"/>
  <c r="B70" i="63" s="1"/>
  <c r="E10" i="52"/>
  <c r="E4" i="4" s="1"/>
  <c r="B21" i="55" s="1"/>
  <c r="B72" i="63" s="1"/>
  <c r="E11" i="52"/>
  <c r="E12" i="52"/>
  <c r="B14" i="52"/>
  <c r="C51" i="10"/>
  <c r="L16" i="4"/>
  <c r="K17" i="4" s="1"/>
  <c r="A22" i="51" s="1"/>
  <c r="B16" i="63" s="1"/>
  <c r="G5" i="3"/>
  <c r="B3" i="3" s="1"/>
  <c r="E207" i="3" s="1"/>
  <c r="BB5" i="3"/>
  <c r="E14" i="6" s="1"/>
  <c r="E15" i="6"/>
  <c r="E12" i="6"/>
  <c r="E11" i="6"/>
  <c r="E10" i="6"/>
  <c r="E8" i="6"/>
  <c r="E5" i="6"/>
  <c r="AZ139" i="3"/>
  <c r="AZ141" i="3"/>
  <c r="AZ147" i="3"/>
  <c r="AZ151" i="3"/>
  <c r="AZ155" i="3"/>
  <c r="AZ159" i="3"/>
  <c r="AZ163" i="3"/>
  <c r="AZ167" i="3"/>
  <c r="AZ171" i="3"/>
  <c r="AZ187" i="3"/>
  <c r="AZ195" i="3"/>
  <c r="AZ199" i="3"/>
  <c r="AZ215" i="3"/>
  <c r="AZ219" i="3"/>
  <c r="AZ227" i="3"/>
  <c r="AZ231" i="3"/>
  <c r="AZ239" i="3"/>
  <c r="AZ243" i="3"/>
  <c r="AZ247" i="3"/>
  <c r="AZ259" i="3"/>
  <c r="AZ271" i="3"/>
  <c r="AZ275" i="3"/>
  <c r="AZ283" i="3"/>
  <c r="AZ291" i="3"/>
  <c r="AZ303" i="3"/>
  <c r="AZ311" i="3"/>
  <c r="AZ323" i="3"/>
  <c r="AZ327" i="3"/>
  <c r="AZ331" i="3"/>
  <c r="AZ343" i="3"/>
  <c r="AZ347" i="3"/>
  <c r="AZ351" i="3"/>
  <c r="AZ359" i="3"/>
  <c r="AZ367" i="3"/>
  <c r="AZ371" i="3"/>
  <c r="AZ379" i="3"/>
  <c r="AZ383" i="3"/>
  <c r="AZ395" i="3"/>
  <c r="AZ399" i="3"/>
  <c r="AZ411" i="3"/>
  <c r="AZ415" i="3"/>
  <c r="AZ419" i="3"/>
  <c r="AZ427" i="3"/>
  <c r="AZ431" i="3"/>
  <c r="AZ443" i="3"/>
  <c r="AZ459" i="3"/>
  <c r="AZ471" i="3"/>
  <c r="AZ475" i="3"/>
  <c r="AZ479" i="3"/>
  <c r="AZ483" i="3"/>
  <c r="AZ491" i="3"/>
  <c r="AZ495" i="3"/>
  <c r="AZ499" i="3"/>
  <c r="AZ503" i="3"/>
  <c r="AZ507" i="3"/>
  <c r="AZ519" i="3"/>
  <c r="AZ531" i="3"/>
  <c r="AZ539" i="3"/>
  <c r="AZ543" i="3"/>
  <c r="AZ551" i="3"/>
  <c r="AZ555" i="3"/>
  <c r="AZ571" i="3"/>
  <c r="J52" i="40"/>
  <c r="J57" i="39"/>
  <c r="F30" i="6"/>
  <c r="AZ181" i="3"/>
  <c r="AZ185" i="3"/>
  <c r="AZ201" i="3"/>
  <c r="AZ205" i="3"/>
  <c r="AZ209" i="3"/>
  <c r="AZ213" i="3"/>
  <c r="AZ221" i="3"/>
  <c r="AZ225" i="3"/>
  <c r="AZ229" i="3"/>
  <c r="AZ237" i="3"/>
  <c r="AZ241" i="3"/>
  <c r="AZ245" i="3"/>
  <c r="AZ253" i="3"/>
  <c r="AZ257" i="3"/>
  <c r="AZ261" i="3"/>
  <c r="E265" i="3"/>
  <c r="AZ265" i="3"/>
  <c r="AZ269" i="3"/>
  <c r="AZ273" i="3"/>
  <c r="E276" i="3"/>
  <c r="AZ277" i="3"/>
  <c r="AZ281" i="3"/>
  <c r="AZ285" i="3"/>
  <c r="AZ289" i="3"/>
  <c r="AZ293" i="3"/>
  <c r="E297" i="3"/>
  <c r="AZ297" i="3"/>
  <c r="AZ301" i="3"/>
  <c r="AZ305" i="3"/>
  <c r="E308" i="3"/>
  <c r="AZ309" i="3"/>
  <c r="AZ313" i="3"/>
  <c r="AZ317" i="3"/>
  <c r="AZ321" i="3"/>
  <c r="AZ325" i="3"/>
  <c r="E329" i="3"/>
  <c r="AZ329" i="3"/>
  <c r="AZ337" i="3"/>
  <c r="E341" i="3"/>
  <c r="AZ353" i="3"/>
  <c r="AZ357" i="3"/>
  <c r="AZ361" i="3"/>
  <c r="E365" i="3"/>
  <c r="AZ365" i="3"/>
  <c r="AZ373" i="3"/>
  <c r="E377" i="3"/>
  <c r="AZ381" i="3"/>
  <c r="AZ385" i="3"/>
  <c r="E389" i="3"/>
  <c r="AZ389" i="3"/>
  <c r="E401" i="3"/>
  <c r="AZ401" i="3"/>
  <c r="AZ405" i="3"/>
  <c r="E413" i="3"/>
  <c r="AZ417" i="3"/>
  <c r="E425" i="3"/>
  <c r="AZ437" i="3"/>
  <c r="AZ441" i="3"/>
  <c r="AZ445" i="3"/>
  <c r="E449" i="3"/>
  <c r="AZ449" i="3"/>
  <c r="AZ457" i="3"/>
  <c r="E460" i="3"/>
  <c r="AZ461" i="3"/>
  <c r="E473" i="3"/>
  <c r="AZ485" i="3"/>
  <c r="E488" i="3"/>
  <c r="AZ489" i="3"/>
  <c r="AZ493" i="3"/>
  <c r="E500" i="3"/>
  <c r="AZ501" i="3"/>
  <c r="E513" i="3"/>
  <c r="AZ521" i="3"/>
  <c r="E525" i="3"/>
  <c r="AZ525" i="3"/>
  <c r="AZ537" i="3"/>
  <c r="AZ549" i="3"/>
  <c r="AZ557" i="3"/>
  <c r="AZ561" i="3"/>
  <c r="AZ565" i="3"/>
  <c r="M88" i="9"/>
  <c r="N88" i="9" s="1"/>
  <c r="M87" i="9"/>
  <c r="N87" i="9" s="1"/>
  <c r="M86" i="9"/>
  <c r="N86" i="9" s="1"/>
  <c r="M85" i="9"/>
  <c r="N85" i="9" s="1"/>
  <c r="M84" i="9"/>
  <c r="N84" i="9" s="1"/>
  <c r="M83" i="9"/>
  <c r="N83" i="9" s="1"/>
  <c r="N89" i="9" s="1"/>
  <c r="O89" i="9" s="1"/>
  <c r="O41" i="9"/>
  <c r="R8" i="54" s="1"/>
  <c r="B54" i="63" s="1"/>
  <c r="K33" i="9"/>
  <c r="I14" i="66"/>
  <c r="B8" i="66" s="1"/>
  <c r="C110" i="9"/>
  <c r="AC33" i="39"/>
  <c r="W33" i="39"/>
  <c r="AC38" i="39"/>
  <c r="W38" i="39"/>
  <c r="AC46" i="39"/>
  <c r="W46" i="39"/>
  <c r="C41" i="43"/>
  <c r="C20" i="43"/>
  <c r="C6" i="43"/>
  <c r="D3" i="21"/>
  <c r="C9" i="12"/>
  <c r="E32" i="6"/>
  <c r="P25" i="46"/>
  <c r="B73" i="39" s="1"/>
  <c r="P21" i="46"/>
  <c r="O19" i="46"/>
  <c r="P23" i="46"/>
  <c r="P24" i="46"/>
  <c r="B68" i="40" s="1"/>
  <c r="P22" i="46"/>
  <c r="H113" i="21"/>
  <c r="J37" i="21"/>
  <c r="F37" i="21"/>
  <c r="H37" i="21"/>
  <c r="AB44" i="21"/>
  <c r="U44" i="21"/>
  <c r="AB46" i="21"/>
  <c r="U46" i="21"/>
  <c r="B6" i="1"/>
  <c r="E6" i="1" s="1"/>
  <c r="B7" i="1"/>
  <c r="E7" i="1" s="1"/>
  <c r="S7" i="1"/>
  <c r="B8" i="1"/>
  <c r="E8" i="1" s="1"/>
  <c r="S8" i="1"/>
  <c r="B9" i="1"/>
  <c r="E9" i="1" s="1"/>
  <c r="S9" i="1"/>
  <c r="B10" i="1"/>
  <c r="S10" i="1"/>
  <c r="B11" i="1"/>
  <c r="E11" i="1" s="1"/>
  <c r="S11" i="1"/>
  <c r="B12" i="1"/>
  <c r="E12" i="1" s="1"/>
  <c r="S12" i="1"/>
  <c r="B13" i="1"/>
  <c r="E13" i="1" s="1"/>
  <c r="S13" i="1"/>
  <c r="C42" i="1"/>
  <c r="C95" i="9" s="1"/>
  <c r="C92" i="9" s="1"/>
  <c r="F34" i="15"/>
  <c r="M22" i="44"/>
  <c r="M20" i="15"/>
  <c r="F36" i="44"/>
  <c r="B80" i="46"/>
  <c r="C17" i="40"/>
  <c r="B81" i="46"/>
  <c r="C19" i="40"/>
  <c r="B70" i="46"/>
  <c r="B59" i="46"/>
  <c r="B84" i="46"/>
  <c r="C25" i="40"/>
  <c r="B85" i="46"/>
  <c r="C27" i="40"/>
  <c r="B74" i="46"/>
  <c r="B65" i="46"/>
  <c r="G14" i="66"/>
  <c r="B6" i="66" s="1"/>
  <c r="K41" i="9"/>
  <c r="F66" i="9"/>
  <c r="P72" i="9" s="1"/>
  <c r="D111" i="9"/>
  <c r="S10" i="39"/>
  <c r="W10" i="39"/>
  <c r="S11" i="39"/>
  <c r="W11" i="39"/>
  <c r="S13" i="39"/>
  <c r="W13" i="39"/>
  <c r="U14" i="39"/>
  <c r="S15" i="39"/>
  <c r="W15" i="39"/>
  <c r="U16" i="39"/>
  <c r="C17" i="39"/>
  <c r="U17" i="39"/>
  <c r="C19" i="39"/>
  <c r="U19" i="39"/>
  <c r="C21" i="39"/>
  <c r="U21" i="39"/>
  <c r="C23" i="39"/>
  <c r="U23" i="39"/>
  <c r="U25" i="39"/>
  <c r="U27" i="39"/>
  <c r="U29" i="39"/>
  <c r="C31" i="39"/>
  <c r="U31" i="39"/>
  <c r="F33" i="39"/>
  <c r="U34" i="39"/>
  <c r="S36" i="39"/>
  <c r="W36" i="39"/>
  <c r="U37" i="39"/>
  <c r="F38" i="39"/>
  <c r="U39" i="39"/>
  <c r="S40" i="39"/>
  <c r="W40" i="39"/>
  <c r="U41" i="39"/>
  <c r="S42" i="39"/>
  <c r="W42" i="39"/>
  <c r="U43" i="39"/>
  <c r="S44" i="39"/>
  <c r="W44" i="39"/>
  <c r="U45" i="39"/>
  <c r="F46" i="39"/>
  <c r="U47" i="39"/>
  <c r="AA8" i="21"/>
  <c r="AC8" i="21"/>
  <c r="U9" i="21"/>
  <c r="S10" i="21"/>
  <c r="W10" i="21"/>
  <c r="U11" i="21"/>
  <c r="S12" i="21"/>
  <c r="W12" i="21"/>
  <c r="U13" i="21"/>
  <c r="S14" i="21"/>
  <c r="W14" i="21"/>
  <c r="W17" i="21"/>
  <c r="S19" i="21"/>
  <c r="W19" i="21"/>
  <c r="S21" i="21"/>
  <c r="W21" i="21"/>
  <c r="S23" i="21"/>
  <c r="W23" i="21"/>
  <c r="U25" i="21"/>
  <c r="S26" i="21"/>
  <c r="W26" i="21"/>
  <c r="U27" i="21"/>
  <c r="S28" i="21"/>
  <c r="W28" i="21"/>
  <c r="U29" i="21"/>
  <c r="S30" i="21"/>
  <c r="U31" i="21"/>
  <c r="S32" i="21"/>
  <c r="W32" i="21"/>
  <c r="U33" i="21"/>
  <c r="S34" i="21"/>
  <c r="W34" i="21"/>
  <c r="U35" i="21"/>
  <c r="S36" i="21"/>
  <c r="W36" i="21"/>
  <c r="S38" i="21"/>
  <c r="W38" i="21"/>
  <c r="U39" i="21"/>
  <c r="S40" i="21"/>
  <c r="W40" i="21"/>
  <c r="U41" i="21"/>
  <c r="U43" i="21"/>
  <c r="S44" i="21"/>
  <c r="W44" i="21"/>
  <c r="U45" i="21"/>
  <c r="S46" i="21"/>
  <c r="W46" i="21"/>
  <c r="K144" i="21"/>
  <c r="K145" i="21"/>
  <c r="D42" i="43"/>
  <c r="AA10" i="40"/>
  <c r="U11" i="40"/>
  <c r="S17" i="40"/>
  <c r="S19" i="40"/>
  <c r="W21" i="40"/>
  <c r="W23" i="40"/>
  <c r="J32" i="40"/>
  <c r="F32" i="40"/>
  <c r="S37" i="40"/>
  <c r="S41" i="40"/>
  <c r="U42" i="40"/>
  <c r="AB14" i="40"/>
  <c r="U14" i="40"/>
  <c r="AB16" i="40"/>
  <c r="U16" i="40"/>
  <c r="J40" i="40"/>
  <c r="F40" i="40"/>
  <c r="J42" i="40"/>
  <c r="F42" i="40"/>
  <c r="M1" i="46"/>
  <c r="N2" i="46"/>
  <c r="M3" i="46"/>
  <c r="N4" i="46"/>
  <c r="M6" i="46"/>
  <c r="E8" i="46"/>
  <c r="AA10" i="46"/>
  <c r="AE10" i="46"/>
  <c r="AI10" i="46"/>
  <c r="H55" i="46"/>
  <c r="H53" i="46"/>
  <c r="H50" i="46"/>
  <c r="H49" i="46"/>
  <c r="H47" i="46"/>
  <c r="B48" i="46"/>
  <c r="H48" i="46"/>
  <c r="H52" i="46"/>
  <c r="B54" i="46"/>
  <c r="H54" i="46"/>
  <c r="F15" i="59"/>
  <c r="F14" i="59" s="1"/>
  <c r="F13" i="59" s="1"/>
  <c r="F12" i="59" s="1"/>
  <c r="V16" i="59"/>
  <c r="T20" i="59"/>
  <c r="D20" i="59"/>
  <c r="C19" i="59"/>
  <c r="C27" i="59"/>
  <c r="D26" i="59"/>
  <c r="C35" i="59"/>
  <c r="D34" i="59"/>
  <c r="C39" i="59"/>
  <c r="D38" i="59"/>
  <c r="C47" i="59"/>
  <c r="D46" i="59"/>
  <c r="C7" i="35"/>
  <c r="C48" i="35" s="1"/>
  <c r="C7" i="36"/>
  <c r="C46" i="36" s="1"/>
  <c r="C7" i="37"/>
  <c r="C52" i="37" s="1"/>
  <c r="C7" i="34"/>
  <c r="C59" i="34" s="1"/>
  <c r="C7" i="33"/>
  <c r="C58" i="33" s="1"/>
  <c r="F3" i="35"/>
  <c r="G1" i="44"/>
  <c r="G1" i="15"/>
  <c r="K6" i="1"/>
  <c r="K7" i="1"/>
  <c r="M7" i="1" s="1"/>
  <c r="K8" i="1"/>
  <c r="M8" i="1" s="1"/>
  <c r="K9" i="1"/>
  <c r="M9" i="1" s="1"/>
  <c r="K10" i="1"/>
  <c r="M10" i="1" s="1"/>
  <c r="K11" i="1"/>
  <c r="M11" i="1" s="1"/>
  <c r="K12" i="1"/>
  <c r="M12" i="1" s="1"/>
  <c r="K13" i="1"/>
  <c r="M13" i="1" s="1"/>
  <c r="C2" i="65"/>
  <c r="F32" i="15"/>
  <c r="F59" i="15" s="1"/>
  <c r="M18" i="15"/>
  <c r="F30" i="44"/>
  <c r="F28" i="15"/>
  <c r="C28" i="15" s="1"/>
  <c r="F34" i="44"/>
  <c r="M20" i="44"/>
  <c r="F31" i="43"/>
  <c r="B87" i="46"/>
  <c r="C23" i="40"/>
  <c r="B76" i="46"/>
  <c r="B66" i="46"/>
  <c r="B55" i="46"/>
  <c r="B73" i="46"/>
  <c r="B64" i="46"/>
  <c r="B53" i="46"/>
  <c r="B72" i="46"/>
  <c r="B62" i="46"/>
  <c r="N67" i="9"/>
  <c r="F70" i="9"/>
  <c r="F71" i="9"/>
  <c r="F72" i="9"/>
  <c r="C9" i="39"/>
  <c r="C70" i="39" s="1"/>
  <c r="U11" i="39"/>
  <c r="U13" i="39"/>
  <c r="S14" i="39"/>
  <c r="W14" i="39"/>
  <c r="U15" i="39"/>
  <c r="S16" i="39"/>
  <c r="W16" i="39"/>
  <c r="S17" i="39"/>
  <c r="W17" i="39"/>
  <c r="S19" i="39"/>
  <c r="W19" i="39"/>
  <c r="S21" i="39"/>
  <c r="W21" i="39"/>
  <c r="S23" i="39"/>
  <c r="W23" i="39"/>
  <c r="S25" i="39"/>
  <c r="W25" i="39"/>
  <c r="S27" i="39"/>
  <c r="W27" i="39"/>
  <c r="S29" i="39"/>
  <c r="W29" i="39"/>
  <c r="S31" i="39"/>
  <c r="W31" i="39"/>
  <c r="U33" i="39"/>
  <c r="S34" i="39"/>
  <c r="W34" i="39"/>
  <c r="U36" i="39"/>
  <c r="S37" i="39"/>
  <c r="W37" i="39"/>
  <c r="U38" i="39"/>
  <c r="S39" i="39"/>
  <c r="W39" i="39"/>
  <c r="U40" i="39"/>
  <c r="S41" i="39"/>
  <c r="W41" i="39"/>
  <c r="U42" i="39"/>
  <c r="S43" i="39"/>
  <c r="W43" i="39"/>
  <c r="U44" i="39"/>
  <c r="S45" i="39"/>
  <c r="W45" i="39"/>
  <c r="U46" i="39"/>
  <c r="S47" i="39"/>
  <c r="W47" i="39"/>
  <c r="K1" i="12"/>
  <c r="G26" i="12"/>
  <c r="G27" i="12"/>
  <c r="G28" i="12"/>
  <c r="F29" i="12"/>
  <c r="C7" i="21"/>
  <c r="S9" i="21"/>
  <c r="W9" i="21"/>
  <c r="U10" i="21"/>
  <c r="U12" i="21"/>
  <c r="S13" i="21"/>
  <c r="W13" i="21"/>
  <c r="U14" i="21"/>
  <c r="U19" i="21"/>
  <c r="U21" i="21"/>
  <c r="U23" i="21"/>
  <c r="S25" i="21"/>
  <c r="W25" i="21"/>
  <c r="U26" i="21"/>
  <c r="S27" i="21"/>
  <c r="W27" i="21"/>
  <c r="U28" i="21"/>
  <c r="S29" i="21"/>
  <c r="W29" i="21"/>
  <c r="U30" i="21"/>
  <c r="S31" i="21"/>
  <c r="W31" i="21"/>
  <c r="U32" i="21"/>
  <c r="S33" i="21"/>
  <c r="W33" i="21"/>
  <c r="U34" i="21"/>
  <c r="S35" i="21"/>
  <c r="W35" i="21"/>
  <c r="U36" i="21"/>
  <c r="U38" i="21"/>
  <c r="S39" i="21"/>
  <c r="W39" i="21"/>
  <c r="U40" i="21"/>
  <c r="S41" i="21"/>
  <c r="W41" i="21"/>
  <c r="U42" i="21"/>
  <c r="S43" i="21"/>
  <c r="W43" i="21"/>
  <c r="S45" i="21"/>
  <c r="W45" i="21"/>
  <c r="K141" i="21"/>
  <c r="K1" i="43"/>
  <c r="G21" i="43"/>
  <c r="G22" i="43"/>
  <c r="G23" i="43"/>
  <c r="C9" i="40"/>
  <c r="C65" i="40" s="1"/>
  <c r="AC10" i="40"/>
  <c r="W14" i="40"/>
  <c r="W16" i="40"/>
  <c r="S21" i="40"/>
  <c r="S23" i="40"/>
  <c r="S25" i="40"/>
  <c r="S27" i="40"/>
  <c r="U29" i="40"/>
  <c r="U30" i="40"/>
  <c r="H32" i="40"/>
  <c r="U34" i="40"/>
  <c r="S35" i="40"/>
  <c r="U36" i="40"/>
  <c r="W37" i="40"/>
  <c r="S39" i="40"/>
  <c r="U40" i="40"/>
  <c r="W41" i="40"/>
  <c r="AB33" i="40"/>
  <c r="U33" i="40"/>
  <c r="AB35" i="40"/>
  <c r="U35" i="40"/>
  <c r="H16" i="48"/>
  <c r="H14" i="48"/>
  <c r="H12" i="48"/>
  <c r="H10" i="48"/>
  <c r="H8" i="48"/>
  <c r="H6" i="48"/>
  <c r="H15" i="48"/>
  <c r="H13" i="48"/>
  <c r="H11" i="48"/>
  <c r="H9" i="48"/>
  <c r="H7" i="48"/>
  <c r="H5" i="48"/>
  <c r="M12" i="46"/>
  <c r="N11" i="46"/>
  <c r="N10" i="46"/>
  <c r="M9" i="46"/>
  <c r="M8" i="46"/>
  <c r="M7" i="46"/>
  <c r="N6" i="46"/>
  <c r="N5" i="46"/>
  <c r="M4" i="46"/>
  <c r="N3" i="46"/>
  <c r="M2" i="46"/>
  <c r="N1" i="46"/>
  <c r="M5" i="46"/>
  <c r="N7" i="46"/>
  <c r="N8" i="46"/>
  <c r="N9" i="46"/>
  <c r="M10" i="46"/>
  <c r="E11" i="46"/>
  <c r="E10" i="46"/>
  <c r="N12" i="46"/>
  <c r="B51" i="46"/>
  <c r="H51" i="46"/>
  <c r="C31" i="59"/>
  <c r="D30" i="59"/>
  <c r="C43" i="59"/>
  <c r="D43" i="59" s="1"/>
  <c r="D42" i="59"/>
  <c r="C51" i="59"/>
  <c r="D50" i="59"/>
  <c r="C55" i="59"/>
  <c r="D54" i="59"/>
  <c r="C59" i="59"/>
  <c r="D58" i="59"/>
  <c r="S11" i="40"/>
  <c r="W11" i="40"/>
  <c r="S13" i="40"/>
  <c r="W13" i="40"/>
  <c r="S15" i="40"/>
  <c r="W15" i="40"/>
  <c r="U17" i="40"/>
  <c r="U19" i="40"/>
  <c r="U21" i="40"/>
  <c r="U23" i="40"/>
  <c r="U25" i="40"/>
  <c r="U27" i="40"/>
  <c r="S29" i="40"/>
  <c r="W29" i="40"/>
  <c r="S30" i="40"/>
  <c r="W30" i="40"/>
  <c r="S34" i="40"/>
  <c r="W34" i="40"/>
  <c r="S36" i="40"/>
  <c r="W36" i="40"/>
  <c r="U37" i="40"/>
  <c r="S38" i="40"/>
  <c r="W38" i="40"/>
  <c r="U39" i="40"/>
  <c r="U41" i="40"/>
  <c r="C6" i="46"/>
  <c r="D17" i="46"/>
  <c r="I17" i="46"/>
  <c r="K17" i="46"/>
  <c r="M17" i="46"/>
  <c r="O17" i="46"/>
  <c r="H58" i="46"/>
  <c r="H60" i="46"/>
  <c r="H61" i="46"/>
  <c r="H64" i="46"/>
  <c r="H66" i="46"/>
  <c r="D75" i="46"/>
  <c r="H80" i="46"/>
  <c r="H82" i="46"/>
  <c r="H84" i="46"/>
  <c r="H87" i="46"/>
  <c r="D100" i="46"/>
  <c r="F100" i="46"/>
  <c r="H100" i="46"/>
  <c r="J100" i="46"/>
  <c r="L100" i="46"/>
  <c r="N100" i="46"/>
  <c r="V20" i="59"/>
  <c r="Y20" i="59"/>
  <c r="Z20" i="59" s="1"/>
  <c r="Y22" i="59"/>
  <c r="Z22" i="59" s="1"/>
  <c r="D24" i="59"/>
  <c r="X25" i="59"/>
  <c r="AB25" i="59"/>
  <c r="X29" i="59"/>
  <c r="AB29" i="59"/>
  <c r="X33" i="59"/>
  <c r="AB33" i="59"/>
  <c r="P62" i="59"/>
  <c r="C18" i="11"/>
  <c r="H59" i="46"/>
  <c r="H62" i="46"/>
  <c r="H63" i="46"/>
  <c r="H81" i="46"/>
  <c r="H83" i="46"/>
  <c r="H85" i="46"/>
  <c r="C100" i="46"/>
  <c r="E100" i="46"/>
  <c r="G100" i="46"/>
  <c r="I100" i="46"/>
  <c r="K100" i="46"/>
  <c r="M100" i="46"/>
  <c r="B19" i="59"/>
  <c r="B18" i="59" s="1"/>
  <c r="B17" i="59" s="1"/>
  <c r="B16" i="59" s="1"/>
  <c r="Y25" i="59"/>
  <c r="Z25" i="59" s="1"/>
  <c r="AA25" i="59"/>
  <c r="Y29" i="59"/>
  <c r="Z29" i="59" s="1"/>
  <c r="AA29" i="59"/>
  <c r="Y33" i="59"/>
  <c r="Z33" i="59" s="1"/>
  <c r="AA33" i="59"/>
  <c r="N63" i="59"/>
  <c r="B62" i="59"/>
  <c r="Q63" i="59"/>
  <c r="T64" i="59"/>
  <c r="O64" i="59"/>
  <c r="D64" i="59"/>
  <c r="C63" i="59"/>
  <c r="P64" i="59"/>
  <c r="U64" i="59"/>
  <c r="T68" i="59"/>
  <c r="D68" i="59"/>
  <c r="C67" i="59"/>
  <c r="U68" i="59"/>
  <c r="I21" i="57"/>
  <c r="D1" i="57" s="1"/>
  <c r="E10" i="57" s="1"/>
  <c r="U72" i="59"/>
  <c r="U76" i="59"/>
  <c r="S8" i="33"/>
  <c r="W8" i="33"/>
  <c r="S9" i="33"/>
  <c r="W9" i="33"/>
  <c r="U10" i="33"/>
  <c r="S11" i="33"/>
  <c r="W11" i="33"/>
  <c r="U12" i="33"/>
  <c r="S13" i="33"/>
  <c r="W13" i="33"/>
  <c r="U14" i="33"/>
  <c r="U15" i="33"/>
  <c r="U17" i="33"/>
  <c r="U19" i="33"/>
  <c r="U21" i="33"/>
  <c r="U23" i="33"/>
  <c r="S25" i="33"/>
  <c r="W25" i="33"/>
  <c r="U26" i="33"/>
  <c r="S27" i="33"/>
  <c r="W27" i="33"/>
  <c r="U28" i="33"/>
  <c r="S29" i="33"/>
  <c r="W29" i="33"/>
  <c r="U30" i="33"/>
  <c r="AC31" i="33"/>
  <c r="W31" i="33"/>
  <c r="S31" i="33"/>
  <c r="S32" i="33"/>
  <c r="U33" i="33"/>
  <c r="W34" i="33"/>
  <c r="S36" i="33"/>
  <c r="U37" i="33"/>
  <c r="S40" i="33"/>
  <c r="U41" i="33"/>
  <c r="AB44" i="33"/>
  <c r="U44" i="33"/>
  <c r="AB46" i="33"/>
  <c r="U46" i="33"/>
  <c r="Q64" i="59"/>
  <c r="C71" i="59"/>
  <c r="D72" i="59"/>
  <c r="C75" i="59"/>
  <c r="D76" i="59"/>
  <c r="C79" i="59"/>
  <c r="C83" i="59"/>
  <c r="J52" i="44"/>
  <c r="J51" i="15"/>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W32" i="33"/>
  <c r="S34" i="33"/>
  <c r="U35" i="33"/>
  <c r="S38" i="33"/>
  <c r="U39" i="33"/>
  <c r="W40" i="33"/>
  <c r="U32" i="33"/>
  <c r="S33" i="33"/>
  <c r="W33" i="33"/>
  <c r="U34" i="33"/>
  <c r="S35" i="33"/>
  <c r="W35" i="33"/>
  <c r="U36" i="33"/>
  <c r="S37" i="33"/>
  <c r="W37" i="33"/>
  <c r="U38" i="33"/>
  <c r="S39" i="33"/>
  <c r="W39" i="33"/>
  <c r="U40" i="33"/>
  <c r="S41" i="33"/>
  <c r="W41" i="33"/>
  <c r="U42" i="33"/>
  <c r="S43" i="33"/>
  <c r="W43" i="33"/>
  <c r="S45" i="33"/>
  <c r="W45" i="33"/>
  <c r="S8" i="34"/>
  <c r="W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AA8" i="37"/>
  <c r="U9" i="37"/>
  <c r="S12" i="37"/>
  <c r="AA15" i="37"/>
  <c r="S15" i="37"/>
  <c r="S42" i="33"/>
  <c r="W42" i="33"/>
  <c r="U43" i="33"/>
  <c r="S44" i="33"/>
  <c r="W44" i="33"/>
  <c r="U45" i="33"/>
  <c r="S46" i="33"/>
  <c r="W46" i="33"/>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S33" i="34"/>
  <c r="W33" i="34"/>
  <c r="U34" i="34"/>
  <c r="S35" i="34"/>
  <c r="W35" i="34"/>
  <c r="U36" i="34"/>
  <c r="S37" i="34"/>
  <c r="W37" i="34"/>
  <c r="U38" i="34"/>
  <c r="S39" i="34"/>
  <c r="W39" i="34"/>
  <c r="U40" i="34"/>
  <c r="S41" i="34"/>
  <c r="W41" i="34"/>
  <c r="U42" i="34"/>
  <c r="S43" i="34"/>
  <c r="W43" i="34"/>
  <c r="U44" i="34"/>
  <c r="S45" i="34"/>
  <c r="W45" i="34"/>
  <c r="U46" i="34"/>
  <c r="S47" i="34"/>
  <c r="W47" i="34"/>
  <c r="S10" i="37"/>
  <c r="U11" i="37"/>
  <c r="W12" i="37"/>
  <c r="S14"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AB8" i="35"/>
  <c r="W9" i="35"/>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J26" i="35"/>
  <c r="F26" i="35"/>
  <c r="U10" i="35"/>
  <c r="S11" i="35"/>
  <c r="W11" i="35"/>
  <c r="U12" i="35"/>
  <c r="S13" i="35"/>
  <c r="W13" i="35"/>
  <c r="S14" i="35"/>
  <c r="W14" i="35"/>
  <c r="S16" i="35"/>
  <c r="W16" i="35"/>
  <c r="S18" i="35"/>
  <c r="W18" i="35"/>
  <c r="S20" i="35"/>
  <c r="W20" i="35"/>
  <c r="U22" i="35"/>
  <c r="S23" i="35"/>
  <c r="U24" i="35"/>
  <c r="S25" i="35"/>
  <c r="W25" i="35"/>
  <c r="U27" i="35"/>
  <c r="S28" i="35"/>
  <c r="W28" i="35"/>
  <c r="U29" i="35"/>
  <c r="S30" i="35"/>
  <c r="W30" i="35"/>
  <c r="U31" i="35"/>
  <c r="S32" i="35"/>
  <c r="W32" i="35"/>
  <c r="U33" i="35"/>
  <c r="S34" i="35"/>
  <c r="W34" i="35"/>
  <c r="U35" i="35"/>
  <c r="S36" i="35"/>
  <c r="W36"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U8" i="36"/>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B20" i="31"/>
  <c r="I5" i="65"/>
  <c r="J3" i="65"/>
  <c r="I4" i="65"/>
  <c r="N5" i="65"/>
  <c r="J7" i="65"/>
  <c r="J6" i="65"/>
  <c r="C19" i="44"/>
  <c r="J5" i="65"/>
  <c r="I3" i="65"/>
  <c r="I7" i="65"/>
  <c r="N4" i="65"/>
  <c r="N7" i="65"/>
  <c r="J4" i="65"/>
  <c r="N6" i="65"/>
  <c r="I6" i="65"/>
  <c r="N3" i="65"/>
  <c r="S11" i="21" l="1"/>
  <c r="W42" i="21"/>
  <c r="S42" i="21"/>
  <c r="S17" i="21"/>
  <c r="U17" i="21"/>
  <c r="S15" i="21"/>
  <c r="W11" i="21"/>
  <c r="U15" i="21"/>
  <c r="W15" i="21"/>
  <c r="W30" i="21"/>
  <c r="E20" i="73"/>
  <c r="E69" i="46"/>
  <c r="B67" i="46" s="1"/>
  <c r="C24" i="46" s="1"/>
  <c r="E570" i="3"/>
  <c r="E560" i="3"/>
  <c r="E548" i="3"/>
  <c r="E536" i="3"/>
  <c r="E509" i="3"/>
  <c r="E496" i="3"/>
  <c r="E485" i="3"/>
  <c r="E469" i="3"/>
  <c r="E457" i="3"/>
  <c r="E436" i="3"/>
  <c r="E421" i="3"/>
  <c r="E409" i="3"/>
  <c r="E397" i="3"/>
  <c r="E352" i="3"/>
  <c r="E316" i="3"/>
  <c r="E305" i="3"/>
  <c r="E284" i="3"/>
  <c r="E273" i="3"/>
  <c r="E252" i="3"/>
  <c r="E240" i="3"/>
  <c r="E228" i="3"/>
  <c r="E216" i="3"/>
  <c r="E205" i="3"/>
  <c r="E192" i="3"/>
  <c r="E180" i="3"/>
  <c r="E165" i="3"/>
  <c r="E149" i="3"/>
  <c r="E567" i="3"/>
  <c r="E555" i="3"/>
  <c r="E543" i="3"/>
  <c r="E519" i="3"/>
  <c r="E507" i="3"/>
  <c r="E451" i="3"/>
  <c r="E395" i="3"/>
  <c r="E374" i="3"/>
  <c r="E358" i="3"/>
  <c r="E302" i="3"/>
  <c r="E278" i="3"/>
  <c r="E259" i="3"/>
  <c r="E198" i="3"/>
  <c r="E179" i="3"/>
  <c r="E163" i="3"/>
  <c r="E147" i="3"/>
  <c r="A17" i="51"/>
  <c r="B13" i="63" s="1"/>
  <c r="S33" i="40"/>
  <c r="D18" i="9"/>
  <c r="E569" i="3"/>
  <c r="E533" i="3"/>
  <c r="E521" i="3"/>
  <c r="E508" i="3"/>
  <c r="E456" i="3"/>
  <c r="E408" i="3"/>
  <c r="E385" i="3"/>
  <c r="E361" i="3"/>
  <c r="E337" i="3"/>
  <c r="E325" i="3"/>
  <c r="E304" i="3"/>
  <c r="E293" i="3"/>
  <c r="E261" i="3"/>
  <c r="E249" i="3"/>
  <c r="E204" i="3"/>
  <c r="E189" i="3"/>
  <c r="E164" i="3"/>
  <c r="E148" i="3"/>
  <c r="E554" i="3"/>
  <c r="E542" i="3"/>
  <c r="E531" i="3"/>
  <c r="E518" i="3"/>
  <c r="E506" i="3"/>
  <c r="E495" i="3"/>
  <c r="E483" i="3"/>
  <c r="E471" i="3"/>
  <c r="E447" i="3"/>
  <c r="E426" i="3"/>
  <c r="E410" i="3"/>
  <c r="E354" i="3"/>
  <c r="E338" i="3"/>
  <c r="E322" i="3"/>
  <c r="E255" i="3"/>
  <c r="E239" i="3"/>
  <c r="E218" i="3"/>
  <c r="E13" i="6"/>
  <c r="Q62" i="59"/>
  <c r="Q61" i="59"/>
  <c r="AZ562" i="3"/>
  <c r="AZ530" i="3"/>
  <c r="AZ500" i="3"/>
  <c r="AZ406" i="3"/>
  <c r="AZ384" i="3"/>
  <c r="AZ452" i="3"/>
  <c r="AZ422" i="3"/>
  <c r="AZ315" i="3"/>
  <c r="AZ77" i="3"/>
  <c r="AZ110" i="3"/>
  <c r="AZ188" i="3"/>
  <c r="E568" i="3"/>
  <c r="E557" i="3"/>
  <c r="E545" i="3"/>
  <c r="E532" i="3"/>
  <c r="E520" i="3"/>
  <c r="E505" i="3"/>
  <c r="E493" i="3"/>
  <c r="E481" i="3"/>
  <c r="E465" i="3"/>
  <c r="E444" i="3"/>
  <c r="E433" i="3"/>
  <c r="E384" i="3"/>
  <c r="E360" i="3"/>
  <c r="E349" i="3"/>
  <c r="E336" i="3"/>
  <c r="E324" i="3"/>
  <c r="E313" i="3"/>
  <c r="E292" i="3"/>
  <c r="E281" i="3"/>
  <c r="E248" i="3"/>
  <c r="E237" i="3"/>
  <c r="E225" i="3"/>
  <c r="E213" i="3"/>
  <c r="E188" i="3"/>
  <c r="E177" i="3"/>
  <c r="E161" i="3"/>
  <c r="E145" i="3"/>
  <c r="E563" i="3"/>
  <c r="E530" i="3"/>
  <c r="E494" i="3"/>
  <c r="E482" i="3"/>
  <c r="E390" i="3"/>
  <c r="E371" i="3"/>
  <c r="E318" i="3"/>
  <c r="E294" i="3"/>
  <c r="E275" i="3"/>
  <c r="E235" i="3"/>
  <c r="E195" i="3"/>
  <c r="E174" i="3"/>
  <c r="E158" i="3"/>
  <c r="AZ490" i="3"/>
  <c r="AZ484" i="3"/>
  <c r="AZ497" i="3"/>
  <c r="AZ328" i="3"/>
  <c r="AZ517" i="3"/>
  <c r="AZ420" i="3"/>
  <c r="AZ348" i="3"/>
  <c r="AZ352" i="3"/>
  <c r="AZ295" i="3"/>
  <c r="AZ307" i="3"/>
  <c r="AZ369" i="3"/>
  <c r="AZ138" i="3"/>
  <c r="AZ279" i="3"/>
  <c r="U16" i="59"/>
  <c r="E15" i="59"/>
  <c r="E14" i="59" s="1"/>
  <c r="E13" i="59" s="1"/>
  <c r="E12" i="59" s="1"/>
  <c r="AZ203" i="3"/>
  <c r="AZ166" i="3"/>
  <c r="AZ122" i="3"/>
  <c r="AZ179" i="3"/>
  <c r="AZ125" i="3"/>
  <c r="AZ109" i="3"/>
  <c r="E208" i="3"/>
  <c r="E169" i="3"/>
  <c r="E137" i="3"/>
  <c r="E558" i="3"/>
  <c r="E546" i="3"/>
  <c r="E522" i="3"/>
  <c r="E487" i="3"/>
  <c r="E459" i="3"/>
  <c r="E262" i="3"/>
  <c r="E561" i="3"/>
  <c r="E537" i="3"/>
  <c r="E512" i="3"/>
  <c r="E437" i="3"/>
  <c r="E412" i="3"/>
  <c r="E376" i="3"/>
  <c r="E340" i="3"/>
  <c r="E317" i="3"/>
  <c r="E296" i="3"/>
  <c r="E253" i="3"/>
  <c r="E229" i="3"/>
  <c r="E181" i="3"/>
  <c r="E152" i="3"/>
  <c r="E534" i="3"/>
  <c r="E455" i="3"/>
  <c r="E431" i="3"/>
  <c r="E378" i="3"/>
  <c r="E343" i="3"/>
  <c r="E327" i="3"/>
  <c r="E282" i="3"/>
  <c r="E223" i="3"/>
  <c r="E183" i="3"/>
  <c r="E556" i="3"/>
  <c r="E544" i="3"/>
  <c r="E529" i="3"/>
  <c r="E517" i="3"/>
  <c r="E492" i="3"/>
  <c r="E480" i="3"/>
  <c r="E464" i="3"/>
  <c r="E453" i="3"/>
  <c r="E432" i="3"/>
  <c r="E417" i="3"/>
  <c r="E393" i="3"/>
  <c r="E369" i="3"/>
  <c r="E348" i="3"/>
  <c r="E333" i="3"/>
  <c r="E312" i="3"/>
  <c r="E301" i="3"/>
  <c r="E280" i="3"/>
  <c r="E269" i="3"/>
  <c r="E236" i="3"/>
  <c r="E224" i="3"/>
  <c r="E212" i="3"/>
  <c r="E201" i="3"/>
  <c r="E176" i="3"/>
  <c r="E160" i="3"/>
  <c r="E144" i="3"/>
  <c r="E562" i="3"/>
  <c r="E551" i="3"/>
  <c r="E539" i="3"/>
  <c r="E527" i="3"/>
  <c r="E515" i="3"/>
  <c r="E503" i="3"/>
  <c r="E466" i="3"/>
  <c r="E442" i="3"/>
  <c r="E423" i="3"/>
  <c r="E407" i="3"/>
  <c r="E386" i="3"/>
  <c r="E351" i="3"/>
  <c r="E335" i="3"/>
  <c r="E314" i="3"/>
  <c r="E250" i="3"/>
  <c r="E215" i="3"/>
  <c r="U36" i="59"/>
  <c r="M19" i="46"/>
  <c r="AZ106" i="3"/>
  <c r="AZ5" i="3" s="1"/>
  <c r="G28" i="6"/>
  <c r="E220" i="3"/>
  <c r="E196" i="3"/>
  <c r="E153" i="3"/>
  <c r="E571" i="3"/>
  <c r="E535" i="3"/>
  <c r="E510" i="3"/>
  <c r="E398" i="3"/>
  <c r="E363" i="3"/>
  <c r="E307" i="3"/>
  <c r="E227" i="3"/>
  <c r="E203" i="3"/>
  <c r="E187" i="3"/>
  <c r="E166" i="3"/>
  <c r="E150" i="3"/>
  <c r="E388" i="3"/>
  <c r="E242" i="3"/>
  <c r="E565" i="3"/>
  <c r="E553" i="3"/>
  <c r="E541" i="3"/>
  <c r="E528" i="3"/>
  <c r="E516" i="3"/>
  <c r="E477" i="3"/>
  <c r="E452" i="3"/>
  <c r="E441" i="3"/>
  <c r="E429" i="3"/>
  <c r="E416" i="3"/>
  <c r="E404" i="3"/>
  <c r="E392" i="3"/>
  <c r="E381" i="3"/>
  <c r="E368" i="3"/>
  <c r="E357" i="3"/>
  <c r="E345" i="3"/>
  <c r="E332" i="3"/>
  <c r="E321" i="3"/>
  <c r="E300" i="3"/>
  <c r="E289" i="3"/>
  <c r="E268" i="3"/>
  <c r="E257" i="3"/>
  <c r="E245" i="3"/>
  <c r="E233" i="3"/>
  <c r="E200" i="3"/>
  <c r="E185" i="3"/>
  <c r="E173" i="3"/>
  <c r="E157" i="3"/>
  <c r="E141" i="3"/>
  <c r="E550" i="3"/>
  <c r="E538" i="3"/>
  <c r="E526" i="3"/>
  <c r="E514" i="3"/>
  <c r="E502" i="3"/>
  <c r="E491" i="3"/>
  <c r="E479" i="3"/>
  <c r="E462" i="3"/>
  <c r="E438" i="3"/>
  <c r="E403" i="3"/>
  <c r="E366" i="3"/>
  <c r="E291" i="3"/>
  <c r="E270" i="3"/>
  <c r="E230" i="3"/>
  <c r="E211" i="3"/>
  <c r="E190" i="3"/>
  <c r="E171" i="3"/>
  <c r="E155" i="3"/>
  <c r="AD6" i="3"/>
  <c r="BA5" i="3"/>
  <c r="AZ494" i="3"/>
  <c r="AZ206" i="3"/>
  <c r="AZ164" i="3"/>
  <c r="AZ216" i="3"/>
  <c r="AZ267" i="3"/>
  <c r="AZ144" i="3"/>
  <c r="E499" i="3"/>
  <c r="E549" i="3"/>
  <c r="E524" i="3"/>
  <c r="E497" i="3"/>
  <c r="E472" i="3"/>
  <c r="E448" i="3"/>
  <c r="E424" i="3"/>
  <c r="E400" i="3"/>
  <c r="E364" i="3"/>
  <c r="E353" i="3"/>
  <c r="E328" i="3"/>
  <c r="E285" i="3"/>
  <c r="E264" i="3"/>
  <c r="E241" i="3"/>
  <c r="E217" i="3"/>
  <c r="E193" i="3"/>
  <c r="E168" i="3"/>
  <c r="E135" i="3"/>
  <c r="E498" i="3"/>
  <c r="E486" i="3"/>
  <c r="E474" i="3"/>
  <c r="E415" i="3"/>
  <c r="W23" i="35"/>
  <c r="U32" i="34"/>
  <c r="E564" i="3"/>
  <c r="E552" i="3"/>
  <c r="E540" i="3"/>
  <c r="E501" i="3"/>
  <c r="E489" i="3"/>
  <c r="E461" i="3"/>
  <c r="E428" i="3"/>
  <c r="E380" i="3"/>
  <c r="E356" i="3"/>
  <c r="E344" i="3"/>
  <c r="E320" i="3"/>
  <c r="E309" i="3"/>
  <c r="E277" i="3"/>
  <c r="E256" i="3"/>
  <c r="E244" i="3"/>
  <c r="E232" i="3"/>
  <c r="E221" i="3"/>
  <c r="E209" i="3"/>
  <c r="E197" i="3"/>
  <c r="E184" i="3"/>
  <c r="E172" i="3"/>
  <c r="E156" i="3"/>
  <c r="E139" i="3"/>
  <c r="E559" i="3"/>
  <c r="E547" i="3"/>
  <c r="E523" i="3"/>
  <c r="E511" i="3"/>
  <c r="E490" i="3"/>
  <c r="E478" i="3"/>
  <c r="E418" i="3"/>
  <c r="E383" i="3"/>
  <c r="E346" i="3"/>
  <c r="E330" i="3"/>
  <c r="E311" i="3"/>
  <c r="E287" i="3"/>
  <c r="E266" i="3"/>
  <c r="E247" i="3"/>
  <c r="AZ558" i="3"/>
  <c r="V24" i="59"/>
  <c r="F23" i="59"/>
  <c r="F22" i="59" s="1"/>
  <c r="AZ290" i="3"/>
  <c r="AZ341" i="3"/>
  <c r="AZ346" i="3"/>
  <c r="AZ218" i="3"/>
  <c r="AZ421" i="3"/>
  <c r="AZ268" i="3"/>
  <c r="AZ207" i="3"/>
  <c r="AZ103" i="3"/>
  <c r="AZ183" i="3"/>
  <c r="AZ254" i="3"/>
  <c r="AZ256" i="3"/>
  <c r="AB15" i="40"/>
  <c r="U15" i="40"/>
  <c r="AZ370" i="3"/>
  <c r="AZ518" i="3"/>
  <c r="AZ512" i="3"/>
  <c r="AZ567" i="3"/>
  <c r="AZ364" i="3"/>
  <c r="AZ210" i="3"/>
  <c r="AZ152" i="3"/>
  <c r="AZ184" i="3"/>
  <c r="S24" i="59"/>
  <c r="B23" i="59"/>
  <c r="B22" i="59" s="1"/>
  <c r="AZ527" i="3"/>
  <c r="AZ510" i="3"/>
  <c r="AZ465" i="3"/>
  <c r="AZ300" i="3"/>
  <c r="AZ425" i="3"/>
  <c r="AZ182" i="3"/>
  <c r="AZ258" i="3"/>
  <c r="AZ197" i="3"/>
  <c r="AZ194" i="3"/>
  <c r="BL5" i="3"/>
  <c r="AZ432" i="3"/>
  <c r="AZ153" i="3"/>
  <c r="F69" i="46"/>
  <c r="H75" i="46" s="1"/>
  <c r="G17" i="46"/>
  <c r="C16" i="46" s="1"/>
  <c r="D5" i="46" s="1"/>
  <c r="E143" i="3"/>
  <c r="E146" i="3"/>
  <c r="E151" i="3"/>
  <c r="E154" i="3"/>
  <c r="E159" i="3"/>
  <c r="E162" i="3"/>
  <c r="E167" i="3"/>
  <c r="E170" i="3"/>
  <c r="E175" i="3"/>
  <c r="E178" i="3"/>
  <c r="E182" i="3"/>
  <c r="E186" i="3"/>
  <c r="E191" i="3"/>
  <c r="E194" i="3"/>
  <c r="E199" i="3"/>
  <c r="E202" i="3"/>
  <c r="E206" i="3"/>
  <c r="E210" i="3"/>
  <c r="E214" i="3"/>
  <c r="E219" i="3"/>
  <c r="E222" i="3"/>
  <c r="E226" i="3"/>
  <c r="E231" i="3"/>
  <c r="E234" i="3"/>
  <c r="E238" i="3"/>
  <c r="E243" i="3"/>
  <c r="E246" i="3"/>
  <c r="E251" i="3"/>
  <c r="E254" i="3"/>
  <c r="E258" i="3"/>
  <c r="E263" i="3"/>
  <c r="E267" i="3"/>
  <c r="E271" i="3"/>
  <c r="E274" i="3"/>
  <c r="E279" i="3"/>
  <c r="E283" i="3"/>
  <c r="E286" i="3"/>
  <c r="E290" i="3"/>
  <c r="E295" i="3"/>
  <c r="E299" i="3"/>
  <c r="E303" i="3"/>
  <c r="E306" i="3"/>
  <c r="E310" i="3"/>
  <c r="E315" i="3"/>
  <c r="E319" i="3"/>
  <c r="E323" i="3"/>
  <c r="E326" i="3"/>
  <c r="E331" i="3"/>
  <c r="E334" i="3"/>
  <c r="E339" i="3"/>
  <c r="E342" i="3"/>
  <c r="E347" i="3"/>
  <c r="E350" i="3"/>
  <c r="E355" i="3"/>
  <c r="E359" i="3"/>
  <c r="E362" i="3"/>
  <c r="E367" i="3"/>
  <c r="E370" i="3"/>
  <c r="E375" i="3"/>
  <c r="E379" i="3"/>
  <c r="E382" i="3"/>
  <c r="E387" i="3"/>
  <c r="E391" i="3"/>
  <c r="E394" i="3"/>
  <c r="E399" i="3"/>
  <c r="E402" i="3"/>
  <c r="E406" i="3"/>
  <c r="E411" i="3"/>
  <c r="E414" i="3"/>
  <c r="E419" i="3"/>
  <c r="E422" i="3"/>
  <c r="E427" i="3"/>
  <c r="E430" i="3"/>
  <c r="E435" i="3"/>
  <c r="E439" i="3"/>
  <c r="E443" i="3"/>
  <c r="E446" i="3"/>
  <c r="E450" i="3"/>
  <c r="E454" i="3"/>
  <c r="E458" i="3"/>
  <c r="E463" i="3"/>
  <c r="E467" i="3"/>
  <c r="E470" i="3"/>
  <c r="E475" i="3"/>
  <c r="J1" i="65"/>
  <c r="C4" i="65"/>
  <c r="B39" i="1" s="1"/>
  <c r="E20" i="46"/>
  <c r="AB26" i="35"/>
  <c r="U26" i="35"/>
  <c r="AC26" i="35"/>
  <c r="W26" i="35"/>
  <c r="D83" i="59"/>
  <c r="C82" i="59"/>
  <c r="D82" i="59" s="1"/>
  <c r="C62" i="59"/>
  <c r="O63" i="59"/>
  <c r="D63" i="59"/>
  <c r="C58" i="21"/>
  <c r="D58" i="21" s="1"/>
  <c r="E58" i="21" s="1"/>
  <c r="F58" i="21" s="1"/>
  <c r="G58" i="21" s="1"/>
  <c r="H58" i="21" s="1"/>
  <c r="I58" i="21" s="1"/>
  <c r="J58" i="21" s="1"/>
  <c r="K58" i="21" s="1"/>
  <c r="L58" i="21" s="1"/>
  <c r="M58" i="21" s="1"/>
  <c r="N58" i="21" s="1"/>
  <c r="O58" i="21" s="1"/>
  <c r="I7" i="21"/>
  <c r="G7" i="21"/>
  <c r="H7" i="21" s="1"/>
  <c r="E7" i="21"/>
  <c r="I1" i="65"/>
  <c r="O12" i="1"/>
  <c r="P12" i="1" s="1"/>
  <c r="O10" i="1"/>
  <c r="P10" i="1" s="1"/>
  <c r="O8" i="1"/>
  <c r="P8" i="1" s="1"/>
  <c r="D59" i="34"/>
  <c r="E59" i="34" s="1"/>
  <c r="F59" i="34" s="1"/>
  <c r="G59" i="34" s="1"/>
  <c r="H59" i="34" s="1"/>
  <c r="I59" i="34" s="1"/>
  <c r="J59" i="34" s="1"/>
  <c r="K59" i="34" s="1"/>
  <c r="L59" i="34" s="1"/>
  <c r="M59" i="34" s="1"/>
  <c r="N59" i="34" s="1"/>
  <c r="O59" i="34" s="1"/>
  <c r="D46" i="36"/>
  <c r="E46" i="36" s="1"/>
  <c r="F46" i="36" s="1"/>
  <c r="G46" i="36" s="1"/>
  <c r="H46" i="36" s="1"/>
  <c r="I46" i="36" s="1"/>
  <c r="J46" i="36" s="1"/>
  <c r="K46" i="36" s="1"/>
  <c r="L46" i="36" s="1"/>
  <c r="M46" i="36" s="1"/>
  <c r="N46" i="36" s="1"/>
  <c r="O46" i="36" s="1"/>
  <c r="F7" i="36"/>
  <c r="D19" i="59"/>
  <c r="C18" i="59"/>
  <c r="F11" i="59"/>
  <c r="F10" i="59" s="1"/>
  <c r="F9" i="59" s="1"/>
  <c r="F8" i="59" s="1"/>
  <c r="V12" i="59"/>
  <c r="AC42" i="40"/>
  <c r="W42" i="40"/>
  <c r="AC40" i="40"/>
  <c r="W40" i="40"/>
  <c r="AA32" i="40"/>
  <c r="S32" i="40"/>
  <c r="AA38" i="39"/>
  <c r="S38" i="39"/>
  <c r="E10" i="1"/>
  <c r="AB37" i="21"/>
  <c r="U37" i="21"/>
  <c r="AC37" i="21"/>
  <c r="W37" i="21"/>
  <c r="AA26" i="35"/>
  <c r="S26" i="35"/>
  <c r="D79" i="59"/>
  <c r="C78" i="59"/>
  <c r="D78" i="59" s="1"/>
  <c r="D75" i="59"/>
  <c r="C74" i="59"/>
  <c r="D74" i="59" s="1"/>
  <c r="D71" i="59"/>
  <c r="C70" i="59"/>
  <c r="D70" i="59" s="1"/>
  <c r="C66" i="59"/>
  <c r="D66" i="59" s="1"/>
  <c r="D67" i="59"/>
  <c r="N61" i="59"/>
  <c r="N62" i="59"/>
  <c r="S16" i="59"/>
  <c r="B15" i="59"/>
  <c r="B14" i="59" s="1"/>
  <c r="B13" i="59" s="1"/>
  <c r="B12" i="59" s="1"/>
  <c r="C60" i="59"/>
  <c r="D59" i="59"/>
  <c r="C56" i="59"/>
  <c r="D55" i="59"/>
  <c r="C52" i="59"/>
  <c r="D51" i="59"/>
  <c r="C32" i="59"/>
  <c r="D31" i="59"/>
  <c r="H76" i="46"/>
  <c r="H71" i="46"/>
  <c r="AB32" i="40"/>
  <c r="U32" i="40"/>
  <c r="D65" i="40"/>
  <c r="C67" i="40"/>
  <c r="D70" i="39"/>
  <c r="C72" i="39"/>
  <c r="C30" i="44"/>
  <c r="O13" i="1"/>
  <c r="P13" i="1" s="1"/>
  <c r="O11" i="1"/>
  <c r="P11" i="1" s="1"/>
  <c r="O9" i="1"/>
  <c r="P9" i="1" s="1"/>
  <c r="O7" i="1"/>
  <c r="P7" i="1" s="1"/>
  <c r="Q16" i="1"/>
  <c r="M6" i="1"/>
  <c r="D58" i="33"/>
  <c r="E58" i="33" s="1"/>
  <c r="F58" i="33" s="1"/>
  <c r="G58" i="33" s="1"/>
  <c r="H58" i="33" s="1"/>
  <c r="I58" i="33" s="1"/>
  <c r="J58" i="33" s="1"/>
  <c r="K58" i="33" s="1"/>
  <c r="L58" i="33" s="1"/>
  <c r="M58" i="33" s="1"/>
  <c r="N58" i="33" s="1"/>
  <c r="O58" i="33" s="1"/>
  <c r="F7" i="33"/>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C48" i="59"/>
  <c r="D47" i="59"/>
  <c r="C40" i="59"/>
  <c r="D39" i="59"/>
  <c r="C36" i="59"/>
  <c r="D35" i="59"/>
  <c r="C28" i="59"/>
  <c r="D27" i="59"/>
  <c r="AA42" i="40"/>
  <c r="S42" i="40"/>
  <c r="AA40" i="40"/>
  <c r="S40" i="40"/>
  <c r="AC32" i="40"/>
  <c r="W32" i="40"/>
  <c r="C27" i="43"/>
  <c r="AA46" i="39"/>
  <c r="S46" i="39"/>
  <c r="AA33" i="39"/>
  <c r="S33" i="39"/>
  <c r="F61" i="15"/>
  <c r="AA37" i="21"/>
  <c r="S37" i="21"/>
  <c r="C19" i="46"/>
  <c r="D12" i="11"/>
  <c r="C12" i="11" s="1"/>
  <c r="D21" i="12"/>
  <c r="C21" i="12" s="1"/>
  <c r="E59" i="40"/>
  <c r="E64" i="39"/>
  <c r="E61" i="40"/>
  <c r="E66" i="39"/>
  <c r="I3" i="6"/>
  <c r="E142" i="3"/>
  <c r="E140" i="3"/>
  <c r="AS6" i="3"/>
  <c r="AQ6" i="3"/>
  <c r="AO6" i="3"/>
  <c r="AM6" i="3"/>
  <c r="AK6" i="3"/>
  <c r="AI6" i="3"/>
  <c r="AG6" i="3"/>
  <c r="AE6" i="3"/>
  <c r="AA6" i="3"/>
  <c r="Y6" i="3"/>
  <c r="W6" i="3"/>
  <c r="U6" i="3"/>
  <c r="S6" i="3"/>
  <c r="Q6" i="3"/>
  <c r="O6" i="3"/>
  <c r="M6" i="3"/>
  <c r="K6" i="3"/>
  <c r="I6" i="3"/>
  <c r="A9" i="64"/>
  <c r="A9" i="51"/>
  <c r="B9" i="63" s="1"/>
  <c r="E132" i="3"/>
  <c r="E127" i="3"/>
  <c r="E124" i="3"/>
  <c r="E119" i="3"/>
  <c r="E116" i="3"/>
  <c r="E111" i="3"/>
  <c r="E108" i="3"/>
  <c r="E103" i="3"/>
  <c r="E98" i="3"/>
  <c r="E95" i="3"/>
  <c r="E90" i="3"/>
  <c r="E87" i="3"/>
  <c r="E82" i="3"/>
  <c r="E79" i="3"/>
  <c r="E74" i="3"/>
  <c r="E71" i="3"/>
  <c r="E66" i="3"/>
  <c r="E63" i="3"/>
  <c r="E58" i="3"/>
  <c r="E55" i="3"/>
  <c r="E50" i="3"/>
  <c r="E47" i="3"/>
  <c r="E42" i="3"/>
  <c r="E39" i="3"/>
  <c r="E34" i="3"/>
  <c r="E31" i="3"/>
  <c r="E26" i="3"/>
  <c r="E23" i="3"/>
  <c r="E18" i="3"/>
  <c r="E15" i="3"/>
  <c r="AR6" i="3"/>
  <c r="AN6" i="3"/>
  <c r="AJ6" i="3"/>
  <c r="AF6" i="3"/>
  <c r="AC6" i="3" s="1"/>
  <c r="E13" i="3"/>
  <c r="Z6" i="3"/>
  <c r="V6" i="3"/>
  <c r="R6" i="3"/>
  <c r="N6" i="3"/>
  <c r="J6" i="3"/>
  <c r="A3" i="55"/>
  <c r="B56" i="63" s="1"/>
  <c r="B38" i="63"/>
  <c r="E136" i="3"/>
  <c r="E133" i="3"/>
  <c r="E129" i="3"/>
  <c r="E125" i="3"/>
  <c r="E121" i="3"/>
  <c r="E117" i="3"/>
  <c r="E113" i="3"/>
  <c r="E109" i="3"/>
  <c r="E105" i="3"/>
  <c r="E101" i="3"/>
  <c r="E97" i="3"/>
  <c r="E93" i="3"/>
  <c r="E89" i="3"/>
  <c r="E85" i="3"/>
  <c r="E81" i="3"/>
  <c r="E77" i="3"/>
  <c r="E72" i="3"/>
  <c r="E69" i="3"/>
  <c r="E64" i="3"/>
  <c r="E60" i="3"/>
  <c r="E56" i="3"/>
  <c r="E52" i="3"/>
  <c r="E48" i="3"/>
  <c r="E44" i="3"/>
  <c r="E40" i="3"/>
  <c r="E36" i="3"/>
  <c r="E32" i="3"/>
  <c r="E28" i="3"/>
  <c r="E24" i="3"/>
  <c r="E20" i="3"/>
  <c r="E16" i="3"/>
  <c r="C31" i="43"/>
  <c r="C40" i="43" s="1"/>
  <c r="K34" i="9"/>
  <c r="K15" i="1"/>
  <c r="L19" i="6"/>
  <c r="L27" i="6" s="1"/>
  <c r="E53" i="40"/>
  <c r="E58" i="39"/>
  <c r="F27" i="6"/>
  <c r="F31" i="6" s="1"/>
  <c r="E16" i="6"/>
  <c r="E58" i="40"/>
  <c r="E63" i="39"/>
  <c r="E60" i="40"/>
  <c r="E65" i="39"/>
  <c r="E62" i="40"/>
  <c r="E67" i="39"/>
  <c r="E131" i="3"/>
  <c r="E128" i="3"/>
  <c r="E123" i="3"/>
  <c r="E120" i="3"/>
  <c r="E115" i="3"/>
  <c r="E112" i="3"/>
  <c r="E107" i="3"/>
  <c r="E104" i="3"/>
  <c r="E99" i="3"/>
  <c r="E94" i="3"/>
  <c r="E91" i="3"/>
  <c r="E86" i="3"/>
  <c r="E83" i="3"/>
  <c r="E78" i="3"/>
  <c r="E75" i="3"/>
  <c r="E70" i="3"/>
  <c r="E67" i="3"/>
  <c r="E62" i="3"/>
  <c r="E59" i="3"/>
  <c r="E54" i="3"/>
  <c r="E51" i="3"/>
  <c r="E46" i="3"/>
  <c r="E43" i="3"/>
  <c r="E38" i="3"/>
  <c r="E35" i="3"/>
  <c r="E30" i="3"/>
  <c r="E27" i="3"/>
  <c r="E22" i="3"/>
  <c r="E19" i="3"/>
  <c r="E14" i="3"/>
  <c r="AP6" i="3"/>
  <c r="AL6" i="3"/>
  <c r="AH6" i="3"/>
  <c r="AB6" i="3"/>
  <c r="X6" i="3"/>
  <c r="T6" i="3"/>
  <c r="P6" i="3"/>
  <c r="L6" i="3"/>
  <c r="A25" i="64"/>
  <c r="A25" i="51"/>
  <c r="B18" i="63" s="1"/>
  <c r="E138" i="3"/>
  <c r="E134" i="3"/>
  <c r="E130" i="3"/>
  <c r="E126" i="3"/>
  <c r="E122" i="3"/>
  <c r="E118" i="3"/>
  <c r="E114" i="3"/>
  <c r="E110" i="3"/>
  <c r="E106" i="3"/>
  <c r="E102" i="3"/>
  <c r="E100" i="3"/>
  <c r="E96" i="3"/>
  <c r="E92" i="3"/>
  <c r="E88" i="3"/>
  <c r="E84" i="3"/>
  <c r="E80" i="3"/>
  <c r="E76" i="3"/>
  <c r="E73" i="3"/>
  <c r="E68" i="3"/>
  <c r="E65" i="3"/>
  <c r="E61" i="3"/>
  <c r="E57" i="3"/>
  <c r="E53" i="3"/>
  <c r="E49" i="3"/>
  <c r="E45" i="3"/>
  <c r="E41" i="3"/>
  <c r="E37" i="3"/>
  <c r="E33" i="3"/>
  <c r="E29" i="3"/>
  <c r="E25" i="3"/>
  <c r="E21" i="3"/>
  <c r="E17" i="3"/>
  <c r="B4" i="67"/>
  <c r="B3" i="67"/>
  <c r="M10" i="44"/>
  <c r="M30" i="44"/>
  <c r="F38" i="15"/>
  <c r="M21" i="15"/>
  <c r="J17" i="44"/>
  <c r="F37" i="44"/>
  <c r="J15" i="15"/>
  <c r="M27" i="15"/>
  <c r="M11" i="44"/>
  <c r="F8" i="44"/>
  <c r="F36" i="15"/>
  <c r="L49" i="44"/>
  <c r="M24" i="44"/>
  <c r="F46" i="44"/>
  <c r="F42" i="15"/>
  <c r="F40" i="44"/>
  <c r="L48" i="44"/>
  <c r="F28" i="44"/>
  <c r="M29" i="15"/>
  <c r="M29" i="44"/>
  <c r="F11" i="44"/>
  <c r="F18" i="44"/>
  <c r="F35" i="15"/>
  <c r="M9" i="15"/>
  <c r="M8" i="44"/>
  <c r="F16" i="15"/>
  <c r="F9" i="15"/>
  <c r="F13" i="15"/>
  <c r="F43" i="15"/>
  <c r="M26" i="44"/>
  <c r="F41" i="15"/>
  <c r="M23" i="44"/>
  <c r="M28" i="44"/>
  <c r="F40" i="15"/>
  <c r="F15" i="44"/>
  <c r="M25" i="44"/>
  <c r="M8" i="15"/>
  <c r="F43" i="44"/>
  <c r="L47" i="15"/>
  <c r="M24" i="15"/>
  <c r="F37" i="15"/>
  <c r="J36" i="15"/>
  <c r="M6" i="15"/>
  <c r="E2" i="65"/>
  <c r="F39" i="44"/>
  <c r="M26" i="15"/>
  <c r="F8" i="15"/>
  <c r="F45" i="44"/>
  <c r="F6" i="15"/>
  <c r="F38" i="44"/>
  <c r="M28" i="15"/>
  <c r="M22" i="15"/>
  <c r="F7" i="15"/>
  <c r="F26" i="15"/>
  <c r="F10" i="44"/>
  <c r="M31" i="44"/>
  <c r="F9" i="44"/>
  <c r="M23" i="15"/>
  <c r="L48" i="15"/>
  <c r="E3" i="65"/>
  <c r="M44" i="9" l="1"/>
  <c r="D10" i="74"/>
  <c r="P28" i="73"/>
  <c r="N28" i="73"/>
  <c r="O28" i="73"/>
  <c r="G20" i="73" s="1"/>
  <c r="M28" i="73"/>
  <c r="AY6" i="3"/>
  <c r="E3" i="6"/>
  <c r="J7" i="34"/>
  <c r="J7" i="33"/>
  <c r="U12" i="59"/>
  <c r="E11" i="59"/>
  <c r="E10" i="59" s="1"/>
  <c r="E9" i="59" s="1"/>
  <c r="E8" i="59" s="1"/>
  <c r="H70" i="46"/>
  <c r="H74" i="46"/>
  <c r="F7" i="35"/>
  <c r="G30" i="6"/>
  <c r="G31" i="6" s="1"/>
  <c r="E28" i="6"/>
  <c r="H7" i="36"/>
  <c r="J7" i="36"/>
  <c r="F7" i="34"/>
  <c r="H7" i="34"/>
  <c r="AB7" i="34" s="1"/>
  <c r="T49" i="34" s="1"/>
  <c r="G49" i="34" s="1"/>
  <c r="F7" i="21"/>
  <c r="J7" i="21"/>
  <c r="J7" i="35"/>
  <c r="H7" i="35"/>
  <c r="F7" i="37"/>
  <c r="C5" i="46"/>
  <c r="H69" i="46"/>
  <c r="H73" i="46"/>
  <c r="H77" i="46"/>
  <c r="H72" i="46"/>
  <c r="H6" i="3"/>
  <c r="E6" i="3" s="1"/>
  <c r="E27" i="6"/>
  <c r="M9" i="44"/>
  <c r="J8" i="44" s="1"/>
  <c r="L57" i="44"/>
  <c r="I55" i="44"/>
  <c r="J60" i="44"/>
  <c r="J54" i="44"/>
  <c r="J58" i="44"/>
  <c r="J56" i="44" s="1"/>
  <c r="J59" i="44" s="1"/>
  <c r="Q52" i="44" s="1"/>
  <c r="J61" i="44"/>
  <c r="Q50" i="44" s="1"/>
  <c r="Q72" i="15"/>
  <c r="F65" i="15"/>
  <c r="F68" i="15"/>
  <c r="L56" i="15"/>
  <c r="I54" i="15"/>
  <c r="J53" i="15"/>
  <c r="J57" i="15"/>
  <c r="J55" i="15" s="1"/>
  <c r="J58" i="15" s="1"/>
  <c r="Q51" i="15" s="1"/>
  <c r="F49" i="15"/>
  <c r="M7" i="15"/>
  <c r="M17" i="15" s="1"/>
  <c r="B40" i="1"/>
  <c r="Q73" i="44"/>
  <c r="L59" i="44"/>
  <c r="L60" i="44"/>
  <c r="C8" i="44"/>
  <c r="F33" i="44"/>
  <c r="J22" i="44"/>
  <c r="C29" i="44"/>
  <c r="C36" i="44"/>
  <c r="C6" i="15"/>
  <c r="F31" i="15"/>
  <c r="J20" i="15"/>
  <c r="C27" i="15"/>
  <c r="F62" i="15"/>
  <c r="C61" i="15" s="1"/>
  <c r="C34" i="15"/>
  <c r="F64" i="15"/>
  <c r="F67" i="15"/>
  <c r="F70" i="15"/>
  <c r="F50" i="15"/>
  <c r="F63" i="15"/>
  <c r="L59" i="15"/>
  <c r="L58" i="15"/>
  <c r="F17" i="11"/>
  <c r="C17" i="11" s="1"/>
  <c r="C19" i="11" s="1"/>
  <c r="S7" i="35"/>
  <c r="AA7" i="35"/>
  <c r="R38" i="35" s="1"/>
  <c r="U7" i="37"/>
  <c r="AB7" i="37"/>
  <c r="T42" i="37" s="1"/>
  <c r="G42" i="37" s="1"/>
  <c r="J7" i="37"/>
  <c r="S7" i="33"/>
  <c r="AA7" i="33"/>
  <c r="R48" i="33" s="1"/>
  <c r="H7" i="33"/>
  <c r="O6" i="1"/>
  <c r="P6" i="1" s="1"/>
  <c r="C15" i="43"/>
  <c r="F24" i="43"/>
  <c r="F33" i="12"/>
  <c r="C34" i="12" s="1"/>
  <c r="D33" i="12" s="1"/>
  <c r="D72" i="39"/>
  <c r="E70" i="39"/>
  <c r="D67" i="40"/>
  <c r="E65" i="40"/>
  <c r="T32" i="59"/>
  <c r="D32" i="59"/>
  <c r="T52" i="59"/>
  <c r="D52" i="59"/>
  <c r="T56" i="59"/>
  <c r="D56" i="59"/>
  <c r="T60" i="59"/>
  <c r="D60" i="59"/>
  <c r="F7" i="59"/>
  <c r="F6" i="59" s="1"/>
  <c r="F5" i="59" s="1"/>
  <c r="V8" i="59"/>
  <c r="S7" i="36"/>
  <c r="AA7" i="36"/>
  <c r="R36" i="36" s="1"/>
  <c r="W7" i="34"/>
  <c r="AC7" i="34"/>
  <c r="V49" i="34" s="1"/>
  <c r="I49" i="34" s="1"/>
  <c r="U7" i="21"/>
  <c r="AB7" i="21"/>
  <c r="T48" i="21" s="1"/>
  <c r="G48" i="21" s="1"/>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F11" i="15"/>
  <c r="M13" i="44"/>
  <c r="J12" i="44" s="1"/>
  <c r="M11" i="15"/>
  <c r="J10" i="15" s="1"/>
  <c r="F13" i="44"/>
  <c r="C12" i="44" s="1"/>
  <c r="T28" i="59"/>
  <c r="D28" i="59"/>
  <c r="T36" i="59"/>
  <c r="D36" i="59"/>
  <c r="T40" i="59"/>
  <c r="D40" i="59"/>
  <c r="T48" i="59"/>
  <c r="D48" i="59"/>
  <c r="W7" i="35"/>
  <c r="AC7" i="35"/>
  <c r="V38" i="35" s="1"/>
  <c r="I38" i="35" s="1"/>
  <c r="AB7" i="35"/>
  <c r="T38" i="35" s="1"/>
  <c r="G38" i="35" s="1"/>
  <c r="U7" i="35"/>
  <c r="AA7" i="37"/>
  <c r="R42" i="37" s="1"/>
  <c r="S7" i="37"/>
  <c r="W7" i="33"/>
  <c r="AC7" i="33"/>
  <c r="V48" i="33" s="1"/>
  <c r="I48" i="33" s="1"/>
  <c r="S12" i="59"/>
  <c r="B11" i="59"/>
  <c r="B10" i="59" s="1"/>
  <c r="B9" i="59" s="1"/>
  <c r="B8" i="59" s="1"/>
  <c r="D18" i="59"/>
  <c r="C17" i="59"/>
  <c r="AB7" i="36"/>
  <c r="T36" i="36" s="1"/>
  <c r="G36" i="36" s="1"/>
  <c r="U7" i="36"/>
  <c r="W7" i="36"/>
  <c r="AC7" i="36"/>
  <c r="V36" i="36" s="1"/>
  <c r="I36" i="36" s="1"/>
  <c r="S7" i="34"/>
  <c r="AA7" i="34"/>
  <c r="R49" i="34" s="1"/>
  <c r="U7" i="34"/>
  <c r="AA7" i="21"/>
  <c r="R48" i="21" s="1"/>
  <c r="S7" i="21"/>
  <c r="AC7" i="21"/>
  <c r="V48" i="21" s="1"/>
  <c r="I48" i="21" s="1"/>
  <c r="W7" i="21"/>
  <c r="O62" i="59"/>
  <c r="D62" i="59"/>
  <c r="O61" i="59"/>
  <c r="D16" i="43"/>
  <c r="C16" i="43" s="1"/>
  <c r="D16" i="12"/>
  <c r="L38" i="9"/>
  <c r="B14" i="66" s="1"/>
  <c r="B1" i="66" s="1"/>
  <c r="E6" i="6"/>
  <c r="C21" i="4"/>
  <c r="O5" i="54" s="1"/>
  <c r="B45" i="63" s="1"/>
  <c r="D46" i="9"/>
  <c r="D44" i="9"/>
  <c r="D45" i="9"/>
  <c r="P28" i="46"/>
  <c r="N28" i="46"/>
  <c r="O28" i="46"/>
  <c r="G20" i="46" s="1"/>
  <c r="H6" i="1" s="1"/>
  <c r="M28" i="46"/>
  <c r="C16" i="15"/>
  <c r="C18" i="44"/>
  <c r="C17" i="15"/>
  <c r="E41" i="73" l="1"/>
  <c r="C41" i="73" s="1"/>
  <c r="C20" i="73"/>
  <c r="U8" i="59"/>
  <c r="E7" i="59"/>
  <c r="E6" i="59" s="1"/>
  <c r="E5" i="59" s="1"/>
  <c r="K14" i="1"/>
  <c r="E30" i="6"/>
  <c r="C48" i="15"/>
  <c r="AP6" i="1"/>
  <c r="AP16" i="1" s="1"/>
  <c r="F22" i="11" s="1"/>
  <c r="G6" i="1"/>
  <c r="G16" i="1" s="1"/>
  <c r="H16" i="1"/>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M20" i="6" s="1"/>
  <c r="I20" i="6" s="1"/>
  <c r="S20" i="6" s="1"/>
  <c r="E31" i="6"/>
  <c r="M19" i="44"/>
  <c r="C7" i="66"/>
  <c r="C6" i="66"/>
  <c r="C8" i="66"/>
  <c r="D19" i="12"/>
  <c r="C19" i="12" s="1"/>
  <c r="C16" i="12"/>
  <c r="I52" i="21"/>
  <c r="J52" i="21" s="1"/>
  <c r="R49" i="21"/>
  <c r="E48" i="21"/>
  <c r="I53" i="21" s="1"/>
  <c r="J53" i="21" s="1"/>
  <c r="G54" i="34"/>
  <c r="H54" i="34" s="1"/>
  <c r="G53" i="34"/>
  <c r="H53" i="34" s="1"/>
  <c r="G41" i="36"/>
  <c r="H41" i="36" s="1"/>
  <c r="G40" i="36"/>
  <c r="H40" i="36" s="1"/>
  <c r="R43" i="37"/>
  <c r="E42" i="37"/>
  <c r="G43" i="35"/>
  <c r="H43" i="35" s="1"/>
  <c r="G42" i="35"/>
  <c r="H42" i="35" s="1"/>
  <c r="C10" i="15"/>
  <c r="C5" i="15" s="1"/>
  <c r="C52" i="15"/>
  <c r="D38" i="43"/>
  <c r="C26" i="43"/>
  <c r="D24" i="43" s="1"/>
  <c r="AB7" i="33"/>
  <c r="T48" i="33" s="1"/>
  <c r="G48" i="33" s="1"/>
  <c r="U7" i="33"/>
  <c r="G46" i="37"/>
  <c r="H46" i="37" s="1"/>
  <c r="R39" i="35"/>
  <c r="E38" i="35"/>
  <c r="I43" i="35" s="1"/>
  <c r="J43" i="35" s="1"/>
  <c r="Q61" i="15"/>
  <c r="Q74" i="15"/>
  <c r="Q76" i="44"/>
  <c r="Q63" i="44"/>
  <c r="Q53" i="15"/>
  <c r="F1" i="15"/>
  <c r="J6" i="15"/>
  <c r="Q54" i="44"/>
  <c r="F1" i="44"/>
  <c r="L47" i="44"/>
  <c r="E41" i="46"/>
  <c r="C41" i="46" s="1"/>
  <c r="C20" i="46"/>
  <c r="D13" i="11"/>
  <c r="C13" i="11" s="1"/>
  <c r="D22" i="12"/>
  <c r="C22" i="12" s="1"/>
  <c r="C20" i="12" s="1"/>
  <c r="R50" i="34"/>
  <c r="E49" i="34"/>
  <c r="I54" i="34" s="1"/>
  <c r="J54" i="34" s="1"/>
  <c r="I40" i="36"/>
  <c r="J40" i="36" s="1"/>
  <c r="D17" i="59"/>
  <c r="C16" i="59"/>
  <c r="S8" i="59"/>
  <c r="B7" i="59"/>
  <c r="B6" i="59" s="1"/>
  <c r="B5" i="59" s="1"/>
  <c r="I52" i="33"/>
  <c r="J52" i="33" s="1"/>
  <c r="I42" i="35"/>
  <c r="J42" i="35" s="1"/>
  <c r="K38" i="9"/>
  <c r="C14" i="66" s="1"/>
  <c r="B2" i="66" s="1"/>
  <c r="E63" i="40"/>
  <c r="E68" i="39"/>
  <c r="D29" i="6"/>
  <c r="D28" i="6"/>
  <c r="D9" i="6"/>
  <c r="D8" i="6"/>
  <c r="D5" i="6"/>
  <c r="H26" i="6"/>
  <c r="D26" i="6"/>
  <c r="H25" i="6"/>
  <c r="D25" i="6"/>
  <c r="H24" i="6"/>
  <c r="D24" i="6"/>
  <c r="H23" i="6"/>
  <c r="D23" i="6"/>
  <c r="H22" i="6"/>
  <c r="D22" i="6"/>
  <c r="D21" i="6"/>
  <c r="H20" i="6"/>
  <c r="D20" i="6"/>
  <c r="D19" i="6"/>
  <c r="D15" i="6"/>
  <c r="D14" i="6"/>
  <c r="D13" i="6"/>
  <c r="D12" i="6"/>
  <c r="D11" i="6"/>
  <c r="D10" i="6"/>
  <c r="D6" i="6"/>
  <c r="C22" i="4"/>
  <c r="F46" i="9"/>
  <c r="E46" i="9"/>
  <c r="E45" i="9"/>
  <c r="F44" i="9"/>
  <c r="F45" i="9"/>
  <c r="E44" i="9"/>
  <c r="G53" i="21"/>
  <c r="H53" i="21" s="1"/>
  <c r="G52" i="21"/>
  <c r="H52" i="21" s="1"/>
  <c r="I53" i="34"/>
  <c r="J53" i="34" s="1"/>
  <c r="R37" i="36"/>
  <c r="E36" i="36"/>
  <c r="F65" i="40"/>
  <c r="E67" i="40"/>
  <c r="F70" i="39"/>
  <c r="E72" i="39"/>
  <c r="C15" i="12"/>
  <c r="R49" i="33"/>
  <c r="E48" i="33"/>
  <c r="AC7" i="37"/>
  <c r="V42" i="37" s="1"/>
  <c r="I42" i="37" s="1"/>
  <c r="W7" i="37"/>
  <c r="C20" i="11"/>
  <c r="C21" i="11" s="1"/>
  <c r="Q75" i="15"/>
  <c r="Q62" i="15"/>
  <c r="C32" i="15"/>
  <c r="C34" i="44"/>
  <c r="C7" i="44"/>
  <c r="Q62" i="44"/>
  <c r="Q75" i="44"/>
  <c r="F24" i="15"/>
  <c r="C24" i="15" s="1"/>
  <c r="F26" i="44"/>
  <c r="C26" i="44" s="1"/>
  <c r="F21" i="43"/>
  <c r="F26" i="12"/>
  <c r="C27" i="12" s="1"/>
  <c r="D26" i="12" s="1"/>
  <c r="C32" i="12" s="1"/>
  <c r="D30" i="12" s="1"/>
  <c r="F58" i="15"/>
  <c r="J20" i="44"/>
  <c r="J7" i="44"/>
  <c r="C36" i="73" l="1"/>
  <c r="C37" i="73"/>
  <c r="C33" i="73"/>
  <c r="C34" i="73"/>
  <c r="C35" i="73"/>
  <c r="T15" i="73"/>
  <c r="V15" i="73" s="1"/>
  <c r="T16" i="73"/>
  <c r="V16" i="73" s="1"/>
  <c r="T5" i="73"/>
  <c r="V5" i="73" s="1"/>
  <c r="T14" i="73"/>
  <c r="V14" i="73" s="1"/>
  <c r="T2" i="73"/>
  <c r="V2" i="73" s="1"/>
  <c r="T6" i="73"/>
  <c r="V6" i="73" s="1"/>
  <c r="T13" i="73"/>
  <c r="V13" i="73" s="1"/>
  <c r="T3" i="73"/>
  <c r="V3" i="73" s="1"/>
  <c r="T11" i="73"/>
  <c r="V11" i="73" s="1"/>
  <c r="T9" i="73"/>
  <c r="V9" i="73" s="1"/>
  <c r="T8" i="73"/>
  <c r="V8" i="73" s="1"/>
  <c r="T4" i="73"/>
  <c r="V4" i="73" s="1"/>
  <c r="T10" i="73"/>
  <c r="V10" i="73" s="1"/>
  <c r="T12" i="73"/>
  <c r="V12" i="73" s="1"/>
  <c r="T7" i="73"/>
  <c r="V7" i="73" s="1"/>
  <c r="C29" i="73"/>
  <c r="C38" i="73"/>
  <c r="C39" i="73"/>
  <c r="C47" i="15"/>
  <c r="C59" i="15" s="1"/>
  <c r="D30" i="6"/>
  <c r="M14" i="1"/>
  <c r="K16" i="1"/>
  <c r="H21" i="6"/>
  <c r="C22" i="11"/>
  <c r="C23" i="11" s="1"/>
  <c r="B2" i="11" s="1"/>
  <c r="B5" i="11" s="1"/>
  <c r="F12" i="40"/>
  <c r="F12" i="39"/>
  <c r="H12" i="39"/>
  <c r="H12" i="40"/>
  <c r="J12" i="39"/>
  <c r="J12" i="40"/>
  <c r="K27" i="6"/>
  <c r="S6" i="1"/>
  <c r="M19" i="6"/>
  <c r="D16" i="6"/>
  <c r="E53" i="33"/>
  <c r="F53" i="33" s="1"/>
  <c r="E52" i="33"/>
  <c r="F52" i="33" s="1"/>
  <c r="F72" i="39"/>
  <c r="G70" i="39"/>
  <c r="C37" i="36"/>
  <c r="B3" i="36" s="1"/>
  <c r="B2" i="36" s="1"/>
  <c r="C36" i="36"/>
  <c r="J26" i="44"/>
  <c r="J28" i="44"/>
  <c r="J31" i="44" s="1"/>
  <c r="D37" i="43"/>
  <c r="C23" i="43"/>
  <c r="D21" i="43" s="1"/>
  <c r="C38" i="15"/>
  <c r="I47" i="37"/>
  <c r="J47" i="37" s="1"/>
  <c r="I46" i="37"/>
  <c r="J46" i="37" s="1"/>
  <c r="C49" i="33"/>
  <c r="B3" i="33" s="1"/>
  <c r="B2" i="33" s="1"/>
  <c r="C48" i="33"/>
  <c r="E41" i="36"/>
  <c r="F41" i="36" s="1"/>
  <c r="E40" i="36"/>
  <c r="F40" i="36" s="1"/>
  <c r="A20" i="64"/>
  <c r="N5" i="54"/>
  <c r="B43" i="63" s="1"/>
  <c r="A6" i="64"/>
  <c r="A20" i="51"/>
  <c r="B15" i="63" s="1"/>
  <c r="A6" i="51"/>
  <c r="B7" i="63" s="1"/>
  <c r="D27" i="6"/>
  <c r="R20" i="6"/>
  <c r="R21" i="6"/>
  <c r="R22" i="6"/>
  <c r="R23" i="6"/>
  <c r="R24" i="6"/>
  <c r="R25" i="6"/>
  <c r="R26" i="6"/>
  <c r="D7" i="66"/>
  <c r="D6" i="66"/>
  <c r="D8" i="66"/>
  <c r="I53" i="33"/>
  <c r="J53" i="33" s="1"/>
  <c r="I41" i="36"/>
  <c r="J41" i="36" s="1"/>
  <c r="C50" i="34"/>
  <c r="B3" i="34" s="1"/>
  <c r="B2" i="34" s="1"/>
  <c r="C49" i="34"/>
  <c r="C39" i="46"/>
  <c r="C38" i="46"/>
  <c r="J18" i="15"/>
  <c r="J5" i="15"/>
  <c r="C38" i="35"/>
  <c r="C39" i="35"/>
  <c r="B3" i="35" s="1"/>
  <c r="B2" i="35" s="1"/>
  <c r="G47" i="37"/>
  <c r="H47" i="37" s="1"/>
  <c r="G53" i="33"/>
  <c r="H53" i="33" s="1"/>
  <c r="G52" i="33"/>
  <c r="H52" i="33" s="1"/>
  <c r="C43" i="37"/>
  <c r="B3" i="37" s="1"/>
  <c r="B2" i="37" s="1"/>
  <c r="C42" i="37"/>
  <c r="C48" i="21"/>
  <c r="C49" i="21"/>
  <c r="C40" i="44"/>
  <c r="F67" i="40"/>
  <c r="G65" i="40"/>
  <c r="T16" i="59"/>
  <c r="D16" i="59"/>
  <c r="C15" i="59"/>
  <c r="E54" i="34"/>
  <c r="F54" i="34" s="1"/>
  <c r="E53" i="34"/>
  <c r="F53" i="34" s="1"/>
  <c r="C36" i="46"/>
  <c r="C35" i="46"/>
  <c r="T14" i="46"/>
  <c r="V14" i="46" s="1"/>
  <c r="T12" i="46"/>
  <c r="V12" i="46" s="1"/>
  <c r="T8" i="46"/>
  <c r="V8" i="46" s="1"/>
  <c r="T11" i="46"/>
  <c r="V11" i="46" s="1"/>
  <c r="T16" i="46"/>
  <c r="V16" i="46" s="1"/>
  <c r="C34" i="46"/>
  <c r="C37" i="46"/>
  <c r="C33" i="46"/>
  <c r="T15" i="46"/>
  <c r="V15" i="46" s="1"/>
  <c r="T13" i="46"/>
  <c r="V13" i="46" s="1"/>
  <c r="T9" i="46"/>
  <c r="V9" i="46" s="1"/>
  <c r="T10" i="46"/>
  <c r="V10" i="46" s="1"/>
  <c r="E43" i="35"/>
  <c r="F43" i="35" s="1"/>
  <c r="E42" i="35"/>
  <c r="F42" i="35" s="1"/>
  <c r="E47" i="37"/>
  <c r="F47" i="37" s="1"/>
  <c r="E46" i="37"/>
  <c r="F46" i="37" s="1"/>
  <c r="E53" i="21"/>
  <c r="F53" i="21" s="1"/>
  <c r="E52" i="21"/>
  <c r="F52" i="21" s="1"/>
  <c r="O51" i="74" l="1"/>
  <c r="P51" i="74" s="1"/>
  <c r="R62" i="74"/>
  <c r="P15" i="9"/>
  <c r="G39" i="73"/>
  <c r="I39" i="73" s="1"/>
  <c r="E39" i="73"/>
  <c r="G38" i="73"/>
  <c r="I38" i="73" s="1"/>
  <c r="E38" i="73"/>
  <c r="C30" i="73"/>
  <c r="E30" i="73" s="1"/>
  <c r="E29" i="73"/>
  <c r="G35" i="73"/>
  <c r="I35" i="73" s="1"/>
  <c r="E35" i="73"/>
  <c r="G34" i="73"/>
  <c r="I34" i="73" s="1"/>
  <c r="E34" i="73"/>
  <c r="G33" i="73"/>
  <c r="I33" i="73" s="1"/>
  <c r="E33" i="73"/>
  <c r="G37" i="73"/>
  <c r="I37" i="73" s="1"/>
  <c r="E37" i="73"/>
  <c r="E36" i="73"/>
  <c r="G36" i="73"/>
  <c r="I36" i="73" s="1"/>
  <c r="C65" i="15"/>
  <c r="D31" i="6"/>
  <c r="M16" i="1"/>
  <c r="O14" i="1"/>
  <c r="B3" i="11"/>
  <c r="B4" i="11"/>
  <c r="W12" i="40"/>
  <c r="AC12" i="40"/>
  <c r="U12" i="40"/>
  <c r="AB12" i="40"/>
  <c r="AA12" i="39"/>
  <c r="S12" i="39"/>
  <c r="W12" i="39"/>
  <c r="AC12" i="39"/>
  <c r="AB12" i="39"/>
  <c r="U12" i="39"/>
  <c r="AA12" i="40"/>
  <c r="S12" i="40"/>
  <c r="S16" i="1"/>
  <c r="T6" i="1" s="1"/>
  <c r="M27" i="6"/>
  <c r="I19" i="6"/>
  <c r="G33" i="46"/>
  <c r="I33" i="46" s="1"/>
  <c r="E33" i="46"/>
  <c r="G36" i="46"/>
  <c r="I36" i="46" s="1"/>
  <c r="E36" i="46"/>
  <c r="G37" i="46"/>
  <c r="I37" i="46" s="1"/>
  <c r="E37" i="46"/>
  <c r="G35" i="46"/>
  <c r="I35" i="46" s="1"/>
  <c r="E35" i="46"/>
  <c r="D15" i="59"/>
  <c r="C14" i="59"/>
  <c r="H65" i="40"/>
  <c r="G67" i="40"/>
  <c r="J26" i="15"/>
  <c r="J29" i="15" s="1"/>
  <c r="J24" i="15"/>
  <c r="G38" i="46"/>
  <c r="I38" i="46" s="1"/>
  <c r="E38" i="46"/>
  <c r="H70" i="39"/>
  <c r="G72" i="39"/>
  <c r="G34" i="46"/>
  <c r="I34" i="46" s="1"/>
  <c r="E34" i="46"/>
  <c r="B3" i="21"/>
  <c r="B2" i="21" s="1"/>
  <c r="C8" i="12"/>
  <c r="C10" i="12" s="1"/>
  <c r="C6" i="12" s="1"/>
  <c r="G39" i="46"/>
  <c r="I39" i="46" s="1"/>
  <c r="E39" i="46"/>
  <c r="I5" i="6"/>
  <c r="I6" i="6"/>
  <c r="Q58" i="44"/>
  <c r="Q49" i="44"/>
  <c r="Q55" i="44" s="1"/>
  <c r="Q67" i="44"/>
  <c r="C26" i="73" l="1"/>
  <c r="B2" i="73" s="1"/>
  <c r="C27" i="73"/>
  <c r="G3" i="46"/>
  <c r="P14" i="1"/>
  <c r="P16" i="1" s="1"/>
  <c r="C13" i="12" s="1"/>
  <c r="O16" i="1"/>
  <c r="N16" i="1"/>
  <c r="C29" i="43" s="1"/>
  <c r="C13" i="43"/>
  <c r="L16" i="1"/>
  <c r="C24" i="12"/>
  <c r="C29" i="12"/>
  <c r="H19" i="6"/>
  <c r="S19" i="6"/>
  <c r="S27" i="6" s="1"/>
  <c r="I27" i="6"/>
  <c r="T12" i="1"/>
  <c r="T9" i="1"/>
  <c r="T13" i="1"/>
  <c r="T8" i="1"/>
  <c r="T7" i="1"/>
  <c r="T11" i="1"/>
  <c r="T10" i="1"/>
  <c r="H67" i="40"/>
  <c r="I65" i="40"/>
  <c r="H72" i="39"/>
  <c r="I70" i="39"/>
  <c r="D14" i="59"/>
  <c r="C13" i="59"/>
  <c r="C14" i="15"/>
  <c r="C16" i="44"/>
  <c r="B3" i="73" l="1"/>
  <c r="D4" i="73"/>
  <c r="B4" i="73"/>
  <c r="E13" i="43"/>
  <c r="C17" i="43"/>
  <c r="C14" i="43"/>
  <c r="E14" i="43" s="1"/>
  <c r="C14" i="12"/>
  <c r="C17" i="12"/>
  <c r="B113" i="46"/>
  <c r="AC11" i="46"/>
  <c r="AC13" i="46" s="1"/>
  <c r="AG11" i="46"/>
  <c r="AG13" i="46" s="1"/>
  <c r="L101" i="46"/>
  <c r="F22" i="46"/>
  <c r="AA11" i="46"/>
  <c r="AA13" i="46" s="1"/>
  <c r="AH11" i="46"/>
  <c r="AH13" i="46" s="1"/>
  <c r="G22" i="46"/>
  <c r="N104" i="45"/>
  <c r="AJ11" i="46"/>
  <c r="AJ13" i="46" s="1"/>
  <c r="J22" i="46"/>
  <c r="C101" i="46"/>
  <c r="D101" i="46"/>
  <c r="Z7" i="46"/>
  <c r="F101" i="46"/>
  <c r="G101" i="46"/>
  <c r="AB11" i="46"/>
  <c r="AB13" i="46" s="1"/>
  <c r="J101" i="46"/>
  <c r="AD11" i="46"/>
  <c r="AD13" i="46" s="1"/>
  <c r="M101" i="46"/>
  <c r="AE11" i="46"/>
  <c r="AE13" i="46" s="1"/>
  <c r="E101" i="46"/>
  <c r="K101" i="46"/>
  <c r="AI11" i="46"/>
  <c r="AI13" i="46" s="1"/>
  <c r="H22" i="46"/>
  <c r="Y11" i="46"/>
  <c r="Y13" i="46" s="1"/>
  <c r="Z11" i="46"/>
  <c r="Z13" i="46" s="1"/>
  <c r="H101" i="46"/>
  <c r="I101" i="46"/>
  <c r="N101" i="46"/>
  <c r="AF11" i="46"/>
  <c r="AF13" i="46" s="1"/>
  <c r="E22" i="46"/>
  <c r="D22" i="46" s="1"/>
  <c r="C21" i="46" s="1"/>
  <c r="C29" i="46" s="1"/>
  <c r="C23" i="46"/>
  <c r="S2" i="46"/>
  <c r="T2" i="46" s="1"/>
  <c r="V2" i="46" s="1"/>
  <c r="S5" i="46"/>
  <c r="T5" i="46" s="1"/>
  <c r="V5" i="46" s="1"/>
  <c r="S6" i="46"/>
  <c r="T6" i="46" s="1"/>
  <c r="V6" i="46" s="1"/>
  <c r="S4" i="46"/>
  <c r="T4" i="46" s="1"/>
  <c r="V4" i="46" s="1"/>
  <c r="S7" i="46"/>
  <c r="T7" i="46" s="1"/>
  <c r="V7" i="46" s="1"/>
  <c r="S3" i="46"/>
  <c r="T3" i="46" s="1"/>
  <c r="V3" i="46" s="1"/>
  <c r="T16" i="1"/>
  <c r="C20" i="44"/>
  <c r="C17" i="44"/>
  <c r="C18" i="15"/>
  <c r="C15" i="15"/>
  <c r="H27" i="6"/>
  <c r="R19" i="6"/>
  <c r="D13" i="59"/>
  <c r="C12" i="59"/>
  <c r="J65" i="40"/>
  <c r="I67" i="40"/>
  <c r="J70" i="39"/>
  <c r="I72" i="39"/>
  <c r="C18" i="12" l="1"/>
  <c r="C23" i="12" s="1"/>
  <c r="C35" i="12" s="1"/>
  <c r="C33" i="12" s="1"/>
  <c r="C18" i="43"/>
  <c r="C19" i="43" s="1"/>
  <c r="C36" i="43" s="1"/>
  <c r="G107" i="46"/>
  <c r="G106" i="46"/>
  <c r="G105" i="46"/>
  <c r="G104" i="46"/>
  <c r="G109" i="46"/>
  <c r="G103" i="46"/>
  <c r="G102" i="46"/>
  <c r="H107" i="46"/>
  <c r="H109" i="46"/>
  <c r="H106" i="46"/>
  <c r="H105" i="46"/>
  <c r="H104" i="46"/>
  <c r="H103" i="46"/>
  <c r="H102" i="46"/>
  <c r="M107" i="46"/>
  <c r="M106" i="46"/>
  <c r="M105" i="46"/>
  <c r="M104" i="46"/>
  <c r="M109" i="46"/>
  <c r="M103" i="46"/>
  <c r="M102" i="46"/>
  <c r="C105" i="46"/>
  <c r="C106" i="46"/>
  <c r="C104" i="46"/>
  <c r="C103" i="46"/>
  <c r="C102" i="46"/>
  <c r="C109" i="46"/>
  <c r="C107" i="46"/>
  <c r="L103" i="46"/>
  <c r="L102" i="46"/>
  <c r="L107" i="46"/>
  <c r="L106" i="46"/>
  <c r="L105" i="46"/>
  <c r="L104" i="46"/>
  <c r="L109" i="46"/>
  <c r="E29" i="46"/>
  <c r="C26" i="46" s="1"/>
  <c r="B2" i="46" s="1"/>
  <c r="C30" i="46"/>
  <c r="K109" i="46"/>
  <c r="K107" i="46"/>
  <c r="K106" i="46"/>
  <c r="K105" i="46"/>
  <c r="K104" i="46"/>
  <c r="K103" i="46"/>
  <c r="K102" i="46"/>
  <c r="F109" i="46"/>
  <c r="F107" i="46"/>
  <c r="F106" i="46"/>
  <c r="F105" i="46"/>
  <c r="F104" i="46"/>
  <c r="F103" i="46"/>
  <c r="F102" i="46"/>
  <c r="N109" i="46"/>
  <c r="N103" i="46"/>
  <c r="N102" i="46"/>
  <c r="N107" i="46"/>
  <c r="N106" i="46"/>
  <c r="N105" i="46"/>
  <c r="N104" i="46"/>
  <c r="E105" i="46"/>
  <c r="E104" i="46"/>
  <c r="E103" i="46"/>
  <c r="E102" i="46"/>
  <c r="E107" i="46"/>
  <c r="E106" i="46"/>
  <c r="E109" i="46"/>
  <c r="I107" i="46"/>
  <c r="I106" i="46"/>
  <c r="I105" i="46"/>
  <c r="I104" i="46"/>
  <c r="I103" i="46"/>
  <c r="I102" i="46"/>
  <c r="I109" i="46"/>
  <c r="D107" i="46"/>
  <c r="D106" i="46"/>
  <c r="D105" i="46"/>
  <c r="D109" i="46"/>
  <c r="D104" i="46"/>
  <c r="D103" i="46"/>
  <c r="D102" i="46"/>
  <c r="J109" i="46"/>
  <c r="J102" i="46"/>
  <c r="J107" i="46"/>
  <c r="J106" i="46"/>
  <c r="J105" i="46"/>
  <c r="J104" i="46"/>
  <c r="J103" i="46"/>
  <c r="D118" i="46"/>
  <c r="E118" i="46" s="1"/>
  <c r="F118" i="46" s="1"/>
  <c r="I118" i="46"/>
  <c r="J118" i="46" s="1"/>
  <c r="K118" i="46" s="1"/>
  <c r="L118" i="46" s="1"/>
  <c r="M118" i="46" s="1"/>
  <c r="B118" i="46"/>
  <c r="C118" i="46" s="1"/>
  <c r="G118" i="46"/>
  <c r="H118" i="46" s="1"/>
  <c r="B117" i="46"/>
  <c r="C117" i="46" s="1"/>
  <c r="I116" i="46"/>
  <c r="J116" i="46" s="1"/>
  <c r="K116" i="46" s="1"/>
  <c r="L116" i="46" s="1"/>
  <c r="M116" i="46" s="1"/>
  <c r="D117" i="46"/>
  <c r="E117" i="46" s="1"/>
  <c r="F117" i="46" s="1"/>
  <c r="G117" i="46" s="1"/>
  <c r="H117" i="46" s="1"/>
  <c r="I117" i="46"/>
  <c r="J117" i="46" s="1"/>
  <c r="K117" i="46" s="1"/>
  <c r="L117" i="46" s="1"/>
  <c r="M117" i="46" s="1"/>
  <c r="D115" i="46"/>
  <c r="E115" i="46" s="1"/>
  <c r="F115" i="46" s="1"/>
  <c r="G115" i="46" s="1"/>
  <c r="H115" i="46" s="1"/>
  <c r="D116" i="46"/>
  <c r="E116" i="46" s="1"/>
  <c r="F116" i="46" s="1"/>
  <c r="G116" i="46" s="1"/>
  <c r="H116" i="46" s="1"/>
  <c r="I115" i="46"/>
  <c r="J115" i="46" s="1"/>
  <c r="K115" i="46" s="1"/>
  <c r="L115" i="46" s="1"/>
  <c r="M115" i="46" s="1"/>
  <c r="B116" i="46"/>
  <c r="C116" i="46" s="1"/>
  <c r="B115" i="46"/>
  <c r="C21" i="44"/>
  <c r="C22" i="44" s="1"/>
  <c r="C28" i="44" s="1"/>
  <c r="C19" i="15"/>
  <c r="C20" i="15" s="1"/>
  <c r="C26" i="15" s="1"/>
  <c r="R6" i="1"/>
  <c r="R16" i="1" s="1"/>
  <c r="R27" i="6"/>
  <c r="J72" i="39"/>
  <c r="K70" i="39"/>
  <c r="T12" i="59"/>
  <c r="D12" i="59"/>
  <c r="C11" i="59"/>
  <c r="J67" i="40"/>
  <c r="K65" i="40"/>
  <c r="D19" i="9"/>
  <c r="C35" i="43" l="1"/>
  <c r="C28" i="12"/>
  <c r="C26" i="12" s="1"/>
  <c r="C31" i="12" s="1"/>
  <c r="C30" i="12" s="1"/>
  <c r="C36" i="12" s="1"/>
  <c r="B2" i="12" s="1"/>
  <c r="B4" i="12" s="1"/>
  <c r="N15" i="9"/>
  <c r="O15" i="9" s="1"/>
  <c r="E30" i="46"/>
  <c r="C27" i="46" s="1"/>
  <c r="C115" i="46"/>
  <c r="D113" i="46"/>
  <c r="B4" i="46"/>
  <c r="D4" i="46"/>
  <c r="B3" i="46"/>
  <c r="C22" i="43"/>
  <c r="C25" i="43"/>
  <c r="C25" i="44"/>
  <c r="C31" i="44" s="1"/>
  <c r="C23" i="15"/>
  <c r="C29" i="15" s="1"/>
  <c r="L65" i="40"/>
  <c r="K67" i="40"/>
  <c r="D11" i="59"/>
  <c r="C10" i="59"/>
  <c r="L70" i="39"/>
  <c r="K72" i="39"/>
  <c r="D20" i="9"/>
  <c r="C21" i="9"/>
  <c r="D21" i="9"/>
  <c r="C19" i="9"/>
  <c r="C9" i="74" l="1"/>
  <c r="L44" i="9"/>
  <c r="B3" i="12"/>
  <c r="C10" i="74" s="1"/>
  <c r="D22" i="9"/>
  <c r="G19" i="9"/>
  <c r="B5" i="12"/>
  <c r="G21" i="9"/>
  <c r="C38" i="43"/>
  <c r="C24" i="43"/>
  <c r="C37" i="43"/>
  <c r="C21" i="43"/>
  <c r="J19" i="15"/>
  <c r="J17" i="15" s="1"/>
  <c r="C36" i="15"/>
  <c r="C56" i="15"/>
  <c r="C33" i="15"/>
  <c r="C31" i="15" s="1"/>
  <c r="C13" i="15"/>
  <c r="J14" i="15"/>
  <c r="J59" i="15"/>
  <c r="J60" i="15" s="1"/>
  <c r="Q50" i="15"/>
  <c r="C35" i="44"/>
  <c r="C33" i="44" s="1"/>
  <c r="C38" i="44"/>
  <c r="J16" i="44"/>
  <c r="Q51" i="44"/>
  <c r="J21" i="44"/>
  <c r="J19" i="44" s="1"/>
  <c r="C15" i="44"/>
  <c r="D10" i="59"/>
  <c r="C9" i="59"/>
  <c r="L67" i="40"/>
  <c r="M65" i="40"/>
  <c r="L72" i="39"/>
  <c r="M70" i="39"/>
  <c r="C20" i="9"/>
  <c r="F38" i="71" l="1"/>
  <c r="F39" i="71"/>
  <c r="E9" i="74"/>
  <c r="F40" i="71"/>
  <c r="G20" i="9"/>
  <c r="L43" i="9"/>
  <c r="C39" i="43"/>
  <c r="C43" i="43" s="1"/>
  <c r="B2" i="43" s="1"/>
  <c r="B4" i="43" s="1"/>
  <c r="G22" i="9"/>
  <c r="C32" i="9"/>
  <c r="N43" i="9"/>
  <c r="C28" i="43"/>
  <c r="C30" i="43" s="1"/>
  <c r="C32" i="43" s="1"/>
  <c r="C43" i="44"/>
  <c r="Q72" i="44"/>
  <c r="C39" i="44"/>
  <c r="C32" i="44" s="1"/>
  <c r="C42" i="44" s="1"/>
  <c r="J13" i="15"/>
  <c r="J23" i="15" s="1"/>
  <c r="J22" i="15"/>
  <c r="J24" i="44"/>
  <c r="J15" i="44"/>
  <c r="J25" i="44" s="1"/>
  <c r="L46" i="15"/>
  <c r="Q49" i="15"/>
  <c r="Q71" i="15"/>
  <c r="C55" i="15"/>
  <c r="C64" i="15" s="1"/>
  <c r="C37" i="15"/>
  <c r="C30" i="15" s="1"/>
  <c r="C39" i="15" s="1"/>
  <c r="J35" i="15"/>
  <c r="C63" i="15"/>
  <c r="C60" i="15"/>
  <c r="C58" i="15" s="1"/>
  <c r="N70" i="39"/>
  <c r="N72" i="39" s="1"/>
  <c r="M72" i="39"/>
  <c r="D9" i="59"/>
  <c r="C8" i="59"/>
  <c r="N65" i="40"/>
  <c r="N67" i="40" s="1"/>
  <c r="M67" i="40"/>
  <c r="L51" i="15"/>
  <c r="F9" i="74" l="1"/>
  <c r="I9" i="74" s="1"/>
  <c r="I38" i="71"/>
  <c r="K59" i="74"/>
  <c r="L58" i="74" s="1"/>
  <c r="D38" i="74"/>
  <c r="H9" i="74"/>
  <c r="M58" i="74" s="1"/>
  <c r="M69" i="74" s="1"/>
  <c r="M71" i="74" s="1"/>
  <c r="M75" i="74" s="1"/>
  <c r="B3" i="43"/>
  <c r="B5" i="43"/>
  <c r="O43" i="9"/>
  <c r="O38" i="9"/>
  <c r="C35" i="9"/>
  <c r="F42" i="9" s="1"/>
  <c r="C33" i="9"/>
  <c r="C42" i="9"/>
  <c r="C34" i="9"/>
  <c r="J16" i="15"/>
  <c r="J25" i="15" s="1"/>
  <c r="J18" i="44"/>
  <c r="J27" i="44" s="1"/>
  <c r="L57" i="15"/>
  <c r="L60" i="15" s="1"/>
  <c r="Q68" i="15"/>
  <c r="J39" i="15"/>
  <c r="J40" i="15" s="1"/>
  <c r="C57" i="15"/>
  <c r="C66" i="15" s="1"/>
  <c r="C67" i="15" s="1"/>
  <c r="Q70" i="15"/>
  <c r="Q69" i="15" s="1"/>
  <c r="C40" i="15"/>
  <c r="Q71" i="44"/>
  <c r="Q70" i="44" s="1"/>
  <c r="C44" i="44"/>
  <c r="C45" i="44" s="1"/>
  <c r="F9" i="40"/>
  <c r="H9" i="40"/>
  <c r="J9" i="40"/>
  <c r="T8" i="59"/>
  <c r="D8" i="59"/>
  <c r="C7" i="59"/>
  <c r="H9" i="39"/>
  <c r="F9" i="39"/>
  <c r="J9" i="39"/>
  <c r="L38" i="74" l="1"/>
  <c r="Q59" i="74" s="1"/>
  <c r="Q62" i="74" s="1"/>
  <c r="K70" i="74"/>
  <c r="L69" i="74" s="1"/>
  <c r="N69" i="74" s="1"/>
  <c r="N71" i="74" s="1"/>
  <c r="N75" i="74" s="1"/>
  <c r="Q36" i="74"/>
  <c r="E38" i="74"/>
  <c r="O57" i="74" s="1"/>
  <c r="P57" i="74" s="1"/>
  <c r="Q57" i="74"/>
  <c r="N35" i="74"/>
  <c r="K82" i="74"/>
  <c r="M60" i="74"/>
  <c r="M64" i="74" s="1"/>
  <c r="N81" i="74"/>
  <c r="N83" i="74" s="1"/>
  <c r="N87" i="74" s="1"/>
  <c r="N58" i="74"/>
  <c r="O81" i="74" s="1"/>
  <c r="O83" i="74" s="1"/>
  <c r="O87" i="74" s="1"/>
  <c r="L81" i="74"/>
  <c r="D59" i="74"/>
  <c r="F59" i="74" s="1"/>
  <c r="F71" i="74" s="1"/>
  <c r="M38" i="9"/>
  <c r="K27" i="9" s="1"/>
  <c r="E42" i="9"/>
  <c r="P5" i="54" s="1"/>
  <c r="B46" i="63" s="1"/>
  <c r="D42" i="9"/>
  <c r="Q5" i="54" s="1"/>
  <c r="B47" i="63" s="1"/>
  <c r="N38" i="9"/>
  <c r="K28" i="9" s="1"/>
  <c r="D63" i="9"/>
  <c r="N68" i="9"/>
  <c r="D14" i="66"/>
  <c r="R5" i="54"/>
  <c r="B48" i="63" s="1"/>
  <c r="K26" i="9"/>
  <c r="K25" i="9"/>
  <c r="Q67" i="15"/>
  <c r="Q58" i="15"/>
  <c r="L52" i="44"/>
  <c r="B2" i="44"/>
  <c r="Q66" i="15"/>
  <c r="Q48" i="15"/>
  <c r="Q54" i="15" s="1"/>
  <c r="B2" i="15"/>
  <c r="B3" i="15" s="1"/>
  <c r="Q57" i="15"/>
  <c r="C43" i="15"/>
  <c r="J42" i="15"/>
  <c r="J43" i="15" s="1"/>
  <c r="C70" i="15"/>
  <c r="C46" i="15"/>
  <c r="AB9" i="39"/>
  <c r="T49" i="39" s="1"/>
  <c r="G49" i="39" s="1"/>
  <c r="U9" i="39"/>
  <c r="S9" i="39"/>
  <c r="AA9" i="39"/>
  <c r="R49" i="39" s="1"/>
  <c r="D7" i="59"/>
  <c r="C6" i="59"/>
  <c r="U9" i="40"/>
  <c r="AB9" i="40"/>
  <c r="T44" i="40" s="1"/>
  <c r="G44" i="40" s="1"/>
  <c r="W9" i="39"/>
  <c r="AC9" i="39"/>
  <c r="V49" i="39" s="1"/>
  <c r="I49" i="39" s="1"/>
  <c r="AC9" i="40"/>
  <c r="V44" i="40" s="1"/>
  <c r="I44" i="40" s="1"/>
  <c r="W9" i="40"/>
  <c r="AA9" i="40"/>
  <c r="R44" i="40" s="1"/>
  <c r="S9" i="40"/>
  <c r="M38" i="74" l="1"/>
  <c r="O37" i="74" s="1"/>
  <c r="N60" i="74"/>
  <c r="N64" i="74" s="1"/>
  <c r="B5" i="66"/>
  <c r="F14" i="66"/>
  <c r="E14" i="66"/>
  <c r="C103" i="9"/>
  <c r="D71" i="9"/>
  <c r="C82" i="9"/>
  <c r="C81" i="9" s="1"/>
  <c r="C85" i="9" s="1"/>
  <c r="C86" i="9" s="1"/>
  <c r="D72" i="9" s="1"/>
  <c r="D70" i="9"/>
  <c r="C96" i="9"/>
  <c r="C91" i="9" s="1"/>
  <c r="C111" i="9"/>
  <c r="C104" i="9" s="1"/>
  <c r="C90" i="9"/>
  <c r="D73" i="9"/>
  <c r="N73" i="9" s="1"/>
  <c r="B3" i="44"/>
  <c r="B5" i="44"/>
  <c r="B4" i="44"/>
  <c r="Q63" i="15"/>
  <c r="L58" i="44"/>
  <c r="L61" i="44" s="1"/>
  <c r="Q69" i="44"/>
  <c r="Q76" i="15"/>
  <c r="I53" i="39"/>
  <c r="J53" i="39" s="1"/>
  <c r="G48" i="40"/>
  <c r="H48" i="40" s="1"/>
  <c r="G49" i="40"/>
  <c r="H49" i="40" s="1"/>
  <c r="D6" i="59"/>
  <c r="C5" i="59"/>
  <c r="R50" i="39"/>
  <c r="E49" i="39"/>
  <c r="R45" i="40"/>
  <c r="E44" i="40"/>
  <c r="I48" i="40"/>
  <c r="J48" i="40" s="1"/>
  <c r="G54" i="39"/>
  <c r="H54" i="39" s="1"/>
  <c r="G53" i="39"/>
  <c r="H53" i="39" s="1"/>
  <c r="O59" i="74" l="1"/>
  <c r="P59" i="74" s="1"/>
  <c r="C113" i="9"/>
  <c r="C114" i="9" s="1"/>
  <c r="E114" i="9" s="1"/>
  <c r="E115" i="9" s="1"/>
  <c r="C97" i="9"/>
  <c r="C5" i="66"/>
  <c r="D5" i="66"/>
  <c r="Q68" i="44"/>
  <c r="Q77" i="44" s="1"/>
  <c r="Q59" i="44"/>
  <c r="Q64" i="44" s="1"/>
  <c r="E49" i="40"/>
  <c r="F49" i="40" s="1"/>
  <c r="E48" i="40"/>
  <c r="F48" i="40" s="1"/>
  <c r="E54" i="39"/>
  <c r="F54" i="39" s="1"/>
  <c r="E53" i="39"/>
  <c r="F53" i="39" s="1"/>
  <c r="D5" i="59"/>
  <c r="M20" i="46" s="1"/>
  <c r="I49" i="40"/>
  <c r="J49" i="40" s="1"/>
  <c r="C45" i="40"/>
  <c r="C44" i="40"/>
  <c r="C50" i="39"/>
  <c r="C49" i="39"/>
  <c r="I54" i="39"/>
  <c r="J54" i="39" s="1"/>
  <c r="C115" i="9" l="1"/>
  <c r="D76" i="9" s="1"/>
  <c r="D74" i="9" s="1"/>
  <c r="N74" i="9" s="1"/>
  <c r="O77" i="9" s="1"/>
  <c r="O78" i="9" s="1"/>
  <c r="C98" i="9"/>
  <c r="E98" i="9" s="1"/>
  <c r="E99" i="9" s="1"/>
  <c r="F68" i="39"/>
  <c r="B2" i="39" s="1"/>
  <c r="B62" i="39"/>
  <c r="F62" i="39" s="1"/>
  <c r="B60" i="39"/>
  <c r="F60" i="39" s="1"/>
  <c r="B58" i="39"/>
  <c r="F58" i="39" s="1"/>
  <c r="B67" i="39"/>
  <c r="F67" i="39" s="1"/>
  <c r="B66" i="39"/>
  <c r="F66" i="39" s="1"/>
  <c r="B65" i="39"/>
  <c r="F65" i="39" s="1"/>
  <c r="B64" i="39"/>
  <c r="F64" i="39" s="1"/>
  <c r="B63" i="39"/>
  <c r="F63" i="39" s="1"/>
  <c r="B61" i="39"/>
  <c r="F61" i="39" s="1"/>
  <c r="B59" i="39"/>
  <c r="F59" i="39" s="1"/>
  <c r="F63" i="40"/>
  <c r="B2" i="40" s="1"/>
  <c r="B57" i="40"/>
  <c r="F57" i="40" s="1"/>
  <c r="B55" i="40"/>
  <c r="F55" i="40" s="1"/>
  <c r="B53" i="40"/>
  <c r="F53" i="40" s="1"/>
  <c r="B62" i="40"/>
  <c r="F62" i="40" s="1"/>
  <c r="B60" i="40"/>
  <c r="F60" i="40" s="1"/>
  <c r="B58" i="40"/>
  <c r="F58" i="40" s="1"/>
  <c r="B56" i="40"/>
  <c r="F56" i="40" s="1"/>
  <c r="B54" i="40"/>
  <c r="F54" i="40" s="1"/>
  <c r="B61" i="40"/>
  <c r="F61" i="40" s="1"/>
  <c r="B59" i="40"/>
  <c r="F59" i="40" s="1"/>
  <c r="C99" i="9" l="1"/>
  <c r="O79" i="9"/>
  <c r="O81" i="9" s="1"/>
  <c r="Q77" i="9"/>
  <c r="B4" i="39"/>
  <c r="B5" i="39"/>
  <c r="B3" i="39"/>
  <c r="B5" i="40"/>
  <c r="B3" i="40"/>
  <c r="B4" i="40"/>
  <c r="O80" i="9" l="1"/>
  <c r="M33" i="71"/>
  <c r="M34" i="71" l="1"/>
  <c r="O33" i="71" s="1"/>
  <c r="I33" i="71" s="1"/>
  <c r="I35" i="71" l="1"/>
  <c r="I34" i="71"/>
  <c r="I29" i="71" l="1"/>
  <c r="I31" i="71" l="1"/>
  <c r="I30" i="71"/>
  <c r="I40" i="71" l="1"/>
  <c r="I3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rFont val="楷体_GB2312"/>
            <family val="3"/>
            <charset val="134"/>
          </rPr>
          <t xml:space="preserve">没有时，请选择“——”
</t>
        </r>
      </text>
    </comment>
    <comment ref="H4" authorId="0" shapeId="0" xr:uid="{00000000-0006-0000-0900-000002000000}">
      <text>
        <r>
          <rPr>
            <sz val="12"/>
            <rFont val="楷体_GB2312"/>
            <family val="3"/>
            <charset val="134"/>
          </rPr>
          <t xml:space="preserve">没有时，请选择“——”
</t>
        </r>
      </text>
    </comment>
    <comment ref="B10" authorId="1" shapeId="0" xr:uid="{00000000-0006-0000-0900-000003000000}">
      <text>
        <r>
          <rPr>
            <sz val="11"/>
            <rFont val="楷体_GB2312"/>
            <family val="3"/>
            <charset val="134"/>
          </rPr>
          <t>其它城市请在右侧录入</t>
        </r>
        <r>
          <rPr>
            <sz val="14"/>
            <rFont val="楷体_GB2312"/>
            <family val="3"/>
            <charset val="134"/>
          </rPr>
          <t xml:space="preserve">
</t>
        </r>
      </text>
    </comment>
    <comment ref="E10" authorId="0" shapeId="0" xr:uid="{00000000-0006-0000-0900-000004000000}">
      <text>
        <r>
          <rPr>
            <sz val="12"/>
            <rFont val="楷体_GB2312"/>
            <family val="3"/>
            <charset val="134"/>
          </rPr>
          <t>如果有推广名请自行加入</t>
        </r>
        <r>
          <rPr>
            <sz val="9"/>
            <rFont val="宋体"/>
            <family val="3"/>
            <charset val="134"/>
          </rPr>
          <t xml:space="preserve">
</t>
        </r>
      </text>
    </comment>
    <comment ref="D20" authorId="0" shapeId="0" xr:uid="{00000000-0006-0000-0900-000005000000}">
      <text>
        <r>
          <rPr>
            <sz val="11"/>
            <rFont val="宋体"/>
            <family val="3"/>
            <charset val="134"/>
          </rPr>
          <t>如：住宅67.6年、商业37.6年</t>
        </r>
        <r>
          <rPr>
            <sz val="9"/>
            <rFont val="宋体"/>
            <family val="3"/>
            <charset val="134"/>
          </rPr>
          <t xml:space="preserve">
</t>
        </r>
      </text>
    </comment>
    <comment ref="E22" authorId="0" shapeId="0" xr:uid="{00000000-0006-0000-0900-00000600000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xr:uid="{00000000-0006-0000-0900-000007000000}">
      <text>
        <r>
          <rPr>
            <sz val="11"/>
            <rFont val="楷体_GB2312"/>
            <family val="3"/>
            <charset val="134"/>
          </rPr>
          <t>其他特殊项请在右侧录入</t>
        </r>
      </text>
    </comment>
    <comment ref="C34" authorId="1" shapeId="0" xr:uid="{00000000-0006-0000-0900-000008000000}">
      <text>
        <r>
          <rPr>
            <sz val="11"/>
            <rFont val="宋体"/>
            <family val="3"/>
            <charset val="134"/>
          </rPr>
          <t>廉租房、公租房、限价房、自住房</t>
        </r>
        <r>
          <rPr>
            <sz val="9"/>
            <rFont val="宋体"/>
            <family val="3"/>
            <charset val="134"/>
          </rPr>
          <t xml:space="preserve">
</t>
        </r>
      </text>
    </comment>
    <comment ref="D35" authorId="0" shapeId="0" xr:uid="{00000000-0006-0000-0900-00000900000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xr:uid="{00000000-0006-0000-0900-00000A00000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xr:uid="{00000000-0006-0000-0900-00000B00000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xr:uid="{00000000-0006-0000-0900-00000C000000}">
      <text>
        <r>
          <rPr>
            <sz val="11"/>
            <rFont val="楷体_GB2312"/>
            <family val="3"/>
            <charset val="134"/>
          </rPr>
          <t>现房/在建（简单填写进度）/未建</t>
        </r>
        <r>
          <rPr>
            <sz val="9"/>
            <rFont val="宋体"/>
            <family val="3"/>
            <charset val="134"/>
          </rPr>
          <t xml:space="preserve">
</t>
        </r>
      </text>
    </comment>
    <comment ref="K49" authorId="1" shapeId="0" xr:uid="{00000000-0006-0000-0900-00000D000000}">
      <text>
        <r>
          <rPr>
            <sz val="11"/>
            <rFont val="楷体_GB2312"/>
            <family val="3"/>
            <charset val="134"/>
          </rPr>
          <t>现房/在建（简单填写进度）/未建</t>
        </r>
        <r>
          <rPr>
            <sz val="9"/>
            <rFont val="宋体"/>
            <family val="3"/>
            <charset val="134"/>
          </rPr>
          <t xml:space="preserve">
</t>
        </r>
      </text>
    </comment>
    <comment ref="K50" authorId="1" shapeId="0" xr:uid="{00000000-0006-0000-0900-00000E000000}">
      <text>
        <r>
          <rPr>
            <sz val="11"/>
            <rFont val="楷体_GB2312"/>
            <family val="3"/>
            <charset val="134"/>
          </rPr>
          <t>现房/在建（简单填写进度）/未建</t>
        </r>
        <r>
          <rPr>
            <sz val="9"/>
            <rFont val="宋体"/>
            <family val="3"/>
            <charset val="134"/>
          </rPr>
          <t xml:space="preserve">
</t>
        </r>
      </text>
    </comment>
    <comment ref="K51" authorId="1" shapeId="0" xr:uid="{00000000-0006-0000-0900-00000F000000}">
      <text>
        <r>
          <rPr>
            <sz val="11"/>
            <rFont val="楷体_GB2312"/>
            <family val="3"/>
            <charset val="134"/>
          </rPr>
          <t>现房/在建（简单填写进度）/未建</t>
        </r>
        <r>
          <rPr>
            <sz val="9"/>
            <rFont val="宋体"/>
            <family val="3"/>
            <charset val="134"/>
          </rPr>
          <t xml:space="preserve">
</t>
        </r>
      </text>
    </comment>
    <comment ref="K52" authorId="1" shapeId="0" xr:uid="{00000000-0006-0000-0900-000010000000}">
      <text>
        <r>
          <rPr>
            <sz val="11"/>
            <rFont val="楷体_GB2312"/>
            <family val="3"/>
            <charset val="134"/>
          </rPr>
          <t>现房/在建（简单填写进度）/未建</t>
        </r>
        <r>
          <rPr>
            <sz val="9"/>
            <rFont val="宋体"/>
            <family val="3"/>
            <charset val="134"/>
          </rPr>
          <t xml:space="preserve">
</t>
        </r>
      </text>
    </comment>
    <comment ref="K53" authorId="1" shapeId="0" xr:uid="{00000000-0006-0000-0900-000011000000}">
      <text>
        <r>
          <rPr>
            <sz val="11"/>
            <rFont val="楷体_GB2312"/>
            <family val="3"/>
            <charset val="134"/>
          </rPr>
          <t>现房/在建（简单填写进度）/未建</t>
        </r>
        <r>
          <rPr>
            <sz val="9"/>
            <rFont val="宋体"/>
            <family val="3"/>
            <charset val="134"/>
          </rPr>
          <t xml:space="preserve">
</t>
        </r>
      </text>
    </comment>
    <comment ref="K54" authorId="1" shapeId="0" xr:uid="{00000000-0006-0000-0900-000012000000}">
      <text>
        <r>
          <rPr>
            <sz val="11"/>
            <rFont val="楷体_GB2312"/>
            <family val="3"/>
            <charset val="134"/>
          </rPr>
          <t>现房/在建（简单填写进度）/未建</t>
        </r>
        <r>
          <rPr>
            <sz val="9"/>
            <rFont val="宋体"/>
            <family val="3"/>
            <charset val="134"/>
          </rPr>
          <t xml:space="preserve">
</t>
        </r>
      </text>
    </comment>
    <comment ref="K55" authorId="1" shapeId="0" xr:uid="{00000000-0006-0000-0900-000013000000}">
      <text>
        <r>
          <rPr>
            <sz val="11"/>
            <rFont val="楷体_GB2312"/>
            <family val="3"/>
            <charset val="134"/>
          </rPr>
          <t>现房/在建（简单填写进度）/未建</t>
        </r>
        <r>
          <rPr>
            <sz val="9"/>
            <rFont val="宋体"/>
            <family val="3"/>
            <charset val="134"/>
          </rPr>
          <t xml:space="preserve">
</t>
        </r>
      </text>
    </comment>
    <comment ref="K56" authorId="1" shapeId="0" xr:uid="{00000000-0006-0000-0900-000014000000}">
      <text>
        <r>
          <rPr>
            <sz val="11"/>
            <rFont val="楷体_GB2312"/>
            <family val="3"/>
            <charset val="134"/>
          </rPr>
          <t>现房/在建（简单填写进度）/未建</t>
        </r>
        <r>
          <rPr>
            <sz val="9"/>
            <rFont val="宋体"/>
            <family val="3"/>
            <charset val="134"/>
          </rPr>
          <t xml:space="preserve">
</t>
        </r>
      </text>
    </comment>
    <comment ref="K57" authorId="1" shapeId="0" xr:uid="{00000000-0006-0000-0900-000015000000}">
      <text>
        <r>
          <rPr>
            <sz val="11"/>
            <rFont val="楷体_GB2312"/>
            <family val="3"/>
            <charset val="134"/>
          </rPr>
          <t>现房/在建（简单填写进度）/未建</t>
        </r>
        <r>
          <rPr>
            <sz val="9"/>
            <rFont val="宋体"/>
            <family val="3"/>
            <charset val="134"/>
          </rPr>
          <t xml:space="preserve">
</t>
        </r>
      </text>
    </comment>
    <comment ref="K58" authorId="1" shapeId="0" xr:uid="{00000000-0006-0000-0900-000016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A00-000002000000}">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rFont val="宋体"/>
            <family val="3"/>
            <charset val="134"/>
          </rPr>
          <t>无值时不得空项，需录入“0”</t>
        </r>
        <r>
          <rPr>
            <sz val="9"/>
            <rFont val="宋体"/>
            <family val="3"/>
            <charset val="134"/>
          </rPr>
          <t xml:space="preserve">
</t>
        </r>
      </text>
    </comment>
    <comment ref="U5" authorId="0" shapeId="0" xr:uid="{00000000-0006-0000-0D00-000003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5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xr:uid="{00000000-0006-0000-0D00-000006000000}">
      <text>
        <r>
          <rPr>
            <sz val="10"/>
            <rFont val="宋体"/>
            <family val="3"/>
            <charset val="134"/>
          </rPr>
          <t>取值范围：
1.5%-2.5%</t>
        </r>
      </text>
    </comment>
    <comment ref="AL5" authorId="0" shapeId="0" xr:uid="{00000000-0006-0000-0D00-000007000000}">
      <text>
        <r>
          <rPr>
            <sz val="10"/>
            <rFont val="宋体"/>
            <family val="3"/>
            <charset val="134"/>
          </rPr>
          <t>取值范围：
0.15%-0.3%</t>
        </r>
      </text>
    </comment>
    <comment ref="AM5" authorId="0" shapeId="0" xr:uid="{00000000-0006-0000-0D00-000008000000}">
      <text>
        <r>
          <rPr>
            <sz val="10"/>
            <rFont val="宋体"/>
            <family val="3"/>
            <charset val="134"/>
          </rPr>
          <t>取值范围：1%-3%</t>
        </r>
      </text>
    </comment>
    <comment ref="B44" authorId="2" shapeId="0" xr:uid="{00000000-0006-0000-0D00-000009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rFont val="宋体"/>
            <family val="3"/>
            <charset val="134"/>
          </rPr>
          <t>需在下方列示计算过程</t>
        </r>
        <r>
          <rPr>
            <sz val="9"/>
            <rFont val="宋体"/>
            <family val="3"/>
            <charset val="134"/>
          </rPr>
          <t xml:space="preserve">
</t>
        </r>
      </text>
    </comment>
    <comment ref="H93" authorId="1" shapeId="0" xr:uid="{00000000-0006-0000-1000-000002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100-000001000000}">
      <text>
        <r>
          <rPr>
            <b/>
            <sz val="9"/>
            <rFont val="宋体"/>
            <family val="3"/>
            <charset val="134"/>
          </rPr>
          <t>权重验证</t>
        </r>
        <r>
          <rPr>
            <sz val="9"/>
            <rFont val="宋体"/>
            <family val="3"/>
            <charset val="134"/>
          </rPr>
          <t xml:space="preserve">
</t>
        </r>
      </text>
    </comment>
    <comment ref="C72" authorId="1" shapeId="0" xr:uid="{00000000-0006-0000-1100-000002000000}">
      <text>
        <r>
          <rPr>
            <b/>
            <sz val="12"/>
            <rFont val="宋体"/>
            <family val="3"/>
            <charset val="134"/>
          </rPr>
          <t>价值时点所在季度</t>
        </r>
        <r>
          <rPr>
            <sz val="12"/>
            <rFont val="宋体"/>
            <family val="3"/>
            <charset val="134"/>
          </rPr>
          <t xml:space="preserve">
</t>
        </r>
      </text>
    </comment>
    <comment ref="B73" authorId="0" shapeId="0" xr:uid="{00000000-0006-0000-1100-00000300000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300-000001000000}">
      <text>
        <r>
          <rPr>
            <b/>
            <sz val="9"/>
            <rFont val="宋体"/>
            <family val="3"/>
            <charset val="134"/>
          </rPr>
          <t>权重验证</t>
        </r>
        <r>
          <rPr>
            <sz val="9"/>
            <rFont val="宋体"/>
            <family val="3"/>
            <charset val="134"/>
          </rPr>
          <t xml:space="preserve">
</t>
        </r>
      </text>
    </comment>
    <comment ref="C58" authorId="1" shapeId="0" xr:uid="{00000000-0006-0000-1300-000002000000}">
      <text>
        <r>
          <rPr>
            <b/>
            <sz val="12"/>
            <rFont val="宋体"/>
            <family val="3"/>
            <charset val="134"/>
          </rPr>
          <t>价值时点所在月度</t>
        </r>
        <r>
          <rPr>
            <sz val="12"/>
            <rFont val="宋体"/>
            <family val="3"/>
            <charset val="134"/>
          </rPr>
          <t xml:space="preserve">
</t>
        </r>
      </text>
    </comment>
    <comment ref="B102" authorId="1" shapeId="0" xr:uid="{00000000-0006-0000-1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rFont val="宋体"/>
            <family val="3"/>
            <charset val="134"/>
          </rPr>
          <t>权重验证</t>
        </r>
        <r>
          <rPr>
            <sz val="9"/>
            <rFont val="宋体"/>
            <family val="3"/>
            <charset val="134"/>
          </rPr>
          <t xml:space="preserve">
</t>
        </r>
      </text>
    </comment>
    <comment ref="C67" authorId="1" shapeId="0" xr:uid="{00000000-0006-0000-1500-000002000000}">
      <text>
        <r>
          <rPr>
            <b/>
            <sz val="12"/>
            <rFont val="宋体"/>
            <family val="3"/>
            <charset val="134"/>
          </rPr>
          <t>价值时点所在季度</t>
        </r>
        <r>
          <rPr>
            <sz val="12"/>
            <rFont val="宋体"/>
            <family val="3"/>
            <charset val="134"/>
          </rPr>
          <t xml:space="preserve">
</t>
        </r>
      </text>
    </comment>
    <comment ref="B68" authorId="0" shapeId="0" xr:uid="{00000000-0006-0000-1500-00000300000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rFont val="宋体"/>
            <family val="3"/>
            <charset val="134"/>
          </rPr>
          <t>对应区片地价表</t>
        </r>
        <r>
          <rPr>
            <sz val="9"/>
            <rFont val="宋体"/>
            <family val="3"/>
            <charset val="134"/>
          </rPr>
          <t xml:space="preserve">
</t>
        </r>
      </text>
    </comment>
    <comment ref="Y9" authorId="1" shapeId="0" xr:uid="{00000000-0006-0000-1700-000002000000}">
      <text>
        <r>
          <rPr>
            <sz val="11"/>
            <rFont val="宋体"/>
            <family val="3"/>
            <charset val="134"/>
          </rPr>
          <t xml:space="preserve">录入层数，将对应的结果录入至左侧相应层的楼层修正系数单元格中
</t>
        </r>
      </text>
    </comment>
    <comment ref="Z9" authorId="0" shapeId="0" xr:uid="{00000000-0006-0000-1700-000003000000}">
      <text>
        <r>
          <rPr>
            <b/>
            <sz val="9"/>
            <rFont val="宋体"/>
            <family val="3"/>
            <charset val="134"/>
          </rPr>
          <t xml:space="preserve">所在楼层
</t>
        </r>
        <r>
          <rPr>
            <sz val="9"/>
            <rFont val="宋体"/>
            <family val="3"/>
            <charset val="134"/>
          </rPr>
          <t xml:space="preserve">
</t>
        </r>
      </text>
    </comment>
    <comment ref="AA9" authorId="0" shapeId="0" xr:uid="{00000000-0006-0000-1700-000004000000}">
      <text>
        <r>
          <rPr>
            <b/>
            <sz val="9"/>
            <rFont val="宋体"/>
            <family val="3"/>
            <charset val="134"/>
          </rPr>
          <t xml:space="preserve">所在楼层
</t>
        </r>
        <r>
          <rPr>
            <sz val="9"/>
            <rFont val="宋体"/>
            <family val="3"/>
            <charset val="134"/>
          </rPr>
          <t xml:space="preserve">
</t>
        </r>
      </text>
    </comment>
    <comment ref="AB9" authorId="0" shapeId="0" xr:uid="{00000000-0006-0000-1700-000005000000}">
      <text>
        <r>
          <rPr>
            <b/>
            <sz val="9"/>
            <rFont val="宋体"/>
            <family val="3"/>
            <charset val="134"/>
          </rPr>
          <t xml:space="preserve">所在楼层
</t>
        </r>
        <r>
          <rPr>
            <sz val="9"/>
            <rFont val="宋体"/>
            <family val="3"/>
            <charset val="134"/>
          </rPr>
          <t xml:space="preserve">
</t>
        </r>
      </text>
    </comment>
    <comment ref="AC9" authorId="0" shapeId="0" xr:uid="{00000000-0006-0000-1700-000006000000}">
      <text>
        <r>
          <rPr>
            <b/>
            <sz val="9"/>
            <rFont val="宋体"/>
            <family val="3"/>
            <charset val="134"/>
          </rPr>
          <t xml:space="preserve">所在楼层
</t>
        </r>
        <r>
          <rPr>
            <sz val="9"/>
            <rFont val="宋体"/>
            <family val="3"/>
            <charset val="134"/>
          </rPr>
          <t xml:space="preserve">
</t>
        </r>
      </text>
    </comment>
    <comment ref="AD9" authorId="0" shapeId="0" xr:uid="{00000000-0006-0000-1700-000007000000}">
      <text>
        <r>
          <rPr>
            <b/>
            <sz val="9"/>
            <rFont val="宋体"/>
            <family val="3"/>
            <charset val="134"/>
          </rPr>
          <t xml:space="preserve">所在楼层
</t>
        </r>
        <r>
          <rPr>
            <sz val="9"/>
            <rFont val="宋体"/>
            <family val="3"/>
            <charset val="134"/>
          </rPr>
          <t xml:space="preserve">
</t>
        </r>
      </text>
    </comment>
    <comment ref="AE9" authorId="0" shapeId="0" xr:uid="{00000000-0006-0000-1700-000008000000}">
      <text>
        <r>
          <rPr>
            <b/>
            <sz val="9"/>
            <rFont val="宋体"/>
            <family val="3"/>
            <charset val="134"/>
          </rPr>
          <t xml:space="preserve">所在楼层
</t>
        </r>
        <r>
          <rPr>
            <sz val="9"/>
            <rFont val="宋体"/>
            <family val="3"/>
            <charset val="134"/>
          </rPr>
          <t xml:space="preserve">
</t>
        </r>
      </text>
    </comment>
    <comment ref="AF9" authorId="0" shapeId="0" xr:uid="{00000000-0006-0000-1700-000009000000}">
      <text>
        <r>
          <rPr>
            <b/>
            <sz val="9"/>
            <rFont val="宋体"/>
            <family val="3"/>
            <charset val="134"/>
          </rPr>
          <t xml:space="preserve">所在楼层
</t>
        </r>
        <r>
          <rPr>
            <sz val="9"/>
            <rFont val="宋体"/>
            <family val="3"/>
            <charset val="134"/>
          </rPr>
          <t xml:space="preserve">
</t>
        </r>
      </text>
    </comment>
    <comment ref="AG9" authorId="0" shapeId="0" xr:uid="{00000000-0006-0000-1700-00000A000000}">
      <text>
        <r>
          <rPr>
            <b/>
            <sz val="9"/>
            <rFont val="宋体"/>
            <family val="3"/>
            <charset val="134"/>
          </rPr>
          <t xml:space="preserve">所在楼层
</t>
        </r>
        <r>
          <rPr>
            <sz val="9"/>
            <rFont val="宋体"/>
            <family val="3"/>
            <charset val="134"/>
          </rPr>
          <t xml:space="preserve">
</t>
        </r>
      </text>
    </comment>
    <comment ref="AH9" authorId="0" shapeId="0" xr:uid="{00000000-0006-0000-1700-00000B000000}">
      <text>
        <r>
          <rPr>
            <b/>
            <sz val="9"/>
            <rFont val="宋体"/>
            <family val="3"/>
            <charset val="134"/>
          </rPr>
          <t xml:space="preserve">所在楼层
</t>
        </r>
        <r>
          <rPr>
            <sz val="9"/>
            <rFont val="宋体"/>
            <family val="3"/>
            <charset val="134"/>
          </rPr>
          <t xml:space="preserve">
</t>
        </r>
      </text>
    </comment>
    <comment ref="AI9" authorId="0" shapeId="0" xr:uid="{00000000-0006-0000-1700-00000C000000}">
      <text>
        <r>
          <rPr>
            <b/>
            <sz val="9"/>
            <rFont val="宋体"/>
            <family val="3"/>
            <charset val="134"/>
          </rPr>
          <t xml:space="preserve">所在楼层
</t>
        </r>
        <r>
          <rPr>
            <sz val="9"/>
            <rFont val="宋体"/>
            <family val="3"/>
            <charset val="134"/>
          </rPr>
          <t xml:space="preserve">
</t>
        </r>
      </text>
    </comment>
    <comment ref="AJ9" authorId="0" shapeId="0" xr:uid="{00000000-0006-0000-1700-00000D000000}">
      <text>
        <r>
          <rPr>
            <b/>
            <sz val="9"/>
            <rFont val="宋体"/>
            <family val="3"/>
            <charset val="134"/>
          </rPr>
          <t xml:space="preserve">所在楼层
</t>
        </r>
        <r>
          <rPr>
            <sz val="9"/>
            <rFont val="宋体"/>
            <family val="3"/>
            <charset val="134"/>
          </rPr>
          <t xml:space="preserve">
</t>
        </r>
      </text>
    </comment>
    <comment ref="Y12" authorId="0" shapeId="0" xr:uid="{00000000-0006-0000-1700-00000E000000}">
      <text>
        <r>
          <rPr>
            <b/>
            <sz val="9"/>
            <rFont val="宋体"/>
            <family val="3"/>
            <charset val="134"/>
          </rPr>
          <t xml:space="preserve">所在楼层
</t>
        </r>
        <r>
          <rPr>
            <sz val="9"/>
            <rFont val="宋体"/>
            <family val="3"/>
            <charset val="134"/>
          </rPr>
          <t xml:space="preserve">
</t>
        </r>
      </text>
    </comment>
    <comment ref="Z12" authorId="0" shapeId="0" xr:uid="{00000000-0006-0000-1700-00000F000000}">
      <text>
        <r>
          <rPr>
            <b/>
            <sz val="9"/>
            <rFont val="宋体"/>
            <family val="3"/>
            <charset val="134"/>
          </rPr>
          <t xml:space="preserve">所在楼层
</t>
        </r>
        <r>
          <rPr>
            <sz val="9"/>
            <rFont val="宋体"/>
            <family val="3"/>
            <charset val="134"/>
          </rPr>
          <t xml:space="preserve">
</t>
        </r>
      </text>
    </comment>
    <comment ref="AA12" authorId="0" shapeId="0" xr:uid="{00000000-0006-0000-1700-000010000000}">
      <text>
        <r>
          <rPr>
            <b/>
            <sz val="9"/>
            <rFont val="宋体"/>
            <family val="3"/>
            <charset val="134"/>
          </rPr>
          <t xml:space="preserve">所在楼层
</t>
        </r>
        <r>
          <rPr>
            <sz val="9"/>
            <rFont val="宋体"/>
            <family val="3"/>
            <charset val="134"/>
          </rPr>
          <t xml:space="preserve">
</t>
        </r>
      </text>
    </comment>
    <comment ref="AB12" authorId="0" shapeId="0" xr:uid="{00000000-0006-0000-1700-000011000000}">
      <text>
        <r>
          <rPr>
            <b/>
            <sz val="9"/>
            <rFont val="宋体"/>
            <family val="3"/>
            <charset val="134"/>
          </rPr>
          <t xml:space="preserve">所在楼层
</t>
        </r>
        <r>
          <rPr>
            <sz val="9"/>
            <rFont val="宋体"/>
            <family val="3"/>
            <charset val="134"/>
          </rPr>
          <t xml:space="preserve">
</t>
        </r>
      </text>
    </comment>
    <comment ref="AC12" authorId="0" shapeId="0" xr:uid="{00000000-0006-0000-1700-000012000000}">
      <text>
        <r>
          <rPr>
            <b/>
            <sz val="9"/>
            <rFont val="宋体"/>
            <family val="3"/>
            <charset val="134"/>
          </rPr>
          <t xml:space="preserve">所在楼层
</t>
        </r>
        <r>
          <rPr>
            <sz val="9"/>
            <rFont val="宋体"/>
            <family val="3"/>
            <charset val="134"/>
          </rPr>
          <t xml:space="preserve">
</t>
        </r>
      </text>
    </comment>
    <comment ref="AD12" authorId="0" shapeId="0" xr:uid="{00000000-0006-0000-1700-000013000000}">
      <text>
        <r>
          <rPr>
            <b/>
            <sz val="9"/>
            <rFont val="宋体"/>
            <family val="3"/>
            <charset val="134"/>
          </rPr>
          <t xml:space="preserve">所在楼层
</t>
        </r>
        <r>
          <rPr>
            <sz val="9"/>
            <rFont val="宋体"/>
            <family val="3"/>
            <charset val="134"/>
          </rPr>
          <t xml:space="preserve">
</t>
        </r>
      </text>
    </comment>
    <comment ref="AE12" authorId="0" shapeId="0" xr:uid="{00000000-0006-0000-1700-000014000000}">
      <text>
        <r>
          <rPr>
            <b/>
            <sz val="9"/>
            <rFont val="宋体"/>
            <family val="3"/>
            <charset val="134"/>
          </rPr>
          <t xml:space="preserve">所在楼层
</t>
        </r>
        <r>
          <rPr>
            <sz val="9"/>
            <rFont val="宋体"/>
            <family val="3"/>
            <charset val="134"/>
          </rPr>
          <t xml:space="preserve">
</t>
        </r>
      </text>
    </comment>
    <comment ref="AF12" authorId="0" shapeId="0" xr:uid="{00000000-0006-0000-1700-000015000000}">
      <text>
        <r>
          <rPr>
            <b/>
            <sz val="9"/>
            <rFont val="宋体"/>
            <family val="3"/>
            <charset val="134"/>
          </rPr>
          <t xml:space="preserve">所在楼层
</t>
        </r>
        <r>
          <rPr>
            <sz val="9"/>
            <rFont val="宋体"/>
            <family val="3"/>
            <charset val="134"/>
          </rPr>
          <t xml:space="preserve">
</t>
        </r>
      </text>
    </comment>
    <comment ref="AG12" authorId="0" shapeId="0" xr:uid="{00000000-0006-0000-1700-000016000000}">
      <text>
        <r>
          <rPr>
            <b/>
            <sz val="9"/>
            <rFont val="宋体"/>
            <family val="3"/>
            <charset val="134"/>
          </rPr>
          <t xml:space="preserve">所在楼层
</t>
        </r>
        <r>
          <rPr>
            <sz val="9"/>
            <rFont val="宋体"/>
            <family val="3"/>
            <charset val="134"/>
          </rPr>
          <t xml:space="preserve">
</t>
        </r>
      </text>
    </comment>
    <comment ref="AH12" authorId="0" shapeId="0" xr:uid="{00000000-0006-0000-1700-000017000000}">
      <text>
        <r>
          <rPr>
            <b/>
            <sz val="9"/>
            <rFont val="宋体"/>
            <family val="3"/>
            <charset val="134"/>
          </rPr>
          <t xml:space="preserve">所在楼层
</t>
        </r>
        <r>
          <rPr>
            <sz val="9"/>
            <rFont val="宋体"/>
            <family val="3"/>
            <charset val="134"/>
          </rPr>
          <t xml:space="preserve">
</t>
        </r>
      </text>
    </comment>
    <comment ref="AI12" authorId="0" shapeId="0" xr:uid="{00000000-0006-0000-1700-000018000000}">
      <text>
        <r>
          <rPr>
            <b/>
            <sz val="9"/>
            <rFont val="宋体"/>
            <family val="3"/>
            <charset val="134"/>
          </rPr>
          <t xml:space="preserve">所在楼层
</t>
        </r>
        <r>
          <rPr>
            <sz val="9"/>
            <rFont val="宋体"/>
            <family val="3"/>
            <charset val="134"/>
          </rPr>
          <t xml:space="preserve">
</t>
        </r>
      </text>
    </comment>
    <comment ref="AJ12" authorId="0" shapeId="0" xr:uid="{00000000-0006-0000-1700-000019000000}">
      <text>
        <r>
          <rPr>
            <b/>
            <sz val="9"/>
            <rFont val="宋体"/>
            <family val="3"/>
            <charset val="134"/>
          </rPr>
          <t xml:space="preserve">所在楼层
</t>
        </r>
        <r>
          <rPr>
            <sz val="9"/>
            <rFont val="宋体"/>
            <family val="3"/>
            <charset val="134"/>
          </rPr>
          <t xml:space="preserve">
</t>
        </r>
      </text>
    </comment>
    <comment ref="D17" authorId="2" shapeId="0" xr:uid="{00000000-0006-0000-1700-00001A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1700-00001B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1700-00001C000000}">
      <text>
        <r>
          <rPr>
            <sz val="10"/>
            <rFont val="宋体"/>
            <family val="3"/>
            <charset val="134"/>
          </rPr>
          <t xml:space="preserve">需在此处填写剩余土地年限
</t>
        </r>
      </text>
    </comment>
    <comment ref="C99" authorId="0" shapeId="0" xr:uid="{00000000-0006-0000-1700-00001D000000}">
      <text>
        <r>
          <rPr>
            <b/>
            <sz val="9"/>
            <rFont val="宋体"/>
            <family val="3"/>
            <charset val="134"/>
          </rPr>
          <t xml:space="preserve">所在楼层
</t>
        </r>
        <r>
          <rPr>
            <sz val="9"/>
            <rFont val="宋体"/>
            <family val="3"/>
            <charset val="134"/>
          </rPr>
          <t xml:space="preserve">
</t>
        </r>
      </text>
    </comment>
    <comment ref="D99" authorId="0" shapeId="0" xr:uid="{00000000-0006-0000-1700-00001E000000}">
      <text>
        <r>
          <rPr>
            <b/>
            <sz val="9"/>
            <rFont val="宋体"/>
            <family val="3"/>
            <charset val="134"/>
          </rPr>
          <t xml:space="preserve">所在楼层
</t>
        </r>
        <r>
          <rPr>
            <sz val="9"/>
            <rFont val="宋体"/>
            <family val="3"/>
            <charset val="134"/>
          </rPr>
          <t xml:space="preserve">
</t>
        </r>
      </text>
    </comment>
    <comment ref="E99" authorId="0" shapeId="0" xr:uid="{00000000-0006-0000-1700-00001F000000}">
      <text>
        <r>
          <rPr>
            <b/>
            <sz val="9"/>
            <rFont val="宋体"/>
            <family val="3"/>
            <charset val="134"/>
          </rPr>
          <t xml:space="preserve">所在楼层
</t>
        </r>
        <r>
          <rPr>
            <sz val="9"/>
            <rFont val="宋体"/>
            <family val="3"/>
            <charset val="134"/>
          </rPr>
          <t xml:space="preserve">
</t>
        </r>
      </text>
    </comment>
    <comment ref="F99" authorId="0" shapeId="0" xr:uid="{00000000-0006-0000-1700-000020000000}">
      <text>
        <r>
          <rPr>
            <b/>
            <sz val="9"/>
            <rFont val="宋体"/>
            <family val="3"/>
            <charset val="134"/>
          </rPr>
          <t xml:space="preserve">所在楼层
</t>
        </r>
        <r>
          <rPr>
            <sz val="9"/>
            <rFont val="宋体"/>
            <family val="3"/>
            <charset val="134"/>
          </rPr>
          <t xml:space="preserve">
</t>
        </r>
      </text>
    </comment>
    <comment ref="G99" authorId="0" shapeId="0" xr:uid="{00000000-0006-0000-1700-000021000000}">
      <text>
        <r>
          <rPr>
            <b/>
            <sz val="9"/>
            <rFont val="宋体"/>
            <family val="3"/>
            <charset val="134"/>
          </rPr>
          <t xml:space="preserve">所在楼层
</t>
        </r>
        <r>
          <rPr>
            <sz val="9"/>
            <rFont val="宋体"/>
            <family val="3"/>
            <charset val="134"/>
          </rPr>
          <t xml:space="preserve">
</t>
        </r>
      </text>
    </comment>
    <comment ref="H99" authorId="0" shapeId="0" xr:uid="{00000000-0006-0000-1700-000022000000}">
      <text>
        <r>
          <rPr>
            <b/>
            <sz val="9"/>
            <rFont val="宋体"/>
            <family val="3"/>
            <charset val="134"/>
          </rPr>
          <t xml:space="preserve">所在楼层
</t>
        </r>
        <r>
          <rPr>
            <sz val="9"/>
            <rFont val="宋体"/>
            <family val="3"/>
            <charset val="134"/>
          </rPr>
          <t xml:space="preserve">
</t>
        </r>
      </text>
    </comment>
    <comment ref="I99" authorId="0" shapeId="0" xr:uid="{00000000-0006-0000-1700-000023000000}">
      <text>
        <r>
          <rPr>
            <b/>
            <sz val="9"/>
            <rFont val="宋体"/>
            <family val="3"/>
            <charset val="134"/>
          </rPr>
          <t xml:space="preserve">所在楼层
</t>
        </r>
        <r>
          <rPr>
            <sz val="9"/>
            <rFont val="宋体"/>
            <family val="3"/>
            <charset val="134"/>
          </rPr>
          <t xml:space="preserve">
</t>
        </r>
      </text>
    </comment>
    <comment ref="J99" authorId="0" shapeId="0" xr:uid="{00000000-0006-0000-1700-000024000000}">
      <text>
        <r>
          <rPr>
            <b/>
            <sz val="9"/>
            <rFont val="宋体"/>
            <family val="3"/>
            <charset val="134"/>
          </rPr>
          <t xml:space="preserve">所在楼层
</t>
        </r>
        <r>
          <rPr>
            <sz val="9"/>
            <rFont val="宋体"/>
            <family val="3"/>
            <charset val="134"/>
          </rPr>
          <t xml:space="preserve">
</t>
        </r>
      </text>
    </comment>
    <comment ref="K99" authorId="0" shapeId="0" xr:uid="{00000000-0006-0000-1700-000025000000}">
      <text>
        <r>
          <rPr>
            <b/>
            <sz val="9"/>
            <rFont val="宋体"/>
            <family val="3"/>
            <charset val="134"/>
          </rPr>
          <t xml:space="preserve">所在楼层
</t>
        </r>
        <r>
          <rPr>
            <sz val="9"/>
            <rFont val="宋体"/>
            <family val="3"/>
            <charset val="134"/>
          </rPr>
          <t xml:space="preserve">
</t>
        </r>
      </text>
    </comment>
    <comment ref="L99" authorId="0" shapeId="0" xr:uid="{00000000-0006-0000-1700-000026000000}">
      <text>
        <r>
          <rPr>
            <b/>
            <sz val="9"/>
            <rFont val="宋体"/>
            <family val="3"/>
            <charset val="134"/>
          </rPr>
          <t xml:space="preserve">所在楼层
</t>
        </r>
        <r>
          <rPr>
            <sz val="9"/>
            <rFont val="宋体"/>
            <family val="3"/>
            <charset val="134"/>
          </rPr>
          <t xml:space="preserve">
</t>
        </r>
      </text>
    </comment>
    <comment ref="M99" authorId="0" shapeId="0" xr:uid="{00000000-0006-0000-1700-000027000000}">
      <text>
        <r>
          <rPr>
            <b/>
            <sz val="9"/>
            <rFont val="宋体"/>
            <family val="3"/>
            <charset val="134"/>
          </rPr>
          <t xml:space="preserve">所在楼层
</t>
        </r>
        <r>
          <rPr>
            <sz val="9"/>
            <rFont val="宋体"/>
            <family val="3"/>
            <charset val="134"/>
          </rPr>
          <t xml:space="preserve">
</t>
        </r>
      </text>
    </comment>
    <comment ref="N99" authorId="0" shapeId="0" xr:uid="{00000000-0006-0000-1700-000028000000}">
      <text>
        <r>
          <rPr>
            <b/>
            <sz val="9"/>
            <rFont val="宋体"/>
            <family val="3"/>
            <charset val="134"/>
          </rPr>
          <t xml:space="preserve">所在楼层
</t>
        </r>
        <r>
          <rPr>
            <sz val="9"/>
            <rFont val="宋体"/>
            <family val="3"/>
            <charset val="134"/>
          </rPr>
          <t xml:space="preserve">
</t>
        </r>
      </text>
    </comment>
    <comment ref="C101" authorId="0" shapeId="0" xr:uid="{00000000-0006-0000-1700-000029000000}">
      <text>
        <r>
          <rPr>
            <b/>
            <sz val="9"/>
            <rFont val="宋体"/>
            <family val="3"/>
            <charset val="134"/>
          </rPr>
          <t xml:space="preserve">容积率
</t>
        </r>
      </text>
    </comment>
    <comment ref="D101" authorId="0" shapeId="0" xr:uid="{00000000-0006-0000-1700-00002A000000}">
      <text>
        <r>
          <rPr>
            <b/>
            <sz val="9"/>
            <rFont val="宋体"/>
            <family val="3"/>
            <charset val="134"/>
          </rPr>
          <t xml:space="preserve">容积率
</t>
        </r>
      </text>
    </comment>
    <comment ref="E101" authorId="0" shapeId="0" xr:uid="{00000000-0006-0000-1700-00002B000000}">
      <text>
        <r>
          <rPr>
            <b/>
            <sz val="9"/>
            <rFont val="宋体"/>
            <family val="3"/>
            <charset val="134"/>
          </rPr>
          <t xml:space="preserve">容积率
</t>
        </r>
      </text>
    </comment>
    <comment ref="F101" authorId="0" shapeId="0" xr:uid="{00000000-0006-0000-1700-00002C000000}">
      <text>
        <r>
          <rPr>
            <b/>
            <sz val="9"/>
            <rFont val="宋体"/>
            <family val="3"/>
            <charset val="134"/>
          </rPr>
          <t xml:space="preserve">容积率
</t>
        </r>
      </text>
    </comment>
    <comment ref="G101" authorId="0" shapeId="0" xr:uid="{00000000-0006-0000-1700-00002D000000}">
      <text>
        <r>
          <rPr>
            <b/>
            <sz val="9"/>
            <rFont val="宋体"/>
            <family val="3"/>
            <charset val="134"/>
          </rPr>
          <t xml:space="preserve">容积率
</t>
        </r>
      </text>
    </comment>
    <comment ref="H101" authorId="0" shapeId="0" xr:uid="{00000000-0006-0000-1700-00002E000000}">
      <text>
        <r>
          <rPr>
            <b/>
            <sz val="9"/>
            <rFont val="宋体"/>
            <family val="3"/>
            <charset val="134"/>
          </rPr>
          <t xml:space="preserve">容积率
</t>
        </r>
      </text>
    </comment>
    <comment ref="I101" authorId="0" shapeId="0" xr:uid="{00000000-0006-0000-1700-00002F000000}">
      <text>
        <r>
          <rPr>
            <b/>
            <sz val="9"/>
            <rFont val="宋体"/>
            <family val="3"/>
            <charset val="134"/>
          </rPr>
          <t xml:space="preserve">容积率
</t>
        </r>
      </text>
    </comment>
    <comment ref="J101" authorId="0" shapeId="0" xr:uid="{00000000-0006-0000-1700-000030000000}">
      <text>
        <r>
          <rPr>
            <b/>
            <sz val="9"/>
            <rFont val="宋体"/>
            <family val="3"/>
            <charset val="134"/>
          </rPr>
          <t xml:space="preserve">容积率
</t>
        </r>
      </text>
    </comment>
    <comment ref="K101" authorId="0" shapeId="0" xr:uid="{00000000-0006-0000-1700-000031000000}">
      <text>
        <r>
          <rPr>
            <b/>
            <sz val="9"/>
            <rFont val="宋体"/>
            <family val="3"/>
            <charset val="134"/>
          </rPr>
          <t xml:space="preserve">容积率
</t>
        </r>
      </text>
    </comment>
    <comment ref="L101" authorId="0" shapeId="0" xr:uid="{00000000-0006-0000-1700-000032000000}">
      <text>
        <r>
          <rPr>
            <b/>
            <sz val="9"/>
            <rFont val="宋体"/>
            <family val="3"/>
            <charset val="134"/>
          </rPr>
          <t xml:space="preserve">容积率
</t>
        </r>
      </text>
    </comment>
    <comment ref="M101" authorId="0" shapeId="0" xr:uid="{00000000-0006-0000-1700-000033000000}">
      <text>
        <r>
          <rPr>
            <b/>
            <sz val="9"/>
            <rFont val="宋体"/>
            <family val="3"/>
            <charset val="134"/>
          </rPr>
          <t xml:space="preserve">容积率
</t>
        </r>
      </text>
    </comment>
    <comment ref="N101" authorId="0" shapeId="0" xr:uid="{00000000-0006-0000-1700-000034000000}">
      <text>
        <r>
          <rPr>
            <b/>
            <sz val="9"/>
            <rFont val="宋体"/>
            <family val="3"/>
            <charset val="134"/>
          </rPr>
          <t xml:space="preserve">容积率
</t>
        </r>
      </text>
    </comment>
    <comment ref="C108" authorId="0" shapeId="0" xr:uid="{00000000-0006-0000-1700-000035000000}">
      <text>
        <r>
          <rPr>
            <b/>
            <sz val="9"/>
            <rFont val="宋体"/>
            <family val="3"/>
            <charset val="134"/>
          </rPr>
          <t xml:space="preserve">所在楼层
</t>
        </r>
        <r>
          <rPr>
            <sz val="9"/>
            <rFont val="宋体"/>
            <family val="3"/>
            <charset val="134"/>
          </rPr>
          <t xml:space="preserve">
</t>
        </r>
      </text>
    </comment>
    <comment ref="D108" authorId="0" shapeId="0" xr:uid="{00000000-0006-0000-1700-000036000000}">
      <text>
        <r>
          <rPr>
            <b/>
            <sz val="9"/>
            <rFont val="宋体"/>
            <family val="3"/>
            <charset val="134"/>
          </rPr>
          <t xml:space="preserve">所在楼层
</t>
        </r>
        <r>
          <rPr>
            <sz val="9"/>
            <rFont val="宋体"/>
            <family val="3"/>
            <charset val="134"/>
          </rPr>
          <t xml:space="preserve">
</t>
        </r>
      </text>
    </comment>
    <comment ref="E108" authorId="0" shapeId="0" xr:uid="{00000000-0006-0000-1700-000037000000}">
      <text>
        <r>
          <rPr>
            <b/>
            <sz val="9"/>
            <rFont val="宋体"/>
            <family val="3"/>
            <charset val="134"/>
          </rPr>
          <t xml:space="preserve">所在楼层
</t>
        </r>
        <r>
          <rPr>
            <sz val="9"/>
            <rFont val="宋体"/>
            <family val="3"/>
            <charset val="134"/>
          </rPr>
          <t xml:space="preserve">
</t>
        </r>
      </text>
    </comment>
    <comment ref="F108" authorId="0" shapeId="0" xr:uid="{00000000-0006-0000-1700-000038000000}">
      <text>
        <r>
          <rPr>
            <b/>
            <sz val="9"/>
            <rFont val="宋体"/>
            <family val="3"/>
            <charset val="134"/>
          </rPr>
          <t xml:space="preserve">所在楼层
</t>
        </r>
        <r>
          <rPr>
            <sz val="9"/>
            <rFont val="宋体"/>
            <family val="3"/>
            <charset val="134"/>
          </rPr>
          <t xml:space="preserve">
</t>
        </r>
      </text>
    </comment>
    <comment ref="G108" authorId="0" shapeId="0" xr:uid="{00000000-0006-0000-1700-000039000000}">
      <text>
        <r>
          <rPr>
            <b/>
            <sz val="9"/>
            <rFont val="宋体"/>
            <family val="3"/>
            <charset val="134"/>
          </rPr>
          <t xml:space="preserve">所在楼层
</t>
        </r>
        <r>
          <rPr>
            <sz val="9"/>
            <rFont val="宋体"/>
            <family val="3"/>
            <charset val="134"/>
          </rPr>
          <t xml:space="preserve">
</t>
        </r>
      </text>
    </comment>
    <comment ref="H108" authorId="0" shapeId="0" xr:uid="{00000000-0006-0000-1700-00003A000000}">
      <text>
        <r>
          <rPr>
            <b/>
            <sz val="9"/>
            <rFont val="宋体"/>
            <family val="3"/>
            <charset val="134"/>
          </rPr>
          <t xml:space="preserve">所在楼层
</t>
        </r>
        <r>
          <rPr>
            <sz val="9"/>
            <rFont val="宋体"/>
            <family val="3"/>
            <charset val="134"/>
          </rPr>
          <t xml:space="preserve">
</t>
        </r>
      </text>
    </comment>
    <comment ref="I108" authorId="0" shapeId="0" xr:uid="{00000000-0006-0000-1700-00003B000000}">
      <text>
        <r>
          <rPr>
            <b/>
            <sz val="9"/>
            <rFont val="宋体"/>
            <family val="3"/>
            <charset val="134"/>
          </rPr>
          <t xml:space="preserve">所在楼层
</t>
        </r>
        <r>
          <rPr>
            <sz val="9"/>
            <rFont val="宋体"/>
            <family val="3"/>
            <charset val="134"/>
          </rPr>
          <t xml:space="preserve">
</t>
        </r>
      </text>
    </comment>
    <comment ref="J108" authorId="0" shapeId="0" xr:uid="{00000000-0006-0000-1700-00003C000000}">
      <text>
        <r>
          <rPr>
            <b/>
            <sz val="9"/>
            <rFont val="宋体"/>
            <family val="3"/>
            <charset val="134"/>
          </rPr>
          <t xml:space="preserve">所在楼层
</t>
        </r>
        <r>
          <rPr>
            <sz val="9"/>
            <rFont val="宋体"/>
            <family val="3"/>
            <charset val="134"/>
          </rPr>
          <t xml:space="preserve">
</t>
        </r>
      </text>
    </comment>
    <comment ref="K108" authorId="0" shapeId="0" xr:uid="{00000000-0006-0000-1700-00003D000000}">
      <text>
        <r>
          <rPr>
            <b/>
            <sz val="9"/>
            <rFont val="宋体"/>
            <family val="3"/>
            <charset val="134"/>
          </rPr>
          <t xml:space="preserve">所在楼层
</t>
        </r>
        <r>
          <rPr>
            <sz val="9"/>
            <rFont val="宋体"/>
            <family val="3"/>
            <charset val="134"/>
          </rPr>
          <t xml:space="preserve">
</t>
        </r>
      </text>
    </comment>
    <comment ref="L108" authorId="0" shapeId="0" xr:uid="{00000000-0006-0000-1700-00003E000000}">
      <text>
        <r>
          <rPr>
            <b/>
            <sz val="9"/>
            <rFont val="宋体"/>
            <family val="3"/>
            <charset val="134"/>
          </rPr>
          <t xml:space="preserve">所在楼层
</t>
        </r>
        <r>
          <rPr>
            <sz val="9"/>
            <rFont val="宋体"/>
            <family val="3"/>
            <charset val="134"/>
          </rPr>
          <t xml:space="preserve">
</t>
        </r>
      </text>
    </comment>
    <comment ref="M108" authorId="0" shapeId="0" xr:uid="{00000000-0006-0000-1700-00003F000000}">
      <text>
        <r>
          <rPr>
            <b/>
            <sz val="9"/>
            <rFont val="宋体"/>
            <family val="3"/>
            <charset val="134"/>
          </rPr>
          <t xml:space="preserve">所在楼层
</t>
        </r>
        <r>
          <rPr>
            <sz val="9"/>
            <rFont val="宋体"/>
            <family val="3"/>
            <charset val="134"/>
          </rPr>
          <t xml:space="preserve">
</t>
        </r>
      </text>
    </comment>
    <comment ref="N108" authorId="0" shapeId="0" xr:uid="{00000000-0006-0000-1700-000040000000}">
      <text>
        <r>
          <rPr>
            <b/>
            <sz val="9"/>
            <rFont val="宋体"/>
            <family val="3"/>
            <charset val="134"/>
          </rPr>
          <t xml:space="preserve">所在楼层
</t>
        </r>
        <r>
          <rPr>
            <sz val="9"/>
            <rFont val="宋体"/>
            <family val="3"/>
            <charset val="134"/>
          </rPr>
          <t xml:space="preserve">
</t>
        </r>
      </text>
    </comment>
    <comment ref="D113" authorId="0" shapeId="0" xr:uid="{00000000-0006-0000-1700-00004100000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2FD21BCF-B9F8-4AB5-AD09-B52DABB738AD}">
      <text>
        <r>
          <rPr>
            <b/>
            <sz val="9"/>
            <rFont val="宋体"/>
            <family val="3"/>
            <charset val="134"/>
          </rPr>
          <t>对应区片地价表</t>
        </r>
        <r>
          <rPr>
            <sz val="9"/>
            <rFont val="宋体"/>
            <family val="3"/>
            <charset val="134"/>
          </rPr>
          <t xml:space="preserve">
</t>
        </r>
      </text>
    </comment>
    <comment ref="Y9" authorId="1" shapeId="0" xr:uid="{CC4A0D60-CDFD-4182-A4BE-01319CE1127B}">
      <text>
        <r>
          <rPr>
            <sz val="11"/>
            <rFont val="宋体"/>
            <family val="3"/>
            <charset val="134"/>
          </rPr>
          <t xml:space="preserve">录入层数，将对应的结果录入至左侧相应层的楼层修正系数单元格中
</t>
        </r>
      </text>
    </comment>
    <comment ref="Z9" authorId="0" shapeId="0" xr:uid="{0E107C41-446B-411E-8AFD-29C76332E5C2}">
      <text>
        <r>
          <rPr>
            <b/>
            <sz val="9"/>
            <rFont val="宋体"/>
            <family val="3"/>
            <charset val="134"/>
          </rPr>
          <t xml:space="preserve">所在楼层
</t>
        </r>
        <r>
          <rPr>
            <sz val="9"/>
            <rFont val="宋体"/>
            <family val="3"/>
            <charset val="134"/>
          </rPr>
          <t xml:space="preserve">
</t>
        </r>
      </text>
    </comment>
    <comment ref="AA9" authorId="0" shapeId="0" xr:uid="{40C5D87A-0016-4BEB-BC55-7A6212C902AF}">
      <text>
        <r>
          <rPr>
            <b/>
            <sz val="9"/>
            <rFont val="宋体"/>
            <family val="3"/>
            <charset val="134"/>
          </rPr>
          <t xml:space="preserve">所在楼层
</t>
        </r>
        <r>
          <rPr>
            <sz val="9"/>
            <rFont val="宋体"/>
            <family val="3"/>
            <charset val="134"/>
          </rPr>
          <t xml:space="preserve">
</t>
        </r>
      </text>
    </comment>
    <comment ref="AB9" authorId="0" shapeId="0" xr:uid="{D9A72CFE-E9D2-4692-9336-16A7998B0973}">
      <text>
        <r>
          <rPr>
            <b/>
            <sz val="9"/>
            <rFont val="宋体"/>
            <family val="3"/>
            <charset val="134"/>
          </rPr>
          <t xml:space="preserve">所在楼层
</t>
        </r>
        <r>
          <rPr>
            <sz val="9"/>
            <rFont val="宋体"/>
            <family val="3"/>
            <charset val="134"/>
          </rPr>
          <t xml:space="preserve">
</t>
        </r>
      </text>
    </comment>
    <comment ref="AC9" authorId="0" shapeId="0" xr:uid="{DE8E4454-5B5C-4730-99E8-2767B16CB044}">
      <text>
        <r>
          <rPr>
            <b/>
            <sz val="9"/>
            <rFont val="宋体"/>
            <family val="3"/>
            <charset val="134"/>
          </rPr>
          <t xml:space="preserve">所在楼层
</t>
        </r>
        <r>
          <rPr>
            <sz val="9"/>
            <rFont val="宋体"/>
            <family val="3"/>
            <charset val="134"/>
          </rPr>
          <t xml:space="preserve">
</t>
        </r>
      </text>
    </comment>
    <comment ref="AD9" authorId="0" shapeId="0" xr:uid="{41BD6683-7C84-4CFB-9665-6A7646C77F16}">
      <text>
        <r>
          <rPr>
            <b/>
            <sz val="9"/>
            <rFont val="宋体"/>
            <family val="3"/>
            <charset val="134"/>
          </rPr>
          <t xml:space="preserve">所在楼层
</t>
        </r>
        <r>
          <rPr>
            <sz val="9"/>
            <rFont val="宋体"/>
            <family val="3"/>
            <charset val="134"/>
          </rPr>
          <t xml:space="preserve">
</t>
        </r>
      </text>
    </comment>
    <comment ref="AE9" authorId="0" shapeId="0" xr:uid="{B2351B0D-1B6F-4880-A909-D9D9A15F52CE}">
      <text>
        <r>
          <rPr>
            <b/>
            <sz val="9"/>
            <rFont val="宋体"/>
            <family val="3"/>
            <charset val="134"/>
          </rPr>
          <t xml:space="preserve">所在楼层
</t>
        </r>
        <r>
          <rPr>
            <sz val="9"/>
            <rFont val="宋体"/>
            <family val="3"/>
            <charset val="134"/>
          </rPr>
          <t xml:space="preserve">
</t>
        </r>
      </text>
    </comment>
    <comment ref="AF9" authorId="0" shapeId="0" xr:uid="{99A1DB95-272A-4A33-9481-DC4EE839EFA7}">
      <text>
        <r>
          <rPr>
            <b/>
            <sz val="9"/>
            <rFont val="宋体"/>
            <family val="3"/>
            <charset val="134"/>
          </rPr>
          <t xml:space="preserve">所在楼层
</t>
        </r>
        <r>
          <rPr>
            <sz val="9"/>
            <rFont val="宋体"/>
            <family val="3"/>
            <charset val="134"/>
          </rPr>
          <t xml:space="preserve">
</t>
        </r>
      </text>
    </comment>
    <comment ref="AG9" authorId="0" shapeId="0" xr:uid="{CD15EE3A-00BC-4CED-B4DF-4D3A32CE0675}">
      <text>
        <r>
          <rPr>
            <b/>
            <sz val="9"/>
            <rFont val="宋体"/>
            <family val="3"/>
            <charset val="134"/>
          </rPr>
          <t xml:space="preserve">所在楼层
</t>
        </r>
        <r>
          <rPr>
            <sz val="9"/>
            <rFont val="宋体"/>
            <family val="3"/>
            <charset val="134"/>
          </rPr>
          <t xml:space="preserve">
</t>
        </r>
      </text>
    </comment>
    <comment ref="AH9" authorId="0" shapeId="0" xr:uid="{EFAFFC21-4E48-43FA-80BD-EF4DBB86D639}">
      <text>
        <r>
          <rPr>
            <b/>
            <sz val="9"/>
            <rFont val="宋体"/>
            <family val="3"/>
            <charset val="134"/>
          </rPr>
          <t xml:space="preserve">所在楼层
</t>
        </r>
        <r>
          <rPr>
            <sz val="9"/>
            <rFont val="宋体"/>
            <family val="3"/>
            <charset val="134"/>
          </rPr>
          <t xml:space="preserve">
</t>
        </r>
      </text>
    </comment>
    <comment ref="AI9" authorId="0" shapeId="0" xr:uid="{FD54D702-EB16-4196-AFDC-25B8EA264A73}">
      <text>
        <r>
          <rPr>
            <b/>
            <sz val="9"/>
            <rFont val="宋体"/>
            <family val="3"/>
            <charset val="134"/>
          </rPr>
          <t xml:space="preserve">所在楼层
</t>
        </r>
        <r>
          <rPr>
            <sz val="9"/>
            <rFont val="宋体"/>
            <family val="3"/>
            <charset val="134"/>
          </rPr>
          <t xml:space="preserve">
</t>
        </r>
      </text>
    </comment>
    <comment ref="AJ9" authorId="0" shapeId="0" xr:uid="{77945C38-C33D-4D52-A379-D40629389D87}">
      <text>
        <r>
          <rPr>
            <b/>
            <sz val="9"/>
            <rFont val="宋体"/>
            <family val="3"/>
            <charset val="134"/>
          </rPr>
          <t xml:space="preserve">所在楼层
</t>
        </r>
        <r>
          <rPr>
            <sz val="9"/>
            <rFont val="宋体"/>
            <family val="3"/>
            <charset val="134"/>
          </rPr>
          <t xml:space="preserve">
</t>
        </r>
      </text>
    </comment>
    <comment ref="Y12" authorId="0" shapeId="0" xr:uid="{4E38C4A2-1916-4418-B532-DADE2AA6E46D}">
      <text>
        <r>
          <rPr>
            <b/>
            <sz val="9"/>
            <rFont val="宋体"/>
            <family val="3"/>
            <charset val="134"/>
          </rPr>
          <t xml:space="preserve">所在楼层
</t>
        </r>
        <r>
          <rPr>
            <sz val="9"/>
            <rFont val="宋体"/>
            <family val="3"/>
            <charset val="134"/>
          </rPr>
          <t xml:space="preserve">
</t>
        </r>
      </text>
    </comment>
    <comment ref="Z12" authorId="0" shapeId="0" xr:uid="{1D27E50C-E321-401B-B41B-D772F4289666}">
      <text>
        <r>
          <rPr>
            <b/>
            <sz val="9"/>
            <rFont val="宋体"/>
            <family val="3"/>
            <charset val="134"/>
          </rPr>
          <t xml:space="preserve">所在楼层
</t>
        </r>
        <r>
          <rPr>
            <sz val="9"/>
            <rFont val="宋体"/>
            <family val="3"/>
            <charset val="134"/>
          </rPr>
          <t xml:space="preserve">
</t>
        </r>
      </text>
    </comment>
    <comment ref="AA12" authorId="0" shapeId="0" xr:uid="{1231670C-24B4-4DD8-9D77-485847ED4DB7}">
      <text>
        <r>
          <rPr>
            <b/>
            <sz val="9"/>
            <rFont val="宋体"/>
            <family val="3"/>
            <charset val="134"/>
          </rPr>
          <t xml:space="preserve">所在楼层
</t>
        </r>
        <r>
          <rPr>
            <sz val="9"/>
            <rFont val="宋体"/>
            <family val="3"/>
            <charset val="134"/>
          </rPr>
          <t xml:space="preserve">
</t>
        </r>
      </text>
    </comment>
    <comment ref="AB12" authorId="0" shapeId="0" xr:uid="{66118B1C-9282-406A-A045-2FA84C6E8AAF}">
      <text>
        <r>
          <rPr>
            <b/>
            <sz val="9"/>
            <rFont val="宋体"/>
            <family val="3"/>
            <charset val="134"/>
          </rPr>
          <t xml:space="preserve">所在楼层
</t>
        </r>
        <r>
          <rPr>
            <sz val="9"/>
            <rFont val="宋体"/>
            <family val="3"/>
            <charset val="134"/>
          </rPr>
          <t xml:space="preserve">
</t>
        </r>
      </text>
    </comment>
    <comment ref="AC12" authorId="0" shapeId="0" xr:uid="{877B52F5-EAB6-46C5-8AF9-C9FB8027E4E5}">
      <text>
        <r>
          <rPr>
            <b/>
            <sz val="9"/>
            <rFont val="宋体"/>
            <family val="3"/>
            <charset val="134"/>
          </rPr>
          <t xml:space="preserve">所在楼层
</t>
        </r>
        <r>
          <rPr>
            <sz val="9"/>
            <rFont val="宋体"/>
            <family val="3"/>
            <charset val="134"/>
          </rPr>
          <t xml:space="preserve">
</t>
        </r>
      </text>
    </comment>
    <comment ref="AD12" authorId="0" shapeId="0" xr:uid="{ADBEBDC8-399B-4A58-B1F9-DBC3C04E469A}">
      <text>
        <r>
          <rPr>
            <b/>
            <sz val="9"/>
            <rFont val="宋体"/>
            <family val="3"/>
            <charset val="134"/>
          </rPr>
          <t xml:space="preserve">所在楼层
</t>
        </r>
        <r>
          <rPr>
            <sz val="9"/>
            <rFont val="宋体"/>
            <family val="3"/>
            <charset val="134"/>
          </rPr>
          <t xml:space="preserve">
</t>
        </r>
      </text>
    </comment>
    <comment ref="AE12" authorId="0" shapeId="0" xr:uid="{DE54256C-A6C3-4A01-9FA6-0A2297C44995}">
      <text>
        <r>
          <rPr>
            <b/>
            <sz val="9"/>
            <rFont val="宋体"/>
            <family val="3"/>
            <charset val="134"/>
          </rPr>
          <t xml:space="preserve">所在楼层
</t>
        </r>
        <r>
          <rPr>
            <sz val="9"/>
            <rFont val="宋体"/>
            <family val="3"/>
            <charset val="134"/>
          </rPr>
          <t xml:space="preserve">
</t>
        </r>
      </text>
    </comment>
    <comment ref="AF12" authorId="0" shapeId="0" xr:uid="{FB234529-D4A9-4E19-B0A6-01B362D00396}">
      <text>
        <r>
          <rPr>
            <b/>
            <sz val="9"/>
            <rFont val="宋体"/>
            <family val="3"/>
            <charset val="134"/>
          </rPr>
          <t xml:space="preserve">所在楼层
</t>
        </r>
        <r>
          <rPr>
            <sz val="9"/>
            <rFont val="宋体"/>
            <family val="3"/>
            <charset val="134"/>
          </rPr>
          <t xml:space="preserve">
</t>
        </r>
      </text>
    </comment>
    <comment ref="AG12" authorId="0" shapeId="0" xr:uid="{096FA663-311B-4824-9BC6-295CD78E5351}">
      <text>
        <r>
          <rPr>
            <b/>
            <sz val="9"/>
            <rFont val="宋体"/>
            <family val="3"/>
            <charset val="134"/>
          </rPr>
          <t xml:space="preserve">所在楼层
</t>
        </r>
        <r>
          <rPr>
            <sz val="9"/>
            <rFont val="宋体"/>
            <family val="3"/>
            <charset val="134"/>
          </rPr>
          <t xml:space="preserve">
</t>
        </r>
      </text>
    </comment>
    <comment ref="AH12" authorId="0" shapeId="0" xr:uid="{FDDB5EC2-8489-497D-B460-E5C79C0EA4DD}">
      <text>
        <r>
          <rPr>
            <b/>
            <sz val="9"/>
            <rFont val="宋体"/>
            <family val="3"/>
            <charset val="134"/>
          </rPr>
          <t xml:space="preserve">所在楼层
</t>
        </r>
        <r>
          <rPr>
            <sz val="9"/>
            <rFont val="宋体"/>
            <family val="3"/>
            <charset val="134"/>
          </rPr>
          <t xml:space="preserve">
</t>
        </r>
      </text>
    </comment>
    <comment ref="AI12" authorId="0" shapeId="0" xr:uid="{A84CC0AA-854A-45D6-A76A-2597016B9A04}">
      <text>
        <r>
          <rPr>
            <b/>
            <sz val="9"/>
            <rFont val="宋体"/>
            <family val="3"/>
            <charset val="134"/>
          </rPr>
          <t xml:space="preserve">所在楼层
</t>
        </r>
        <r>
          <rPr>
            <sz val="9"/>
            <rFont val="宋体"/>
            <family val="3"/>
            <charset val="134"/>
          </rPr>
          <t xml:space="preserve">
</t>
        </r>
      </text>
    </comment>
    <comment ref="AJ12" authorId="0" shapeId="0" xr:uid="{06DFF5A3-A553-4804-84F9-DD189C4F7B2E}">
      <text>
        <r>
          <rPr>
            <b/>
            <sz val="9"/>
            <rFont val="宋体"/>
            <family val="3"/>
            <charset val="134"/>
          </rPr>
          <t xml:space="preserve">所在楼层
</t>
        </r>
        <r>
          <rPr>
            <sz val="9"/>
            <rFont val="宋体"/>
            <family val="3"/>
            <charset val="134"/>
          </rPr>
          <t xml:space="preserve">
</t>
        </r>
      </text>
    </comment>
    <comment ref="D17" authorId="2" shapeId="0" xr:uid="{65344891-F985-4EA3-BC31-D328473D23A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FD146B2C-A8DC-4929-87CA-81D5357109EA}">
      <text>
        <r>
          <rPr>
            <sz val="9"/>
            <rFont val="宋体"/>
            <family val="3"/>
            <charset val="134"/>
          </rPr>
          <t xml:space="preserve">地下商业：地上主用途需选商业
地下办公：地上主用途需选办公
地下仓储及车库：按地上主用途计算
</t>
        </r>
      </text>
    </comment>
    <comment ref="G41" authorId="3" shapeId="0" xr:uid="{72A49D88-EB27-4907-BFC0-8D1F9E2E1EB7}">
      <text>
        <r>
          <rPr>
            <sz val="10"/>
            <rFont val="宋体"/>
            <family val="3"/>
            <charset val="134"/>
          </rPr>
          <t xml:space="preserve">需在此处填写剩余土地年限
</t>
        </r>
      </text>
    </comment>
    <comment ref="C99" authorId="0" shapeId="0" xr:uid="{1D3D817C-3A8F-48B6-91A5-42667489A5F5}">
      <text>
        <r>
          <rPr>
            <b/>
            <sz val="9"/>
            <rFont val="宋体"/>
            <family val="3"/>
            <charset val="134"/>
          </rPr>
          <t xml:space="preserve">所在楼层
</t>
        </r>
        <r>
          <rPr>
            <sz val="9"/>
            <rFont val="宋体"/>
            <family val="3"/>
            <charset val="134"/>
          </rPr>
          <t xml:space="preserve">
</t>
        </r>
      </text>
    </comment>
    <comment ref="D99" authorId="0" shapeId="0" xr:uid="{F4365CA3-0474-4F15-BA0B-E472DF7F9468}">
      <text>
        <r>
          <rPr>
            <b/>
            <sz val="9"/>
            <rFont val="宋体"/>
            <family val="3"/>
            <charset val="134"/>
          </rPr>
          <t xml:space="preserve">所在楼层
</t>
        </r>
        <r>
          <rPr>
            <sz val="9"/>
            <rFont val="宋体"/>
            <family val="3"/>
            <charset val="134"/>
          </rPr>
          <t xml:space="preserve">
</t>
        </r>
      </text>
    </comment>
    <comment ref="E99" authorId="0" shapeId="0" xr:uid="{2A5DD3D8-9E47-42C0-A816-3681D2D4479A}">
      <text>
        <r>
          <rPr>
            <b/>
            <sz val="9"/>
            <rFont val="宋体"/>
            <family val="3"/>
            <charset val="134"/>
          </rPr>
          <t xml:space="preserve">所在楼层
</t>
        </r>
        <r>
          <rPr>
            <sz val="9"/>
            <rFont val="宋体"/>
            <family val="3"/>
            <charset val="134"/>
          </rPr>
          <t xml:space="preserve">
</t>
        </r>
      </text>
    </comment>
    <comment ref="F99" authorId="0" shapeId="0" xr:uid="{06B7B503-2A91-465C-83FB-46505CA76DD7}">
      <text>
        <r>
          <rPr>
            <b/>
            <sz val="9"/>
            <rFont val="宋体"/>
            <family val="3"/>
            <charset val="134"/>
          </rPr>
          <t xml:space="preserve">所在楼层
</t>
        </r>
        <r>
          <rPr>
            <sz val="9"/>
            <rFont val="宋体"/>
            <family val="3"/>
            <charset val="134"/>
          </rPr>
          <t xml:space="preserve">
</t>
        </r>
      </text>
    </comment>
    <comment ref="G99" authorId="0" shapeId="0" xr:uid="{6874E075-B292-413E-8D95-0CE296AA50C8}">
      <text>
        <r>
          <rPr>
            <b/>
            <sz val="9"/>
            <rFont val="宋体"/>
            <family val="3"/>
            <charset val="134"/>
          </rPr>
          <t xml:space="preserve">所在楼层
</t>
        </r>
        <r>
          <rPr>
            <sz val="9"/>
            <rFont val="宋体"/>
            <family val="3"/>
            <charset val="134"/>
          </rPr>
          <t xml:space="preserve">
</t>
        </r>
      </text>
    </comment>
    <comment ref="H99" authorId="0" shapeId="0" xr:uid="{A94F0AD0-068D-4353-97C5-8AF054CD4376}">
      <text>
        <r>
          <rPr>
            <b/>
            <sz val="9"/>
            <rFont val="宋体"/>
            <family val="3"/>
            <charset val="134"/>
          </rPr>
          <t xml:space="preserve">所在楼层
</t>
        </r>
        <r>
          <rPr>
            <sz val="9"/>
            <rFont val="宋体"/>
            <family val="3"/>
            <charset val="134"/>
          </rPr>
          <t xml:space="preserve">
</t>
        </r>
      </text>
    </comment>
    <comment ref="I99" authorId="0" shapeId="0" xr:uid="{626AE235-A1B0-41A8-AE20-B1822F5315C1}">
      <text>
        <r>
          <rPr>
            <b/>
            <sz val="9"/>
            <rFont val="宋体"/>
            <family val="3"/>
            <charset val="134"/>
          </rPr>
          <t xml:space="preserve">所在楼层
</t>
        </r>
        <r>
          <rPr>
            <sz val="9"/>
            <rFont val="宋体"/>
            <family val="3"/>
            <charset val="134"/>
          </rPr>
          <t xml:space="preserve">
</t>
        </r>
      </text>
    </comment>
    <comment ref="J99" authorId="0" shapeId="0" xr:uid="{706E626F-75C0-4B9E-A509-A45EAA32E781}">
      <text>
        <r>
          <rPr>
            <b/>
            <sz val="9"/>
            <rFont val="宋体"/>
            <family val="3"/>
            <charset val="134"/>
          </rPr>
          <t xml:space="preserve">所在楼层
</t>
        </r>
        <r>
          <rPr>
            <sz val="9"/>
            <rFont val="宋体"/>
            <family val="3"/>
            <charset val="134"/>
          </rPr>
          <t xml:space="preserve">
</t>
        </r>
      </text>
    </comment>
    <comment ref="K99" authorId="0" shapeId="0" xr:uid="{51C09628-658D-4A12-A077-828BE0D0FC07}">
      <text>
        <r>
          <rPr>
            <b/>
            <sz val="9"/>
            <rFont val="宋体"/>
            <family val="3"/>
            <charset val="134"/>
          </rPr>
          <t xml:space="preserve">所在楼层
</t>
        </r>
        <r>
          <rPr>
            <sz val="9"/>
            <rFont val="宋体"/>
            <family val="3"/>
            <charset val="134"/>
          </rPr>
          <t xml:space="preserve">
</t>
        </r>
      </text>
    </comment>
    <comment ref="L99" authorId="0" shapeId="0" xr:uid="{44F52859-5D8E-425D-AF65-B72BFC6C803D}">
      <text>
        <r>
          <rPr>
            <b/>
            <sz val="9"/>
            <rFont val="宋体"/>
            <family val="3"/>
            <charset val="134"/>
          </rPr>
          <t xml:space="preserve">所在楼层
</t>
        </r>
        <r>
          <rPr>
            <sz val="9"/>
            <rFont val="宋体"/>
            <family val="3"/>
            <charset val="134"/>
          </rPr>
          <t xml:space="preserve">
</t>
        </r>
      </text>
    </comment>
    <comment ref="M99" authorId="0" shapeId="0" xr:uid="{7F48FC28-20E8-4D32-B452-BA5F11AC48AB}">
      <text>
        <r>
          <rPr>
            <b/>
            <sz val="9"/>
            <rFont val="宋体"/>
            <family val="3"/>
            <charset val="134"/>
          </rPr>
          <t xml:space="preserve">所在楼层
</t>
        </r>
        <r>
          <rPr>
            <sz val="9"/>
            <rFont val="宋体"/>
            <family val="3"/>
            <charset val="134"/>
          </rPr>
          <t xml:space="preserve">
</t>
        </r>
      </text>
    </comment>
    <comment ref="N99" authorId="0" shapeId="0" xr:uid="{D06F07FB-2342-4EE3-8881-4578F8BA9AE1}">
      <text>
        <r>
          <rPr>
            <b/>
            <sz val="9"/>
            <rFont val="宋体"/>
            <family val="3"/>
            <charset val="134"/>
          </rPr>
          <t xml:space="preserve">所在楼层
</t>
        </r>
        <r>
          <rPr>
            <sz val="9"/>
            <rFont val="宋体"/>
            <family val="3"/>
            <charset val="134"/>
          </rPr>
          <t xml:space="preserve">
</t>
        </r>
      </text>
    </comment>
    <comment ref="C101" authorId="0" shapeId="0" xr:uid="{4BB5BCCD-621C-40B4-AA9A-2FEBA86F4C3D}">
      <text>
        <r>
          <rPr>
            <b/>
            <sz val="9"/>
            <rFont val="宋体"/>
            <family val="3"/>
            <charset val="134"/>
          </rPr>
          <t xml:space="preserve">容积率
</t>
        </r>
      </text>
    </comment>
    <comment ref="D101" authorId="0" shapeId="0" xr:uid="{2A5400B4-A5AB-4733-BA48-137B02695249}">
      <text>
        <r>
          <rPr>
            <b/>
            <sz val="9"/>
            <rFont val="宋体"/>
            <family val="3"/>
            <charset val="134"/>
          </rPr>
          <t xml:space="preserve">容积率
</t>
        </r>
      </text>
    </comment>
    <comment ref="E101" authorId="0" shapeId="0" xr:uid="{11C648EB-A13D-462D-A027-F4DDA5160CB1}">
      <text>
        <r>
          <rPr>
            <b/>
            <sz val="9"/>
            <rFont val="宋体"/>
            <family val="3"/>
            <charset val="134"/>
          </rPr>
          <t xml:space="preserve">容积率
</t>
        </r>
      </text>
    </comment>
    <comment ref="F101" authorId="0" shapeId="0" xr:uid="{28A4997B-A7E6-42CC-A5EB-D25D7EB65566}">
      <text>
        <r>
          <rPr>
            <b/>
            <sz val="9"/>
            <rFont val="宋体"/>
            <family val="3"/>
            <charset val="134"/>
          </rPr>
          <t xml:space="preserve">容积率
</t>
        </r>
      </text>
    </comment>
    <comment ref="G101" authorId="0" shapeId="0" xr:uid="{C0ECE141-5F93-4F48-B8C4-BBF5264442F0}">
      <text>
        <r>
          <rPr>
            <b/>
            <sz val="9"/>
            <rFont val="宋体"/>
            <family val="3"/>
            <charset val="134"/>
          </rPr>
          <t xml:space="preserve">容积率
</t>
        </r>
      </text>
    </comment>
    <comment ref="H101" authorId="0" shapeId="0" xr:uid="{6FE146F2-7F33-4800-97D8-37094A1EDEF0}">
      <text>
        <r>
          <rPr>
            <b/>
            <sz val="9"/>
            <rFont val="宋体"/>
            <family val="3"/>
            <charset val="134"/>
          </rPr>
          <t xml:space="preserve">容积率
</t>
        </r>
      </text>
    </comment>
    <comment ref="I101" authorId="0" shapeId="0" xr:uid="{FFEB8544-B84A-44D7-8CF0-C0467452B231}">
      <text>
        <r>
          <rPr>
            <b/>
            <sz val="9"/>
            <rFont val="宋体"/>
            <family val="3"/>
            <charset val="134"/>
          </rPr>
          <t xml:space="preserve">容积率
</t>
        </r>
      </text>
    </comment>
    <comment ref="J101" authorId="0" shapeId="0" xr:uid="{C9C72D50-3CC6-46C9-B6E1-0D4EB26C85C5}">
      <text>
        <r>
          <rPr>
            <b/>
            <sz val="9"/>
            <rFont val="宋体"/>
            <family val="3"/>
            <charset val="134"/>
          </rPr>
          <t xml:space="preserve">容积率
</t>
        </r>
      </text>
    </comment>
    <comment ref="K101" authorId="0" shapeId="0" xr:uid="{65DC04AD-B3A5-4EBE-82A5-4B5A426B0D51}">
      <text>
        <r>
          <rPr>
            <b/>
            <sz val="9"/>
            <rFont val="宋体"/>
            <family val="3"/>
            <charset val="134"/>
          </rPr>
          <t xml:space="preserve">容积率
</t>
        </r>
      </text>
    </comment>
    <comment ref="L101" authorId="0" shapeId="0" xr:uid="{A74CD840-7F2D-4066-9B78-C3ED441E972B}">
      <text>
        <r>
          <rPr>
            <b/>
            <sz val="9"/>
            <rFont val="宋体"/>
            <family val="3"/>
            <charset val="134"/>
          </rPr>
          <t xml:space="preserve">容积率
</t>
        </r>
      </text>
    </comment>
    <comment ref="M101" authorId="0" shapeId="0" xr:uid="{1CF58A4F-EB09-4B9B-A68B-DF25DCBF4BB3}">
      <text>
        <r>
          <rPr>
            <b/>
            <sz val="9"/>
            <rFont val="宋体"/>
            <family val="3"/>
            <charset val="134"/>
          </rPr>
          <t xml:space="preserve">容积率
</t>
        </r>
      </text>
    </comment>
    <comment ref="N101" authorId="0" shapeId="0" xr:uid="{909FBBF0-1D12-4C63-950D-ABB92CD17FBD}">
      <text>
        <r>
          <rPr>
            <b/>
            <sz val="9"/>
            <rFont val="宋体"/>
            <family val="3"/>
            <charset val="134"/>
          </rPr>
          <t xml:space="preserve">容积率
</t>
        </r>
      </text>
    </comment>
    <comment ref="C108" authorId="0" shapeId="0" xr:uid="{899CF220-61EA-40B7-BB50-0005E330EBA1}">
      <text>
        <r>
          <rPr>
            <b/>
            <sz val="9"/>
            <rFont val="宋体"/>
            <family val="3"/>
            <charset val="134"/>
          </rPr>
          <t xml:space="preserve">所在楼层
</t>
        </r>
        <r>
          <rPr>
            <sz val="9"/>
            <rFont val="宋体"/>
            <family val="3"/>
            <charset val="134"/>
          </rPr>
          <t xml:space="preserve">
</t>
        </r>
      </text>
    </comment>
    <comment ref="D108" authorId="0" shapeId="0" xr:uid="{CB350597-3276-4DA6-94F8-A0999907010E}">
      <text>
        <r>
          <rPr>
            <b/>
            <sz val="9"/>
            <rFont val="宋体"/>
            <family val="3"/>
            <charset val="134"/>
          </rPr>
          <t xml:space="preserve">所在楼层
</t>
        </r>
        <r>
          <rPr>
            <sz val="9"/>
            <rFont val="宋体"/>
            <family val="3"/>
            <charset val="134"/>
          </rPr>
          <t xml:space="preserve">
</t>
        </r>
      </text>
    </comment>
    <comment ref="E108" authorId="0" shapeId="0" xr:uid="{204624AB-1ABE-4AA0-9F99-A4F12DE7FAAE}">
      <text>
        <r>
          <rPr>
            <b/>
            <sz val="9"/>
            <rFont val="宋体"/>
            <family val="3"/>
            <charset val="134"/>
          </rPr>
          <t xml:space="preserve">所在楼层
</t>
        </r>
        <r>
          <rPr>
            <sz val="9"/>
            <rFont val="宋体"/>
            <family val="3"/>
            <charset val="134"/>
          </rPr>
          <t xml:space="preserve">
</t>
        </r>
      </text>
    </comment>
    <comment ref="F108" authorId="0" shapeId="0" xr:uid="{36969EBF-F5D1-4F23-B294-75E1634971F2}">
      <text>
        <r>
          <rPr>
            <b/>
            <sz val="9"/>
            <rFont val="宋体"/>
            <family val="3"/>
            <charset val="134"/>
          </rPr>
          <t xml:space="preserve">所在楼层
</t>
        </r>
        <r>
          <rPr>
            <sz val="9"/>
            <rFont val="宋体"/>
            <family val="3"/>
            <charset val="134"/>
          </rPr>
          <t xml:space="preserve">
</t>
        </r>
      </text>
    </comment>
    <comment ref="G108" authorId="0" shapeId="0" xr:uid="{7C125652-9582-4762-B27E-A3FE6D879B03}">
      <text>
        <r>
          <rPr>
            <b/>
            <sz val="9"/>
            <rFont val="宋体"/>
            <family val="3"/>
            <charset val="134"/>
          </rPr>
          <t xml:space="preserve">所在楼层
</t>
        </r>
        <r>
          <rPr>
            <sz val="9"/>
            <rFont val="宋体"/>
            <family val="3"/>
            <charset val="134"/>
          </rPr>
          <t xml:space="preserve">
</t>
        </r>
      </text>
    </comment>
    <comment ref="H108" authorId="0" shapeId="0" xr:uid="{258AE03F-39B5-47E1-89CE-F80B9C3A1F8D}">
      <text>
        <r>
          <rPr>
            <b/>
            <sz val="9"/>
            <rFont val="宋体"/>
            <family val="3"/>
            <charset val="134"/>
          </rPr>
          <t xml:space="preserve">所在楼层
</t>
        </r>
        <r>
          <rPr>
            <sz val="9"/>
            <rFont val="宋体"/>
            <family val="3"/>
            <charset val="134"/>
          </rPr>
          <t xml:space="preserve">
</t>
        </r>
      </text>
    </comment>
    <comment ref="I108" authorId="0" shapeId="0" xr:uid="{75D642B5-4C13-4D79-B3BE-E801320A9ABA}">
      <text>
        <r>
          <rPr>
            <b/>
            <sz val="9"/>
            <rFont val="宋体"/>
            <family val="3"/>
            <charset val="134"/>
          </rPr>
          <t xml:space="preserve">所在楼层
</t>
        </r>
        <r>
          <rPr>
            <sz val="9"/>
            <rFont val="宋体"/>
            <family val="3"/>
            <charset val="134"/>
          </rPr>
          <t xml:space="preserve">
</t>
        </r>
      </text>
    </comment>
    <comment ref="J108" authorId="0" shapeId="0" xr:uid="{F06CFE16-77A9-4438-B6E5-FC8A37BF6024}">
      <text>
        <r>
          <rPr>
            <b/>
            <sz val="9"/>
            <rFont val="宋体"/>
            <family val="3"/>
            <charset val="134"/>
          </rPr>
          <t xml:space="preserve">所在楼层
</t>
        </r>
        <r>
          <rPr>
            <sz val="9"/>
            <rFont val="宋体"/>
            <family val="3"/>
            <charset val="134"/>
          </rPr>
          <t xml:space="preserve">
</t>
        </r>
      </text>
    </comment>
    <comment ref="K108" authorId="0" shapeId="0" xr:uid="{A68EB099-3DCC-4CA5-B207-4C3A4A842F29}">
      <text>
        <r>
          <rPr>
            <b/>
            <sz val="9"/>
            <rFont val="宋体"/>
            <family val="3"/>
            <charset val="134"/>
          </rPr>
          <t xml:space="preserve">所在楼层
</t>
        </r>
        <r>
          <rPr>
            <sz val="9"/>
            <rFont val="宋体"/>
            <family val="3"/>
            <charset val="134"/>
          </rPr>
          <t xml:space="preserve">
</t>
        </r>
      </text>
    </comment>
    <comment ref="L108" authorId="0" shapeId="0" xr:uid="{0555F5D8-B28D-4CC5-A143-E9999685CDF5}">
      <text>
        <r>
          <rPr>
            <b/>
            <sz val="9"/>
            <rFont val="宋体"/>
            <family val="3"/>
            <charset val="134"/>
          </rPr>
          <t xml:space="preserve">所在楼层
</t>
        </r>
        <r>
          <rPr>
            <sz val="9"/>
            <rFont val="宋体"/>
            <family val="3"/>
            <charset val="134"/>
          </rPr>
          <t xml:space="preserve">
</t>
        </r>
      </text>
    </comment>
    <comment ref="M108" authorId="0" shapeId="0" xr:uid="{7980DC05-042B-401D-80FA-67B62416D5EB}">
      <text>
        <r>
          <rPr>
            <b/>
            <sz val="9"/>
            <rFont val="宋体"/>
            <family val="3"/>
            <charset val="134"/>
          </rPr>
          <t xml:space="preserve">所在楼层
</t>
        </r>
        <r>
          <rPr>
            <sz val="9"/>
            <rFont val="宋体"/>
            <family val="3"/>
            <charset val="134"/>
          </rPr>
          <t xml:space="preserve">
</t>
        </r>
      </text>
    </comment>
    <comment ref="N108" authorId="0" shapeId="0" xr:uid="{D9E9AA32-E5BF-46E2-8EC4-864B274601D8}">
      <text>
        <r>
          <rPr>
            <b/>
            <sz val="9"/>
            <rFont val="宋体"/>
            <family val="3"/>
            <charset val="134"/>
          </rPr>
          <t xml:space="preserve">所在楼层
</t>
        </r>
        <r>
          <rPr>
            <sz val="9"/>
            <rFont val="宋体"/>
            <family val="3"/>
            <charset val="134"/>
          </rPr>
          <t xml:space="preserve">
</t>
        </r>
      </text>
    </comment>
    <comment ref="D113" authorId="0" shapeId="0" xr:uid="{F5848350-3F3F-4208-97CE-B9D5CC9E645B}">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rFont val="宋体"/>
            <family val="3"/>
            <charset val="134"/>
          </rPr>
          <t>开发期≤1年，单利计息；＞1年，复利计息</t>
        </r>
        <r>
          <rPr>
            <sz val="9"/>
            <rFont val="宋体"/>
            <family val="3"/>
            <charset val="134"/>
          </rPr>
          <t xml:space="preserve">
</t>
        </r>
      </text>
    </comment>
    <comment ref="I53" authorId="0" shapeId="0" xr:uid="{00000000-0006-0000-1E00-000002000000}">
      <text>
        <r>
          <rPr>
            <sz val="11"/>
            <rFont val="宋体"/>
            <family val="3"/>
            <charset val="134"/>
          </rPr>
          <t>依据一般经验，应比建筑物资本化率高0.5%</t>
        </r>
        <r>
          <rPr>
            <sz val="9"/>
            <rFont val="宋体"/>
            <family val="3"/>
            <charset val="134"/>
          </rPr>
          <t xml:space="preserve">
</t>
        </r>
      </text>
    </comment>
    <comment ref="L53" authorId="0" shapeId="0" xr:uid="{00000000-0006-0000-1E00-000003000000}">
      <text>
        <r>
          <rPr>
            <sz val="1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rFont val="宋体"/>
            <family val="3"/>
            <charset val="134"/>
          </rPr>
          <t>采用租约时，尽量不选用收益还原法</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F00-000002000000}">
      <text>
        <r>
          <rPr>
            <sz val="1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F00-00000400000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rFont val="宋体"/>
            <family val="3"/>
            <charset val="134"/>
          </rPr>
          <t>权重验证</t>
        </r>
        <r>
          <rPr>
            <sz val="9"/>
            <rFont val="宋体"/>
            <family val="3"/>
            <charset val="134"/>
          </rPr>
          <t xml:space="preserve">
</t>
        </r>
      </text>
    </comment>
    <comment ref="C58" authorId="1" shapeId="0" xr:uid="{00000000-0006-0000-2200-000002000000}">
      <text>
        <r>
          <rPr>
            <b/>
            <sz val="12"/>
            <rFont val="宋体"/>
            <family val="3"/>
            <charset val="134"/>
          </rPr>
          <t>价值时点所在月度</t>
        </r>
        <r>
          <rPr>
            <sz val="12"/>
            <rFont val="宋体"/>
            <family val="3"/>
            <charset val="134"/>
          </rPr>
          <t xml:space="preserve">
</t>
        </r>
      </text>
    </comment>
    <comment ref="B102"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rFont val="宋体"/>
            <family val="3"/>
            <charset val="134"/>
          </rPr>
          <t>权重验证</t>
        </r>
        <r>
          <rPr>
            <sz val="9"/>
            <rFont val="宋体"/>
            <family val="3"/>
            <charset val="134"/>
          </rPr>
          <t xml:space="preserve">
</t>
        </r>
      </text>
    </comment>
    <comment ref="C59" authorId="1" shapeId="0" xr:uid="{00000000-0006-0000-2300-000002000000}">
      <text>
        <r>
          <rPr>
            <b/>
            <sz val="12"/>
            <rFont val="宋体"/>
            <family val="3"/>
            <charset val="134"/>
          </rPr>
          <t>价值时点所在月度</t>
        </r>
        <r>
          <rPr>
            <sz val="12"/>
            <rFont val="宋体"/>
            <family val="3"/>
            <charset val="134"/>
          </rPr>
          <t xml:space="preserve">
</t>
        </r>
      </text>
    </comment>
    <comment ref="B103" authorId="1" shapeId="0" xr:uid="{00000000-0006-0000-2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52" authorId="1" shapeId="0" xr:uid="{00000000-0006-0000-2400-000002000000}">
      <text>
        <r>
          <rPr>
            <b/>
            <sz val="12"/>
            <rFont val="宋体"/>
            <family val="3"/>
            <charset val="134"/>
          </rPr>
          <t>价值时点所在月度</t>
        </r>
        <r>
          <rPr>
            <sz val="12"/>
            <rFont val="宋体"/>
            <family val="3"/>
            <charset val="134"/>
          </rPr>
          <t xml:space="preserve">
</t>
        </r>
      </text>
    </comment>
    <comment ref="B90" authorId="1" shapeId="0" xr:uid="{00000000-0006-0000-2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rFont val="宋体"/>
            <family val="3"/>
            <charset val="134"/>
          </rPr>
          <t>主用途</t>
        </r>
        <r>
          <rPr>
            <sz val="12"/>
            <rFont val="宋体"/>
            <family val="3"/>
            <charset val="134"/>
          </rPr>
          <t xml:space="preserve">
</t>
        </r>
      </text>
    </comment>
    <comment ref="K38" authorId="1" shapeId="0" xr:uid="{00000000-0006-0000-2500-000002000000}">
      <text>
        <r>
          <rPr>
            <b/>
            <sz val="9"/>
            <rFont val="宋体"/>
            <family val="3"/>
            <charset val="134"/>
          </rPr>
          <t>权重验证</t>
        </r>
        <r>
          <rPr>
            <sz val="9"/>
            <rFont val="宋体"/>
            <family val="3"/>
            <charset val="134"/>
          </rPr>
          <t xml:space="preserve">
</t>
        </r>
      </text>
    </comment>
    <comment ref="C48" authorId="0" shapeId="0" xr:uid="{00000000-0006-0000-2500-000003000000}">
      <text>
        <r>
          <rPr>
            <b/>
            <sz val="12"/>
            <rFont val="宋体"/>
            <family val="3"/>
            <charset val="134"/>
          </rPr>
          <t>价值时点所在月度</t>
        </r>
        <r>
          <rPr>
            <sz val="12"/>
            <rFont val="宋体"/>
            <family val="3"/>
            <charset val="134"/>
          </rPr>
          <t xml:space="preserve">
</t>
        </r>
      </text>
    </comment>
    <comment ref="B88" authorId="0" shapeId="0" xr:uid="{00000000-0006-0000-2500-000004000000}">
      <text>
        <r>
          <rPr>
            <b/>
            <sz val="12"/>
            <rFont val="宋体"/>
            <family val="3"/>
            <charset val="134"/>
          </rPr>
          <t>所属项目品质或
物业管理</t>
        </r>
      </text>
    </comment>
    <comment ref="B90" authorId="0" shapeId="0" xr:uid="{00000000-0006-0000-25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600-000002000000}">
      <text>
        <r>
          <rPr>
            <b/>
            <sz val="9"/>
            <rFont val="宋体"/>
            <family val="3"/>
            <charset val="134"/>
          </rPr>
          <t>权重验证</t>
        </r>
        <r>
          <rPr>
            <sz val="9"/>
            <rFont val="宋体"/>
            <family val="3"/>
            <charset val="134"/>
          </rPr>
          <t xml:space="preserve">
</t>
        </r>
      </text>
    </comment>
    <comment ref="C46" authorId="0" shapeId="0" xr:uid="{00000000-0006-0000-2600-000003000000}">
      <text>
        <r>
          <rPr>
            <b/>
            <sz val="12"/>
            <rFont val="宋体"/>
            <family val="3"/>
            <charset val="134"/>
          </rPr>
          <t>价值时点所在月度</t>
        </r>
        <r>
          <rPr>
            <sz val="12"/>
            <rFont val="宋体"/>
            <family val="3"/>
            <charset val="134"/>
          </rPr>
          <t xml:space="preserve">
</t>
        </r>
      </text>
    </comment>
    <comment ref="B82" authorId="0" shapeId="0" xr:uid="{00000000-0006-0000-2600-000004000000}">
      <text>
        <r>
          <rPr>
            <b/>
            <sz val="12"/>
            <rFont val="宋体"/>
            <family val="3"/>
            <charset val="134"/>
          </rPr>
          <t>所属项目品质或
物业管理</t>
        </r>
      </text>
    </comment>
    <comment ref="B86" authorId="0" shapeId="0" xr:uid="{00000000-0006-0000-2600-000005000000}">
      <text>
        <r>
          <rPr>
            <b/>
            <sz val="12"/>
            <rFont val="宋体"/>
            <family val="3"/>
            <charset val="134"/>
          </rPr>
          <t>所属项目品质</t>
        </r>
      </text>
    </comment>
    <comment ref="B89" authorId="0" shapeId="0" xr:uid="{00000000-0006-0000-26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<sst xmlns="http://schemas.openxmlformats.org/spreadsheetml/2006/main" count="8007" uniqueCount="2840">
  <si>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</si>
  <si>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</si>
  <si>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</si>
  <si>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</si>
  <si>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</si>
  <si>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</si>
  <si>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</si>
  <si>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</si>
  <si>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</si>
  <si>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</si>
  <si>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</si>
  <si>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</si>
  <si>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</si>
  <si>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</si>
  <si>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</si>
  <si>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</si>
  <si>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</si>
  <si>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</si>
  <si>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</si>
  <si>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</si>
  <si>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</si>
  <si>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</si>
  <si>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</si>
  <si>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</si>
  <si>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</si>
  <si>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</si>
  <si>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</si>
  <si>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</si>
  <si>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</si>
  <si>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</si>
  <si>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</si>
  <si>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</si>
  <si>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</si>
  <si>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</si>
  <si>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</si>
  <si>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</si>
  <si>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</si>
  <si>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</si>
  <si>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</si>
  <si>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</si>
  <si>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</si>
  <si>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</si>
  <si>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</si>
  <si>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</si>
  <si>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</si>
  <si>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</si>
  <si>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</si>
  <si>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</si>
  <si>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</si>
  <si>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</si>
  <si>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</si>
  <si>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</si>
  <si>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</si>
  <si>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</si>
  <si>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</si>
  <si>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</si>
  <si>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</si>
  <si>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</si>
  <si>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</si>
  <si>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</si>
  <si>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</si>
  <si>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</si>
  <si>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</si>
  <si>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</si>
  <si>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</si>
  <si>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</si>
  <si>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</si>
  <si>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</si>
  <si>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</si>
  <si>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</si>
  <si>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</si>
  <si>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</si>
  <si>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</si>
  <si>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</si>
  <si>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</si>
  <si>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</si>
  <si>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</si>
  <si>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</si>
  <si>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</si>
  <si>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</si>
  <si>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</si>
  <si>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</si>
  <si>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</si>
  <si>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</si>
  <si>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</si>
  <si>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</si>
  <si>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</si>
  <si>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</si>
  <si>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</si>
  <si>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</si>
  <si>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</si>
  <si>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</si>
  <si>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</si>
  <si>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</si>
  <si>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</si>
  <si>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</si>
  <si>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</si>
  <si>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</si>
  <si>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</si>
  <si>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</si>
  <si>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</si>
  <si>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</si>
  <si>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</si>
  <si>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</si>
  <si>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</si>
  <si>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</si>
  <si>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</si>
  <si>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</si>
  <si>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</si>
  <si>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</si>
  <si>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</si>
  <si>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</si>
  <si>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</si>
  <si>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</si>
  <si>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</si>
  <si>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</si>
  <si>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</si>
  <si>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</si>
  <si>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</si>
  <si>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</si>
  <si>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</si>
  <si>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</si>
  <si>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</si>
  <si>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</si>
  <si>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</si>
  <si>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</si>
  <si>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</si>
  <si>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</si>
  <si>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</si>
  <si>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</si>
  <si>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</si>
  <si>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</si>
  <si>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</si>
  <si>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</si>
  <si>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</si>
  <si>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</si>
  <si>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</si>
  <si>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</si>
  <si>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</si>
  <si>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</si>
  <si>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</si>
  <si>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</si>
  <si>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</si>
  <si>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</si>
  <si>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</si>
  <si>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</si>
  <si>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</si>
  <si>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</si>
  <si>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</si>
  <si>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</si>
  <si>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</si>
  <si>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</si>
  <si>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</si>
  <si>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</si>
  <si>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</si>
  <si>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</si>
  <si>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</si>
  <si>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</si>
  <si>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</si>
  <si>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</si>
  <si>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</si>
  <si>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</si>
  <si>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</si>
  <si>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</si>
  <si>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</si>
  <si>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</si>
  <si>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</si>
  <si>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</si>
  <si>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</si>
  <si>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</si>
  <si>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</si>
  <si>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</si>
  <si>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</si>
  <si>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</si>
  <si>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</si>
  <si>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</si>
  <si>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</si>
  <si>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</si>
  <si>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</si>
  <si>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</si>
  <si>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</si>
  <si>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</si>
  <si>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</si>
  <si>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</si>
  <si>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</si>
  <si>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</si>
  <si>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</si>
  <si>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</si>
  <si>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</si>
  <si>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</si>
  <si>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</si>
  <si>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</si>
  <si>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</si>
  <si>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</si>
  <si>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</si>
  <si>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</si>
  <si>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</si>
  <si>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</si>
  <si>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</si>
  <si>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</si>
  <si>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</si>
  <si>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</si>
  <si>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</si>
  <si>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</si>
  <si>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</si>
  <si>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</si>
  <si>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</si>
  <si>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</si>
  <si>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</si>
  <si>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</si>
  <si>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</si>
  <si>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</si>
  <si>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</si>
  <si>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</si>
  <si>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</si>
  <si>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</si>
  <si>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</si>
  <si>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</si>
  <si>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</si>
  <si>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</si>
  <si>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</si>
  <si>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</si>
  <si>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</si>
  <si>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</si>
  <si>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</si>
  <si>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</si>
  <si>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</si>
  <si>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</si>
  <si>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</si>
  <si>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</si>
  <si>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</si>
  <si>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</si>
  <si>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</si>
  <si>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</si>
  <si>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</si>
  <si>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</si>
  <si>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</si>
  <si>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</si>
  <si>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</si>
  <si>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</si>
  <si>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</si>
  <si>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</si>
  <si>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</si>
  <si>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</si>
  <si>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</si>
  <si>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</si>
  <si>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</si>
  <si>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</si>
  <si>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</si>
  <si>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</si>
  <si>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</si>
  <si>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</si>
  <si>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</si>
  <si>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</si>
  <si>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</si>
  <si>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</si>
  <si>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</si>
  <si>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</si>
  <si>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</si>
  <si>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</si>
  <si>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</si>
  <si>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</si>
  <si>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</si>
  <si>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</si>
  <si>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</si>
  <si>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</si>
  <si>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</si>
  <si>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</si>
  <si>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</si>
  <si>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</si>
  <si>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</si>
  <si>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</si>
  <si>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</si>
  <si>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</si>
  <si>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</si>
  <si>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</si>
  <si>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</si>
  <si>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</si>
  <si>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</si>
  <si>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</si>
  <si>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</si>
  <si>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</si>
  <si>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</si>
  <si>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</si>
  <si>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</si>
  <si>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</si>
  <si>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</si>
  <si>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</si>
  <si>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</si>
  <si>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</si>
  <si>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</si>
  <si>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</si>
  <si>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</si>
  <si>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</si>
  <si>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</si>
  <si>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</si>
  <si>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</si>
  <si>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</si>
  <si>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</si>
  <si>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</si>
  <si>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</si>
  <si>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</si>
  <si>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</si>
  <si>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</si>
  <si>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</si>
  <si>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</si>
  <si>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</si>
  <si>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</si>
  <si>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</si>
  <si>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</si>
  <si>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</si>
  <si>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</si>
  <si>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</si>
  <si>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</si>
  <si>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</si>
  <si>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</si>
  <si>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</si>
  <si>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</si>
  <si>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</si>
  <si>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</si>
  <si>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</si>
  <si>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</si>
  <si>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</si>
  <si>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</si>
  <si>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</si>
  <si>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</si>
  <si>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</si>
  <si>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</si>
  <si>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t>*</t>
  </si>
  <si>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</si>
  <si>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</si>
  <si>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</si>
  <si>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</si>
  <si>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</si>
  <si>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</si>
  <si>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</si>
  <si>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</si>
  <si>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</si>
  <si>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</si>
  <si>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</si>
  <si>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</si>
  <si>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</si>
  <si>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</si>
  <si>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</si>
  <si>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</si>
  <si>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</si>
  <si>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</si>
  <si>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</si>
  <si>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</si>
  <si>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</si>
  <si>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</si>
  <si>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</si>
  <si>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</si>
  <si>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</si>
  <si>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</si>
  <si>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</si>
  <si>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</si>
  <si>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</si>
  <si>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</si>
  <si>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</si>
  <si>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</si>
  <si>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</si>
  <si>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</si>
  <si>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</si>
  <si>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</si>
  <si>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</si>
  <si>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</si>
  <si>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</si>
  <si>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</si>
  <si>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</si>
  <si>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</si>
  <si>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</si>
  <si>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</si>
  <si>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</si>
  <si>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</si>
  <si>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</si>
  <si>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</si>
  <si>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</si>
  <si>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</si>
  <si>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</si>
  <si>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</si>
  <si>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</si>
  <si>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</si>
  <si>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</si>
  <si>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</si>
  <si>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</si>
  <si>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</si>
  <si>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</si>
  <si>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</si>
  <si>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</si>
  <si>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</si>
  <si>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</si>
  <si>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</si>
  <si>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</si>
  <si>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</si>
  <si>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</si>
  <si>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</si>
  <si>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</si>
  <si>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</si>
  <si>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</si>
  <si>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</si>
  <si>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</si>
  <si>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</si>
  <si>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</si>
  <si>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</si>
  <si>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</si>
  <si>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</si>
  <si>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</si>
  <si>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</si>
  <si>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</si>
  <si>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</si>
  <si>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</si>
  <si>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</si>
  <si>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</si>
  <si>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</si>
  <si>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</si>
  <si>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Ⅶ-01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</si>
  <si>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</si>
  <si>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</si>
  <si>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</si>
  <si>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</si>
  <si>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</si>
  <si>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</si>
  <si>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</si>
  <si>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</si>
  <si>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</si>
  <si>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</si>
  <si>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</si>
  <si>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</si>
  <si>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</si>
  <si>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</si>
  <si>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</si>
  <si>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</si>
  <si>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</si>
  <si>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</si>
  <si>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</si>
  <si>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</si>
  <si>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</si>
  <si>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</si>
  <si>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</si>
  <si>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</si>
  <si>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</si>
  <si>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</si>
  <si>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</si>
  <si>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</si>
  <si>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</si>
  <si>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</si>
  <si>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</si>
  <si>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</si>
  <si>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</si>
  <si>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</si>
  <si>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</si>
  <si>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</si>
  <si>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</si>
  <si>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</si>
  <si>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</si>
  <si>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</si>
  <si>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</si>
  <si>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</si>
  <si>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</si>
  <si>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</si>
  <si>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</si>
  <si>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</si>
  <si>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</si>
  <si>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</si>
  <si>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</si>
  <si>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</si>
  <si>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</si>
  <si>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</si>
  <si>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</si>
  <si>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</si>
  <si>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</si>
  <si>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</si>
  <si>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</si>
  <si>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</si>
  <si>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</si>
  <si>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</si>
  <si>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</si>
  <si>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</si>
  <si>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</si>
  <si>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</si>
  <si>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</si>
  <si>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</si>
  <si>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</si>
  <si>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</si>
  <si>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</si>
  <si>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</si>
  <si>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</si>
  <si>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</si>
  <si>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</si>
  <si>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</si>
  <si>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</si>
  <si>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</si>
  <si>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</si>
  <si>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</si>
  <si>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</si>
  <si>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</si>
  <si>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</si>
  <si>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</si>
  <si>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</si>
  <si>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</si>
  <si>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</si>
  <si>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</si>
  <si>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</si>
  <si>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</si>
  <si>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</si>
  <si>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</si>
  <si>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</si>
  <si>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</si>
  <si>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</si>
  <si>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</si>
  <si>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</si>
  <si>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</si>
  <si>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</si>
  <si>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</si>
  <si>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</si>
  <si>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</si>
  <si>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</si>
  <si>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</si>
  <si>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</si>
  <si>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</si>
  <si>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</si>
  <si>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</si>
  <si>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</si>
  <si>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</si>
  <si>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</si>
  <si>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</si>
  <si>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</si>
  <si>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</si>
  <si>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</si>
  <si>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</si>
  <si>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</si>
  <si>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</si>
  <si>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</si>
  <si>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</si>
  <si>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</si>
  <si>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</si>
  <si>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</si>
  <si>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</si>
  <si>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</si>
  <si>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</si>
  <si>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</si>
  <si>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</si>
  <si>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</si>
  <si>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</si>
  <si>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</si>
  <si>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</si>
  <si>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</si>
  <si>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</si>
  <si>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</si>
  <si>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</si>
  <si>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</si>
  <si>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</si>
  <si>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</si>
  <si>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</si>
  <si>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</si>
  <si>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</si>
  <si>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</si>
  <si>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</si>
  <si>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</si>
  <si>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</si>
  <si>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</si>
  <si>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</si>
  <si>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</si>
  <si>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</si>
  <si>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</si>
  <si>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</si>
  <si>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</si>
  <si>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</si>
  <si>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</si>
  <si>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</si>
  <si>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</si>
  <si>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</si>
  <si>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</si>
  <si>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</si>
  <si>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</si>
  <si>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</si>
  <si>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</si>
  <si>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</si>
  <si>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</si>
  <si>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</si>
  <si>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</si>
  <si>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</si>
  <si>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</si>
  <si>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</si>
  <si>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</si>
  <si>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</si>
  <si>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</si>
  <si>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</si>
  <si>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</si>
  <si>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</si>
  <si>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</si>
  <si>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</si>
  <si>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</si>
  <si>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</si>
  <si>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</si>
  <si>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</si>
  <si>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</si>
  <si>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</si>
  <si>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</si>
  <si>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</si>
  <si>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</si>
  <si>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</si>
  <si>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</si>
  <si>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</si>
  <si>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</si>
  <si>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</si>
  <si>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</si>
  <si>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</si>
  <si>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</si>
  <si>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</si>
  <si>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</si>
  <si>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</si>
  <si>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</si>
  <si>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</si>
  <si>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</si>
  <si>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</si>
  <si>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</si>
  <si>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</si>
  <si>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</si>
  <si>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</si>
  <si>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</si>
  <si>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</si>
  <si>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</si>
  <si>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</si>
  <si>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</si>
  <si>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</si>
  <si>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</si>
  <si>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</si>
  <si>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</si>
  <si>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</si>
  <si>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</si>
  <si>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</si>
  <si>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</si>
  <si>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</si>
  <si>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</si>
  <si>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</si>
  <si>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</si>
  <si>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</si>
  <si>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</si>
  <si>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</si>
  <si>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</si>
  <si>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</si>
  <si>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</si>
  <si>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</si>
  <si>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</si>
  <si>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</si>
  <si>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</si>
  <si>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</si>
  <si>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</si>
  <si>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</si>
  <si>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</si>
  <si>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</si>
  <si>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</si>
  <si>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</si>
  <si>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</si>
  <si>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</si>
  <si>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</si>
  <si>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</si>
  <si>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</si>
  <si>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</si>
  <si>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</si>
  <si>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</si>
  <si>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</si>
  <si>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</si>
  <si>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</si>
  <si>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</si>
  <si>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</si>
  <si>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</si>
  <si>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</si>
  <si>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</si>
  <si>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</si>
  <si>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</si>
  <si>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</si>
  <si>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</si>
  <si>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</si>
  <si>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</si>
  <si>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</si>
  <si>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</si>
  <si>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</si>
  <si>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</si>
  <si>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</si>
  <si>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</si>
  <si>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</si>
  <si>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</si>
  <si>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</si>
  <si>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</si>
  <si>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</si>
  <si>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</si>
  <si>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</si>
  <si>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</si>
  <si>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</si>
  <si>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</si>
  <si>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</si>
  <si>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</si>
  <si>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</si>
  <si>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</si>
  <si>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</si>
  <si>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</si>
  <si>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</si>
  <si>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</si>
  <si>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</si>
  <si>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</si>
  <si>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</si>
  <si>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</si>
  <si>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</si>
  <si>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</si>
  <si>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</si>
  <si>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</si>
  <si>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</si>
  <si>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</si>
  <si>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</si>
  <si>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</si>
  <si>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</si>
  <si>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</si>
  <si>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</si>
  <si>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</si>
  <si>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</si>
  <si>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</si>
  <si>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</si>
  <si>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</si>
  <si>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</si>
  <si>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</si>
  <si>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</si>
  <si>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</si>
  <si>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</si>
  <si>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</si>
  <si>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</si>
  <si>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</si>
  <si>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</si>
  <si>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</si>
  <si>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</si>
  <si>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</si>
  <si>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</si>
  <si>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</si>
  <si>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</si>
  <si>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</si>
  <si>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</si>
  <si>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</si>
  <si>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</si>
  <si>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</si>
  <si>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</si>
  <si>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</si>
  <si>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</si>
  <si>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</si>
  <si>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</si>
  <si>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</si>
  <si>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</si>
  <si>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</si>
  <si>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</si>
  <si>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</si>
  <si>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</si>
  <si>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</si>
  <si>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</si>
  <si>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</si>
  <si>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</si>
  <si>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</si>
  <si>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</si>
  <si>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</si>
  <si>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</si>
  <si>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</si>
  <si>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</si>
  <si>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</si>
  <si>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权重</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</si>
  <si>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</si>
  <si>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</si>
  <si>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</si>
  <si>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</si>
  <si>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</si>
  <si>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</si>
  <si>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</si>
  <si>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</si>
  <si>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</si>
  <si>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</si>
  <si>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</si>
  <si>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</si>
  <si>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</si>
  <si>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</si>
  <si>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</si>
  <si>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</si>
  <si>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</si>
  <si>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</si>
  <si>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</si>
  <si>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</si>
  <si>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</si>
  <si>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</si>
  <si>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</si>
  <si>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</si>
  <si>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</si>
  <si>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</si>
  <si>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</si>
  <si>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</si>
  <si>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</si>
  <si>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</si>
  <si>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</si>
  <si>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</si>
  <si>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</si>
  <si>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</si>
  <si>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</si>
  <si>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</si>
  <si>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</si>
  <si>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</si>
  <si>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</si>
  <si>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</si>
  <si>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</si>
  <si>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</si>
  <si>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</si>
  <si>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</si>
  <si>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</si>
  <si>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</si>
  <si>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</si>
  <si>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</si>
  <si>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</si>
  <si>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</si>
  <si>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</si>
  <si>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</si>
  <si>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</si>
  <si>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</si>
  <si>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</si>
  <si>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</si>
  <si>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</si>
  <si>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</si>
  <si>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</si>
  <si>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</si>
  <si>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</si>
  <si>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</si>
  <si>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</si>
  <si>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</si>
  <si>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</si>
  <si>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</si>
  <si>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</si>
  <si>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</si>
  <si>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</si>
  <si>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</si>
  <si>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</si>
  <si>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</si>
  <si>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</si>
  <si>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</si>
  <si>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</si>
  <si>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</si>
  <si>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</si>
  <si>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</si>
  <si>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</si>
  <si>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</si>
  <si>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</si>
  <si>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</si>
  <si>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</si>
  <si>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</si>
  <si>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</si>
  <si>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</si>
  <si>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</si>
  <si>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</si>
  <si>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</si>
  <si>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</si>
  <si>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</si>
  <si>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</si>
  <si>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</si>
  <si>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</si>
  <si>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</si>
  <si>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</si>
  <si>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</si>
  <si>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</si>
  <si>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</si>
  <si>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</si>
  <si>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</si>
  <si>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</si>
  <si>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</si>
  <si>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</si>
  <si>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</si>
  <si>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</si>
  <si>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</si>
  <si>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</si>
  <si>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</si>
  <si>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</si>
  <si>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</si>
  <si>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</si>
  <si>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</si>
  <si>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</si>
  <si>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</si>
  <si>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</si>
  <si>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</si>
  <si>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</si>
  <si>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</si>
  <si>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</si>
  <si>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</si>
  <si>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</si>
  <si>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</si>
  <si>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</si>
  <si>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</si>
  <si>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</si>
  <si>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</si>
  <si>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</si>
  <si>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</si>
  <si>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</si>
  <si>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</si>
  <si>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</si>
  <si>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</si>
  <si>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</si>
  <si>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</si>
  <si>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</si>
  <si>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</si>
  <si>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</si>
  <si>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</si>
  <si>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</si>
  <si>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</si>
  <si>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</si>
  <si>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</si>
  <si>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</si>
  <si>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</si>
  <si>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</si>
  <si>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</si>
  <si>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</si>
  <si>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</si>
  <si>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</si>
  <si>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</si>
  <si>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</si>
  <si>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</si>
  <si>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</si>
  <si>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</si>
  <si>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</si>
  <si>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</si>
  <si>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</si>
  <si>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</si>
  <si>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</si>
  <si>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</si>
  <si>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</si>
  <si>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</si>
  <si>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</si>
  <si>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</si>
  <si>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</si>
  <si>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</si>
  <si>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</si>
  <si>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</si>
  <si>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</si>
  <si>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</si>
  <si>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</si>
  <si>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</si>
  <si>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</si>
  <si>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</si>
  <si>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</si>
  <si>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</si>
  <si>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</si>
  <si>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</si>
  <si>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</si>
  <si>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</si>
  <si>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</si>
  <si>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</si>
  <si>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</si>
  <si>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</si>
  <si>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</si>
  <si>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</si>
  <si>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</si>
  <si>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</si>
  <si>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</si>
  <si>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</si>
  <si>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</si>
  <si>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</si>
  <si>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</si>
  <si>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</si>
  <si>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</si>
  <si>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</si>
  <si>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</si>
  <si>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</si>
  <si>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</si>
  <si>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</si>
  <si>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</si>
  <si>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</si>
  <si>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</si>
  <si>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</si>
  <si>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</si>
  <si>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</si>
  <si>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</si>
  <si>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</si>
  <si>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</si>
  <si>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</si>
  <si>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</si>
  <si>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</si>
  <si>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</si>
  <si>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</si>
  <si>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</si>
  <si>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</si>
  <si>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</si>
  <si>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</si>
  <si>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</si>
  <si>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</si>
  <si>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</si>
  <si>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</si>
  <si>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</si>
  <si>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</si>
  <si>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</si>
  <si>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</si>
  <si>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</si>
  <si>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</si>
  <si>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</si>
  <si>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</si>
  <si>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</si>
  <si>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</si>
  <si>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</si>
  <si>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</si>
  <si>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</si>
  <si>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</si>
  <si>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</si>
  <si>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</si>
  <si>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</si>
  <si>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</si>
  <si>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</si>
  <si>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</si>
  <si>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</si>
  <si>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</si>
  <si>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</si>
  <si>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</si>
  <si>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</si>
  <si>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</si>
  <si>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</si>
  <si>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</si>
  <si>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</si>
  <si>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</si>
  <si>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</si>
  <si>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</si>
  <si>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</si>
  <si>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</si>
  <si>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</si>
  <si>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</si>
  <si>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</si>
  <si>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</si>
  <si>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</si>
  <si>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</si>
  <si>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</si>
  <si>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</si>
  <si>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</si>
  <si>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</si>
  <si>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</si>
  <si>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</si>
  <si>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</si>
  <si>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</si>
  <si>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</si>
  <si>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</si>
  <si>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</si>
  <si>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</si>
  <si>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</si>
  <si>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</si>
  <si>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</si>
  <si>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</si>
  <si>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</si>
  <si>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</si>
  <si>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</si>
  <si>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</si>
  <si>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正常</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</si>
  <si>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</si>
  <si>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</si>
  <si>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</si>
  <si>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</si>
  <si>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</si>
  <si>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</si>
  <si>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</si>
  <si>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</si>
  <si>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</si>
  <si>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</si>
  <si>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</si>
  <si>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</si>
  <si>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</si>
  <si>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</si>
  <si>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</si>
  <si>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</si>
  <si>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</si>
  <si>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</si>
  <si>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</si>
  <si>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</si>
  <si>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</si>
  <si>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</si>
  <si>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</si>
  <si>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</si>
  <si>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</si>
  <si>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</si>
  <si>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</si>
  <si>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</si>
  <si>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</si>
  <si>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</si>
  <si>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</si>
  <si>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</si>
  <si>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</si>
  <si>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</si>
  <si>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</si>
  <si>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</si>
  <si>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</si>
  <si>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</si>
  <si>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</si>
  <si>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</si>
  <si>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</si>
  <si>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</si>
  <si>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</si>
  <si>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</si>
  <si>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</si>
  <si>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</si>
  <si>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</si>
  <si>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</si>
  <si>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</si>
  <si>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</si>
  <si>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</si>
  <si>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</si>
  <si>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以不动产总价</t>
    </r>
    <r>
      <rPr>
        <b/>
        <sz val="10"/>
        <rFont val="仿宋_GB2312"/>
        <family val="3"/>
        <charset val="134"/>
      </rPr>
      <t>为基数计取</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</si>
  <si>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</si>
  <si>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</si>
  <si>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</si>
  <si>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</si>
  <si>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</si>
  <si>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</si>
  <si>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</si>
  <si>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</si>
  <si>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</si>
  <si>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契税及印花税，按在建建筑物或建筑物价值(1+5%)的一定比率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</si>
  <si>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</si>
  <si>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</si>
  <si>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</si>
  <si>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</si>
  <si>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</si>
  <si>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</si>
  <si>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</si>
  <si>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</si>
  <si>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t>增值税及附加</t>
  </si>
  <si>
    <r>
      <rPr>
        <b/>
        <sz val="11"/>
        <color indexed="8"/>
        <rFont val="Arial"/>
        <family val="2"/>
      </rPr>
      <t xml:space="preserve">4. </t>
    </r>
    <r>
      <rPr>
        <b/>
        <sz val="11"/>
        <color indexed="8"/>
        <rFont val="仿宋_GB2312"/>
        <family val="3"/>
        <charset val="134"/>
      </rPr>
      <t>土地价格</t>
    </r>
  </si>
  <si>
    <t>(1-2-3)/[(1+（(1+利率）^建设期-1）+利润）*（1+契税及印花税率）]</t>
  </si>
  <si>
    <t>建造成本</t>
  </si>
  <si>
    <t>利息</t>
  </si>
  <si>
    <t>地价及购地税费产生的利息</t>
  </si>
  <si>
    <t>利润</t>
  </si>
  <si>
    <t>地价及购地税费产生的利润</t>
  </si>
  <si>
    <t>重置成新价(不含税）</t>
  </si>
  <si>
    <t>销售税费-交易税</t>
  </si>
  <si>
    <t>销售费用</t>
  </si>
  <si>
    <t>土地价格</t>
  </si>
  <si>
    <r>
      <rPr>
        <b/>
        <sz val="16"/>
        <rFont val="仿宋_GB2312"/>
        <family val="3"/>
        <charset val="134"/>
      </rPr>
      <t>工业</t>
    </r>
  </si>
  <si>
    <r>
      <rPr>
        <sz val="11"/>
        <color indexed="8"/>
        <rFont val="仿宋_GB2312"/>
        <family val="3"/>
        <charset val="134"/>
      </rPr>
      <t>环境状况</t>
    </r>
  </si>
  <si>
    <t>交易时间（按季度调整）</t>
  </si>
  <si>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</si>
  <si>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</si>
  <si>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</si>
  <si>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</si>
  <si>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</si>
  <si>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</si>
  <si>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</si>
  <si>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</si>
  <si>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</si>
  <si>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</si>
  <si>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居住用地（指二类居住用地）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</si>
  <si>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</si>
  <si>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</si>
  <si>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</si>
  <si>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</si>
  <si>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</si>
  <si>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</si>
  <si>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</si>
  <si>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</si>
  <si>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</si>
  <si>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</si>
  <si>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</si>
  <si>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</si>
  <si>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</si>
  <si>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</si>
  <si>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</si>
  <si>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</si>
  <si>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</si>
  <si>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</si>
  <si>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</si>
  <si>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</si>
  <si>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</si>
  <si>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</si>
  <si>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</si>
  <si>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</si>
  <si>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</si>
  <si>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</si>
  <si>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</si>
  <si>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</si>
  <si>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</si>
  <si>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</si>
  <si>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</si>
  <si>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</si>
  <si>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</si>
  <si>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</si>
  <si>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</si>
  <si>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</si>
  <si>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</si>
  <si>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</si>
  <si>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</si>
  <si>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</si>
  <si>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</si>
  <si>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</si>
  <si>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</si>
  <si>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</si>
  <si>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</si>
  <si>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</si>
  <si>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</si>
  <si>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</si>
  <si>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</si>
  <si>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</si>
  <si>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</si>
  <si>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</si>
  <si>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</si>
  <si>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</si>
  <si>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</si>
  <si>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</si>
  <si>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</si>
  <si>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</si>
  <si>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</si>
  <si>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</si>
  <si>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有</t>
  </si>
  <si>
    <t>1000米以外</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</si>
  <si>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</si>
  <si>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</si>
  <si>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</si>
  <si>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</si>
  <si>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</si>
  <si>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</si>
  <si>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</si>
  <si>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</si>
  <si>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</si>
  <si>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</si>
  <si>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</si>
  <si>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</si>
  <si>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</si>
  <si>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</si>
  <si>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</si>
  <si>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</si>
  <si>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</si>
  <si>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</si>
  <si>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</si>
  <si>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</si>
  <si>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</si>
  <si>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</si>
  <si>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</si>
  <si>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</si>
  <si>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</si>
  <si>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</si>
  <si>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</si>
  <si>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</si>
  <si>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</si>
  <si>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</si>
  <si>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</si>
  <si>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</si>
  <si>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</si>
  <si>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</si>
  <si>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</si>
  <si>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</si>
  <si>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</si>
  <si>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</si>
  <si>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</si>
  <si>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</si>
  <si>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</si>
  <si>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</si>
  <si>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</si>
  <si>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</si>
  <si>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</si>
  <si>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</si>
  <si>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</si>
  <si>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</si>
  <si>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</si>
  <si>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</si>
  <si>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</si>
  <si>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</si>
  <si>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</si>
  <si>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</si>
  <si>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</si>
  <si>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</si>
  <si>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</si>
  <si>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</si>
  <si>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</si>
  <si>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</si>
  <si>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</si>
  <si>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</si>
  <si>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</si>
  <si>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</si>
  <si>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</si>
  <si>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</si>
  <si>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</si>
  <si>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</si>
  <si>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</si>
  <si>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</si>
  <si>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</si>
  <si>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</si>
  <si>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较好</t>
  </si>
  <si>
    <t>一般</t>
  </si>
  <si>
    <t>临路状况</t>
  </si>
  <si>
    <t>较差</t>
  </si>
  <si>
    <t>好</t>
  </si>
  <si>
    <t>与区域中心的接近程度</t>
  </si>
  <si>
    <t>北京市基准地价商业用途楼层修正系数表</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</si>
  <si>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</si>
  <si>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</si>
  <si>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</si>
  <si>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</si>
  <si>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</si>
  <si>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</si>
  <si>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</si>
  <si>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</si>
  <si>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</si>
  <si>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</si>
  <si>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</si>
  <si>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</si>
  <si>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</si>
  <si>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</si>
  <si>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</si>
  <si>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</si>
  <si>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</si>
  <si>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</si>
  <si>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</si>
  <si>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</si>
  <si>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</si>
  <si>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</si>
  <si>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</si>
  <si>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</si>
  <si>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</si>
  <si>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</si>
  <si>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</si>
  <si>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</si>
  <si>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</si>
  <si>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</si>
  <si>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</si>
  <si>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</si>
  <si>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</si>
  <si>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</si>
  <si>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</si>
  <si>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</si>
  <si>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</si>
  <si>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</si>
  <si>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</si>
  <si>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</si>
  <si>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</si>
  <si>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</si>
  <si>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</si>
  <si>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</si>
  <si>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</si>
  <si>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</si>
  <si>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</si>
  <si>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</si>
  <si>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</si>
  <si>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</si>
  <si>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</si>
  <si>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</si>
  <si>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</si>
  <si>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</si>
  <si>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</si>
  <si>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</si>
  <si>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</si>
  <si>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</si>
  <si>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</si>
  <si>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</si>
  <si>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</si>
  <si>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</si>
  <si>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</si>
  <si>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</si>
  <si>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</si>
  <si>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</si>
  <si>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</si>
  <si>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</si>
  <si>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</si>
  <si>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</si>
  <si>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</si>
  <si>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</si>
  <si>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</si>
  <si>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</si>
  <si>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</si>
  <si>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</si>
  <si>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</si>
  <si>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</si>
  <si>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</si>
  <si>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</si>
  <si>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</si>
  <si>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</si>
  <si>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</si>
  <si>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</si>
  <si>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</si>
  <si>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</si>
  <si>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</si>
  <si>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</si>
  <si>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</si>
  <si>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</si>
  <si>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</si>
  <si>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</si>
  <si>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</si>
  <si>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</si>
  <si>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</si>
  <si>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</si>
  <si>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</si>
  <si>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</si>
  <si>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</si>
  <si>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</si>
  <si>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</si>
  <si>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</si>
  <si>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</si>
  <si>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</si>
  <si>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</si>
  <si>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</si>
  <si>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</si>
  <si>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</si>
  <si>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</si>
  <si>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</si>
  <si>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</si>
  <si>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</si>
  <si>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</si>
  <si>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</si>
  <si>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</si>
  <si>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</si>
  <si>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</si>
  <si>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</si>
  <si>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</si>
  <si>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</si>
  <si>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</si>
  <si>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</si>
  <si>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</si>
  <si>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</si>
  <si>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</si>
  <si>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</si>
  <si>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</si>
  <si>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</si>
  <si>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</si>
  <si>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</si>
  <si>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</si>
  <si>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</si>
  <si>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</si>
  <si>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</si>
  <si>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</si>
  <si>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</si>
  <si>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</si>
  <si>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</si>
  <si>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</si>
  <si>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</si>
  <si>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</si>
  <si>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</si>
  <si>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</si>
  <si>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</si>
  <si>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</si>
  <si>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</si>
  <si>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</si>
  <si>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</si>
  <si>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</si>
  <si>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</si>
  <si>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</si>
  <si>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</si>
  <si>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</si>
  <si>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</si>
  <si>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</si>
  <si>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</si>
  <si>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</si>
  <si>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</si>
  <si>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</si>
  <si>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</si>
  <si>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</si>
  <si>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</si>
  <si>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</si>
  <si>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</si>
  <si>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</si>
  <si>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</si>
  <si>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</si>
  <si>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</si>
  <si>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</si>
  <si>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</si>
  <si>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</si>
  <si>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</si>
  <si>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</si>
  <si>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</si>
  <si>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</si>
  <si>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</si>
  <si>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</si>
  <si>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</si>
  <si>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</si>
  <si>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</si>
  <si>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</si>
  <si>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</si>
  <si>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</si>
  <si>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</si>
  <si>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</si>
  <si>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</si>
  <si>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</si>
  <si>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</si>
  <si>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</si>
  <si>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</si>
  <si>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</si>
  <si>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</si>
  <si>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</si>
  <si>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</si>
  <si>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</si>
  <si>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</si>
  <si>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</si>
  <si>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</si>
  <si>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</si>
  <si>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</si>
  <si>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</si>
  <si>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</si>
  <si>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</si>
  <si>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</si>
  <si>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</si>
  <si>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</si>
  <si>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</si>
  <si>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</si>
  <si>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</si>
  <si>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</si>
  <si>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</si>
  <si>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</si>
  <si>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</si>
  <si>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</si>
  <si>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</si>
  <si>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</si>
  <si>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</si>
  <si>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</si>
  <si>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</si>
  <si>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</si>
  <si>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</si>
  <si>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</si>
  <si>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</si>
  <si>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</si>
  <si>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</si>
  <si>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</si>
  <si>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</si>
  <si>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</si>
  <si>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</si>
  <si>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</si>
  <si>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</si>
  <si>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</si>
  <si>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</si>
  <si>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</si>
  <si>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</si>
  <si>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</si>
  <si>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</si>
  <si>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</si>
  <si>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</si>
  <si>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</si>
  <si>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</si>
  <si>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</si>
  <si>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</si>
  <si>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</si>
  <si>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</si>
  <si>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</si>
  <si>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</si>
  <si>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</si>
  <si>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</si>
  <si>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</si>
  <si>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</si>
  <si>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</si>
  <si>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</si>
  <si>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</si>
  <si>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</si>
  <si>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</si>
  <si>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</si>
  <si>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</si>
  <si>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</si>
  <si>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</si>
  <si>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</si>
  <si>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</si>
  <si>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</si>
  <si>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</si>
  <si>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</si>
  <si>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</si>
  <si>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</si>
  <si>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</si>
  <si>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</si>
  <si>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</si>
  <si>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</si>
  <si>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</si>
  <si>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</si>
  <si>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</si>
  <si>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</si>
  <si>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</si>
  <si>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</si>
  <si>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</si>
  <si>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</si>
  <si>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</si>
  <si>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</si>
  <si>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</si>
  <si>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</si>
  <si>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</si>
  <si>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</si>
  <si>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</si>
  <si>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</si>
  <si>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</si>
  <si>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</si>
  <si>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</si>
  <si>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</si>
  <si>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</si>
  <si>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</si>
  <si>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</si>
  <si>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</si>
  <si>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</si>
  <si>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</si>
  <si>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</si>
  <si>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</si>
  <si>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</si>
  <si>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</si>
  <si>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</si>
  <si>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</si>
  <si>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</si>
  <si>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</si>
  <si>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</si>
  <si>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</si>
  <si>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</si>
  <si>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</si>
  <si>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</si>
  <si>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</si>
  <si>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</si>
  <si>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</si>
  <si>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</si>
  <si>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</si>
  <si>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</si>
  <si>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</si>
  <si>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</si>
  <si>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</si>
  <si>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</si>
  <si>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</si>
  <si>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</si>
  <si>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</si>
  <si>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</si>
  <si>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</si>
  <si>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</si>
  <si>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</si>
  <si>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</si>
  <si>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</si>
  <si>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</si>
  <si>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</si>
  <si>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</si>
  <si>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</si>
  <si>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</si>
  <si>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</si>
  <si>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</si>
  <si>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</si>
  <si>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</si>
  <si>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</si>
  <si>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</si>
  <si>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</si>
  <si>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</si>
  <si>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</si>
  <si>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</si>
  <si>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</si>
  <si>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</si>
  <si>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</si>
  <si>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</si>
  <si>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</si>
  <si>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</si>
  <si>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</si>
  <si>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</si>
  <si>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</si>
  <si>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</si>
  <si>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</si>
  <si>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</si>
  <si>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</si>
  <si>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</si>
  <si>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</si>
  <si>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</si>
  <si>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</si>
  <si>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</si>
  <si>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</si>
  <si>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</si>
  <si>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</si>
  <si>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</si>
  <si>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</si>
  <si>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</si>
  <si>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</si>
  <si>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</si>
  <si>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</si>
  <si>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</si>
  <si>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</si>
  <si>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</si>
  <si>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</si>
  <si>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</si>
  <si>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</si>
  <si>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</si>
  <si>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</si>
  <si>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</si>
  <si>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</si>
  <si>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</si>
  <si>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</si>
  <si>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</si>
  <si>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</si>
  <si>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</si>
  <si>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</si>
  <si>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</si>
  <si>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</si>
  <si>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</si>
  <si>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</si>
  <si>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</si>
  <si>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</si>
  <si>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</si>
  <si>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</si>
  <si>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</si>
  <si>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</si>
  <si>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</si>
  <si>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</si>
  <si>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</si>
  <si>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</si>
  <si>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</si>
  <si>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</si>
  <si>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</si>
  <si>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</si>
  <si>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</si>
  <si>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</si>
  <si>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</si>
  <si>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</si>
  <si>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</si>
  <si>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</si>
  <si>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</si>
  <si>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</si>
  <si>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</si>
  <si>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</si>
  <si>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</si>
  <si>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</si>
  <si>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</si>
  <si>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</si>
  <si>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</si>
  <si>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</si>
  <si>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</si>
  <si>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</si>
  <si>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</si>
  <si>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</si>
  <si>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</si>
  <si>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</si>
  <si>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</si>
  <si>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</si>
  <si>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</si>
  <si>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</si>
  <si>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</si>
  <si>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</si>
  <si>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</si>
  <si>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</si>
  <si>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</si>
  <si>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</si>
  <si>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</si>
  <si>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</si>
  <si>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</si>
  <si>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</si>
  <si>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</si>
  <si>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</si>
  <si>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</si>
  <si>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</si>
  <si>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</si>
  <si>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</si>
  <si>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</si>
  <si>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</si>
  <si>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</si>
  <si>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</si>
  <si>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</si>
  <si>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</si>
  <si>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</si>
  <si>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</si>
  <si>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</si>
  <si>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</si>
  <si>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</si>
  <si>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</si>
  <si>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</si>
  <si>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</si>
  <si>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</si>
  <si>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</si>
  <si>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</si>
  <si>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</si>
  <si>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</si>
  <si>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</si>
  <si>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</si>
  <si>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</si>
  <si>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</si>
  <si>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</si>
  <si>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</si>
  <si>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</si>
  <si>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</si>
  <si>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</si>
  <si>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</si>
  <si>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</si>
  <si>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</si>
  <si>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</si>
  <si>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</si>
  <si>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</si>
  <si>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</si>
  <si>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</si>
  <si>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</si>
  <si>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</si>
  <si>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</si>
  <si>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</si>
  <si>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</si>
  <si>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</si>
  <si>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</si>
  <si>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</si>
  <si>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</si>
  <si>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</si>
  <si>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</si>
  <si>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</si>
  <si>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</si>
  <si>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</si>
  <si>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</si>
  <si>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</si>
  <si>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</si>
  <si>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</si>
  <si>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</si>
  <si>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</si>
  <si>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</si>
  <si>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</si>
  <si>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</si>
  <si>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</si>
  <si>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</si>
  <si>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</si>
  <si>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</si>
  <si>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</si>
  <si>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</si>
  <si>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</si>
  <si>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</si>
  <si>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</si>
  <si>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</si>
  <si>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</si>
  <si>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</si>
  <si>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</si>
  <si>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</si>
  <si>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</si>
  <si>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</si>
  <si>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</si>
  <si>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</si>
  <si>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</si>
  <si>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</si>
  <si>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</si>
  <si>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</si>
  <si>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</si>
  <si>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</si>
  <si>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</si>
  <si>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</si>
  <si>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</si>
  <si>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</si>
  <si>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</si>
  <si>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</si>
  <si>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</si>
  <si>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</si>
  <si>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</si>
  <si>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</si>
  <si>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</si>
  <si>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</si>
  <si>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</si>
  <si>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</si>
  <si>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</si>
  <si>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</si>
  <si>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</si>
  <si>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</si>
  <si>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</si>
  <si>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</si>
  <si>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</si>
  <si>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</si>
  <si>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</si>
  <si>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</si>
  <si>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</si>
  <si>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</si>
  <si>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</si>
  <si>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</si>
  <si>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</si>
  <si>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</si>
  <si>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</si>
  <si>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</si>
  <si>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</si>
  <si>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</si>
  <si>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</si>
  <si>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</si>
  <si>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</si>
  <si>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</si>
  <si>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</si>
  <si>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</si>
  <si>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</si>
  <si>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</si>
  <si>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</si>
  <si>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</si>
  <si>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</si>
  <si>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</si>
  <si>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</si>
  <si>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</si>
  <si>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</si>
  <si>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</si>
  <si>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</si>
  <si>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</si>
  <si>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</si>
  <si>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</si>
  <si>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</si>
  <si>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</si>
  <si>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</si>
  <si>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</si>
  <si>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</si>
  <si>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</si>
  <si>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</si>
  <si>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</si>
  <si>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</si>
  <si>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</si>
  <si>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</si>
  <si>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</si>
  <si>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</si>
  <si>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</si>
  <si>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</si>
  <si>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</si>
  <si>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</si>
  <si>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</si>
  <si>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</si>
  <si>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</si>
  <si>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</si>
  <si>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</si>
  <si>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</si>
  <si>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</si>
  <si>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</si>
  <si>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</si>
  <si>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</si>
  <si>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</si>
  <si>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</si>
  <si>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</si>
  <si>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</si>
  <si>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</si>
  <si>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</si>
  <si>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</si>
  <si>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</si>
  <si>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</si>
  <si>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</si>
  <si>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</si>
  <si>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</si>
  <si>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</si>
  <si>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</si>
  <si>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</si>
  <si>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</si>
  <si>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</si>
  <si>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</si>
  <si>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</si>
  <si>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</si>
  <si>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</si>
  <si>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</si>
  <si>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</si>
  <si>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</si>
  <si>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</si>
  <si>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</si>
  <si>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</si>
  <si>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</si>
  <si>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</si>
  <si>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</si>
  <si>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</si>
  <si>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</si>
  <si>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</si>
  <si>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</si>
  <si>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</si>
  <si>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</si>
  <si>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</si>
  <si>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</si>
  <si>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</si>
  <si>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</si>
  <si>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</si>
  <si>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</si>
  <si>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</si>
  <si>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</si>
  <si>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</si>
  <si>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</si>
  <si>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</si>
  <si>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</si>
  <si>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</si>
  <si>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</si>
  <si>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</si>
  <si>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</si>
  <si>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</si>
  <si>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</si>
  <si>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</si>
  <si>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</si>
  <si>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</si>
  <si>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</si>
  <si>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</si>
  <si>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</si>
  <si>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</si>
  <si>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</si>
  <si>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</si>
  <si>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</si>
  <si>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</si>
  <si>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</si>
  <si>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</si>
  <si>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</si>
  <si>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</si>
  <si>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</si>
  <si>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</si>
  <si>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</si>
  <si>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</si>
  <si>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</si>
  <si>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</si>
  <si>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</si>
  <si>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</si>
  <si>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</si>
  <si>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</si>
  <si>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</si>
  <si>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</si>
  <si>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</si>
  <si>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</si>
  <si>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</si>
  <si>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</si>
  <si>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</si>
  <si>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</si>
  <si>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</si>
  <si>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</si>
  <si>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</si>
  <si>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</si>
  <si>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</si>
  <si>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</si>
  <si>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</si>
  <si>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</si>
  <si>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</si>
  <si>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</si>
  <si>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</si>
  <si>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</si>
  <si>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</si>
  <si>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</si>
  <si>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</si>
  <si>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</si>
  <si>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</si>
  <si>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</si>
  <si>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</si>
  <si>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</si>
  <si>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</si>
  <si>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</si>
  <si>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</si>
  <si>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</si>
  <si>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</si>
  <si>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</si>
  <si>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</si>
  <si>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</si>
  <si>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</si>
  <si>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</si>
  <si>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</si>
  <si>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</si>
  <si>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</si>
  <si>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</si>
  <si>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</si>
  <si>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</si>
  <si>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</si>
  <si>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</si>
  <si>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</si>
  <si>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</si>
  <si>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</si>
  <si>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</si>
  <si>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</si>
  <si>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</si>
  <si>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</si>
  <si>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</si>
  <si>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</si>
  <si>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</si>
  <si>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</si>
  <si>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</si>
  <si>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</si>
  <si>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</si>
  <si>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</si>
  <si>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</si>
  <si>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</si>
  <si>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</si>
  <si>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</si>
  <si>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</si>
  <si>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</si>
  <si>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</si>
  <si>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</si>
  <si>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</si>
  <si>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</si>
  <si>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</si>
  <si>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</si>
  <si>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</si>
  <si>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</si>
  <si>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</si>
  <si>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</si>
  <si>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</si>
  <si>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</si>
  <si>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</si>
  <si>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</si>
  <si>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</si>
  <si>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</si>
  <si>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</si>
  <si>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</si>
  <si>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</si>
  <si>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</si>
  <si>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</si>
  <si>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</si>
  <si>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</si>
  <si>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</si>
  <si>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</si>
  <si>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</si>
  <si>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</si>
  <si>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</si>
  <si>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</si>
  <si>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</si>
  <si>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</si>
  <si>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</si>
  <si>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</si>
  <si>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</si>
  <si>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</si>
  <si>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</si>
  <si>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</si>
  <si>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</si>
  <si>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</si>
  <si>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</si>
  <si>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</si>
  <si>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</si>
  <si>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</si>
  <si>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</si>
  <si>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</si>
  <si>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</si>
  <si>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</si>
  <si>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</si>
  <si>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</si>
  <si>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</si>
  <si>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</si>
  <si>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</si>
  <si>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</si>
  <si>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</si>
  <si>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</si>
  <si>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</si>
  <si>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</si>
  <si>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</si>
  <si>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</si>
  <si>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</si>
  <si>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</si>
  <si>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</si>
  <si>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</si>
  <si>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</si>
  <si>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</si>
  <si>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</si>
  <si>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</si>
  <si>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</si>
  <si>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</si>
  <si>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</si>
  <si>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</si>
  <si>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</si>
  <si>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</si>
  <si>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</si>
  <si>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</si>
  <si>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</si>
  <si>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</si>
  <si>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</si>
  <si>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</si>
  <si>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</si>
  <si>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</si>
  <si>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</si>
  <si>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</si>
  <si>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</si>
  <si>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</si>
  <si>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</si>
  <si>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</si>
  <si>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</si>
  <si>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</si>
  <si>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</si>
  <si>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</si>
  <si>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</si>
  <si>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</si>
  <si>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</si>
  <si>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</si>
  <si>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</si>
  <si>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</si>
  <si>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</si>
  <si>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</si>
  <si>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</si>
  <si>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</si>
  <si>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</si>
  <si>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</si>
  <si>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</si>
  <si>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</si>
  <si>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</si>
  <si>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</si>
  <si>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</si>
  <si>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</si>
  <si>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</si>
  <si>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</si>
  <si>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</si>
  <si>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</si>
  <si>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</si>
  <si>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</si>
  <si>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</si>
  <si>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</si>
  <si>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</si>
  <si>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</si>
  <si>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</si>
  <si>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</si>
  <si>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</si>
  <si>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</si>
  <si>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</si>
  <si>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</si>
  <si>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</si>
  <si>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</si>
  <si>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</si>
  <si>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</si>
  <si>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</si>
  <si>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</si>
  <si>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</si>
  <si>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</si>
  <si>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</si>
  <si>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</si>
  <si>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</si>
  <si>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</si>
  <si>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</si>
  <si>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</si>
  <si>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</si>
  <si>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</si>
  <si>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</si>
  <si>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</si>
  <si>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</si>
  <si>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</si>
  <si>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</si>
  <si>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</si>
  <si>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</si>
  <si>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</si>
  <si>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</si>
  <si>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</si>
  <si>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</si>
  <si>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</si>
  <si>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</si>
  <si>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</si>
  <si>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</si>
  <si>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</si>
  <si>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</si>
  <si>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</si>
  <si>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</si>
  <si>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</si>
  <si>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</si>
  <si>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</si>
  <si>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</si>
  <si>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</si>
  <si>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</si>
  <si>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</si>
  <si>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</si>
  <si>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</si>
  <si>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</si>
  <si>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</si>
  <si>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</si>
  <si>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</si>
  <si>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</si>
  <si>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</si>
  <si>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</si>
  <si>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</si>
  <si>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</si>
  <si>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</si>
  <si>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</si>
  <si>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</si>
  <si>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</si>
  <si>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</si>
  <si>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</si>
  <si>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</si>
  <si>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</si>
  <si>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</si>
  <si>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</si>
  <si>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</si>
  <si>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</si>
  <si>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</si>
  <si>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</si>
  <si>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</si>
  <si>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</si>
  <si>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</si>
  <si>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</si>
  <si>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</si>
  <si>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</si>
  <si>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</si>
  <si>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</si>
  <si>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</si>
  <si>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</si>
  <si>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</si>
  <si>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</si>
  <si>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</si>
  <si>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</si>
  <si>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</si>
  <si>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</si>
  <si>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</si>
  <si>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</si>
  <si>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</si>
  <si>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</si>
  <si>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</si>
  <si>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</si>
  <si>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</si>
  <si>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</si>
  <si>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</si>
  <si>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</si>
  <si>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</si>
  <si>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</si>
  <si>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</si>
  <si>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</si>
  <si>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</si>
  <si>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</si>
  <si>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</si>
  <si>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</si>
  <si>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</si>
  <si>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</si>
  <si>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</si>
  <si>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</si>
  <si>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</si>
  <si>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</si>
  <si>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</si>
  <si>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</si>
  <si>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</si>
  <si>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</si>
  <si>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</si>
  <si>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</si>
  <si>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</si>
  <si>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</si>
  <si>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</si>
  <si>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</si>
  <si>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</si>
  <si>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</si>
  <si>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</si>
  <si>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</si>
  <si>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</si>
  <si>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</si>
  <si>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</si>
  <si>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</si>
  <si>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</si>
  <si>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</si>
  <si>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</si>
  <si>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</si>
  <si>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</si>
  <si>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</si>
  <si>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</si>
  <si>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</si>
  <si>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</si>
  <si>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</si>
  <si>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</si>
  <si>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</si>
  <si>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</si>
  <si>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</si>
  <si>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</si>
  <si>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</si>
  <si>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</si>
  <si>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</si>
  <si>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</si>
  <si>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</si>
  <si>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</si>
  <si>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</si>
  <si>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</si>
  <si>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</si>
  <si>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</si>
  <si>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</si>
  <si>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</si>
  <si>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定向安置住房</t>
  </si>
  <si>
    <t>“三定三限三结合”定向安置房（简称“三定三限”定向房），是指按照“三定三限三结合”原则，经市政府批准建设和分配，用于安置符合条件的建设项目征收集体土地涉及的搬迁农（居）民，并纳入全市保障性住房年度建设计划的定向安置住房。</t>
  </si>
  <si>
    <t>国有出让</t>
  </si>
  <si>
    <t>《房屋所有权证》</t>
  </si>
  <si>
    <t>房产证记载的房屋性质为：“三定三限三结合定向安置住房”</t>
  </si>
  <si>
    <t>从房地产开发商或建设单位购得</t>
  </si>
  <si>
    <t>未满5年原价回购的仍为定向安置住房；满5年的为商品房</t>
  </si>
  <si>
    <t>国有出让，年限不变</t>
  </si>
  <si>
    <t>1.《关于建设项目征收集体土地涉及农村居民点搬迁需要建设定向安置房供地办法的初步意见》（京国土市[2007]774号）；2.《关于加强“三定三限三结合”定向安置房产权登记及上市交易管理有关问题的通知》（京建法[2014]13号）</t>
  </si>
  <si>
    <t>自取得房屋产权证或契税完税凭证之日起，5年内不得上市交易，确需在5年内转让的，由房屋所在区县人民政府指定机构按原销售价格回购；5年后可按市场价格上市交易，不补交土地收益。</t>
  </si>
  <si>
    <t>产权类别</t>
  </si>
  <si>
    <t>名词解释</t>
  </si>
  <si>
    <t>土地权属</t>
  </si>
  <si>
    <t>产权文件</t>
  </si>
  <si>
    <t>如何甄别</t>
  </si>
  <si>
    <t>房产来源</t>
  </si>
  <si>
    <t>交易后产权变化</t>
  </si>
  <si>
    <t>相关法律文件</t>
  </si>
  <si>
    <t>主要交易政策</t>
  </si>
  <si>
    <t>交易限制</t>
  </si>
  <si>
    <t>补交地价（土地出让金/综合地价款）</t>
  </si>
  <si>
    <t>交易税费</t>
  </si>
  <si>
    <t>契税（买方）</t>
  </si>
  <si>
    <t>卖方应缴税费</t>
  </si>
  <si>
    <t>个人所得税</t>
  </si>
  <si>
    <t>印花税（买卖双方）/土地增值税</t>
  </si>
  <si>
    <t>包括增值税及附加、印花税、土地增值税和个人所得税等，按照规定征收。</t>
    <phoneticPr fontId="231" type="noConversion"/>
  </si>
  <si>
    <t>交易编号</t>
  </si>
  <si>
    <t>宗地位置</t>
  </si>
  <si>
    <t>竞价起始时间</t>
  </si>
  <si>
    <t>起始价(万元)</t>
  </si>
  <si>
    <t>土地面积（平方米）</t>
  </si>
  <si>
    <t>规划建筑面积(平方米)</t>
  </si>
  <si>
    <t>交易方式</t>
  </si>
  <si>
    <t>规划用途</t>
  </si>
  <si>
    <t>成交日期</t>
  </si>
  <si>
    <t>成交价(万元)</t>
  </si>
  <si>
    <t>受让单位</t>
  </si>
  <si>
    <t>开发程度</t>
  </si>
  <si>
    <t>现场竞价次数</t>
  </si>
  <si>
    <t>保证金(万元)</t>
  </si>
  <si>
    <t>楼面地价</t>
    <phoneticPr fontId="231" type="noConversion"/>
  </si>
  <si>
    <r>
      <rPr>
        <sz val="10"/>
        <color rgb="FF666666"/>
        <rFont val="宋体"/>
        <family val="3"/>
        <charset val="134"/>
      </rPr>
      <t>京土整储挂（海）</t>
    </r>
    <r>
      <rPr>
        <sz val="10"/>
        <color rgb="FF666666"/>
        <rFont val="Tahoma"/>
        <family val="2"/>
      </rPr>
      <t>[2020]042</t>
    </r>
    <r>
      <rPr>
        <sz val="10"/>
        <color rgb="FF666666"/>
        <rFont val="宋体"/>
        <family val="3"/>
        <charset val="134"/>
      </rPr>
      <t>号</t>
    </r>
    <phoneticPr fontId="231" type="noConversion"/>
  </si>
  <si>
    <t>北京市海淀区西八里庄0711-652、640、641地块B4综合性商业金融服务业用地</t>
  </si>
  <si>
    <t>海淀区玲珑巷地区</t>
  </si>
  <si>
    <t>挂牌</t>
  </si>
  <si>
    <t>B4综合性商业金融服务业用地</t>
  </si>
  <si>
    <t>中国电建地产集团有限公司</t>
  </si>
  <si>
    <t>四通一平</t>
  </si>
  <si>
    <t>III-08</t>
    <phoneticPr fontId="231" type="noConversion"/>
  </si>
  <si>
    <t>京土整储挂（海）[2020]001号</t>
  </si>
  <si>
    <t>海淀区西北旺镇</t>
  </si>
  <si>
    <t>R2二类居住用地、F3其他类多功能用地、A51医院用地、A61机构养老设施用地</t>
  </si>
  <si>
    <t>北京润置商业运营管理有限公司、北京科技园建设（集团）股份有限公司和华通置业有限公司联合体</t>
  </si>
  <si>
    <t>五通一平</t>
  </si>
  <si>
    <t>京土整储招(海)[2019]056号</t>
  </si>
  <si>
    <t>海淀区清河地区</t>
  </si>
  <si>
    <t>招标</t>
  </si>
  <si>
    <t>R2二类居住用地、A33基础教育用地</t>
  </si>
  <si>
    <t>北京金隅程远房地产开发有限公司</t>
  </si>
  <si>
    <t>三通一平</t>
  </si>
  <si>
    <t>京土整储招（海）[2019]034号</t>
  </si>
  <si>
    <t>北京市海淀区学院路北端A、B、C、J地块B4综合性商业金融服务业用地、B23研发设计用地</t>
  </si>
  <si>
    <t>海淀区学院路北端</t>
  </si>
  <si>
    <t>B4综合性商业金融服务业用地、B23研发设计用地</t>
  </si>
  <si>
    <t>紫光集团有限公司、紫光股份有限公司、紫光国芯微电子股份有限公司和北京紫光科技服务集团有限公司联合体</t>
  </si>
  <si>
    <t>临时三通一平</t>
  </si>
  <si>
    <t>V-03</t>
    <phoneticPr fontId="231" type="noConversion"/>
  </si>
  <si>
    <t>京土整储挂（海）[2019]015号</t>
  </si>
  <si>
    <t>北京市海淀区西三旗1811-L04地块B4综合性商业金融服务业用地</t>
  </si>
  <si>
    <t>海淀区西三旗</t>
  </si>
  <si>
    <r>
      <t>B4</t>
    </r>
    <r>
      <rPr>
        <sz val="10"/>
        <color rgb="FF666666"/>
        <rFont val="宋体"/>
        <family val="3"/>
        <charset val="134"/>
      </rPr>
      <t>综合性商业金融服务业用地</t>
    </r>
    <phoneticPr fontId="231" type="noConversion"/>
  </si>
  <si>
    <t>北京润置商业运营管理有限公司</t>
  </si>
  <si>
    <t>六通一平</t>
  </si>
  <si>
    <t>VI-01</t>
    <phoneticPr fontId="231" type="noConversion"/>
  </si>
  <si>
    <t>京土整储挂（海）[2019]005号</t>
  </si>
  <si>
    <t>北京市海淀区"海淀北部地区整体开发"西北旺镇HD00-0402-0102地块（永丰产业基地）B1商业用地</t>
  </si>
  <si>
    <r>
      <t>B1</t>
    </r>
    <r>
      <rPr>
        <sz val="10"/>
        <color rgb="FF666666"/>
        <rFont val="宋体"/>
        <family val="3"/>
        <charset val="134"/>
      </rPr>
      <t>商业用地</t>
    </r>
    <phoneticPr fontId="231" type="noConversion"/>
  </si>
  <si>
    <t>北京实创科技园开发建设股份有限公司</t>
  </si>
  <si>
    <t>VI-02</t>
    <phoneticPr fontId="231" type="noConversion"/>
  </si>
  <si>
    <t>2020年</t>
    <phoneticPr fontId="231" type="noConversion"/>
  </si>
  <si>
    <t>基准地价</t>
    <phoneticPr fontId="231" type="noConversion"/>
  </si>
  <si>
    <t>地价</t>
    <phoneticPr fontId="231" type="noConversion"/>
  </si>
  <si>
    <t>商业</t>
    <phoneticPr fontId="231" type="noConversion"/>
  </si>
  <si>
    <t>办公</t>
    <phoneticPr fontId="231" type="noConversion"/>
  </si>
  <si>
    <t>住宅</t>
    <phoneticPr fontId="231" type="noConversion"/>
  </si>
  <si>
    <t>2019年</t>
    <phoneticPr fontId="231" type="noConversion"/>
  </si>
  <si>
    <t>平均</t>
    <phoneticPr fontId="231" type="noConversion"/>
  </si>
  <si>
    <t>协议出让</t>
    <phoneticPr fontId="231" type="noConversion"/>
  </si>
  <si>
    <t>招拍挂出让</t>
    <phoneticPr fontId="231" type="noConversion"/>
  </si>
  <si>
    <t>清河嘉园评估结果</t>
    <phoneticPr fontId="231" type="noConversion"/>
  </si>
  <si>
    <t>2018年</t>
    <phoneticPr fontId="231" type="noConversion"/>
  </si>
  <si>
    <t>清河嘉园评估结果</t>
  </si>
  <si>
    <t>地上办公（剩余年限）</t>
  </si>
  <si>
    <t>基准地价法</t>
  </si>
  <si>
    <t>剩余法</t>
  </si>
  <si>
    <t>比较法</t>
  </si>
  <si>
    <t>海淀区买卖街54号1幢现状城镇住宅用地</t>
    <phoneticPr fontId="227" type="noConversion"/>
  </si>
  <si>
    <t>海淀区买卖街54号</t>
    <phoneticPr fontId="227" type="noConversion"/>
  </si>
  <si>
    <t>王金莉</t>
    <phoneticPr fontId="227" type="noConversion"/>
  </si>
  <si>
    <t>现状补办</t>
    <phoneticPr fontId="227" type="noConversion"/>
  </si>
  <si>
    <t>中同华</t>
    <phoneticPr fontId="227" type="noConversion"/>
  </si>
  <si>
    <t>城镇住宅</t>
    <phoneticPr fontId="227" type="noConversion"/>
  </si>
  <si>
    <t>居住Ⅶ-02</t>
    <phoneticPr fontId="227" type="noConversion"/>
  </si>
  <si>
    <t>28015/收益法7970</t>
    <phoneticPr fontId="227" type="noConversion"/>
  </si>
  <si>
    <t>7004/1993</t>
    <phoneticPr fontId="227" type="noConversion"/>
  </si>
  <si>
    <t>20120
政府土地收益：
5030</t>
    <phoneticPr fontId="227" type="noConversion"/>
  </si>
  <si>
    <t>温泉镇杨家庄农民回迁房项目(F-14地块)</t>
  </si>
  <si>
    <t>海淀区温泉镇杨家庄</t>
    <phoneticPr fontId="227" type="noConversion"/>
  </si>
  <si>
    <t>北京兴泉置业开发建设有限公司</t>
    <phoneticPr fontId="227" type="noConversion"/>
  </si>
  <si>
    <t>违法处罚后补办</t>
    <phoneticPr fontId="227" type="noConversion"/>
  </si>
  <si>
    <t>华信</t>
    <phoneticPr fontId="227" type="noConversion"/>
  </si>
  <si>
    <t>六环内</t>
    <phoneticPr fontId="227" type="noConversion"/>
  </si>
  <si>
    <t>住宅
商业(配套)
办公(公共服务设施)
地下仓储</t>
  </si>
  <si>
    <t>居住Ⅶ-01
办公Ⅶ-01
商业Ⅶ-01</t>
    <phoneticPr fontId="227" type="noConversion"/>
  </si>
  <si>
    <t>居住8590
办公8140
商业8170</t>
    <phoneticPr fontId="227" type="noConversion"/>
  </si>
  <si>
    <t>住宅18291
商业(配套)15317
办公(公共服务设施)14305
地下仓储3835</t>
    <phoneticPr fontId="227" type="noConversion"/>
  </si>
  <si>
    <t>住宅4573
商业(配套)3829
办公(公共服务设施)3576
地下仓储963</t>
    <phoneticPr fontId="227" type="noConversion"/>
  </si>
  <si>
    <t>剩余法：
住宅24081
商业(配套)23956
办公(公共服务设施)17744
地下仓储6020</t>
    <phoneticPr fontId="227" type="noConversion"/>
  </si>
  <si>
    <t>住宅6020
商业(配套)5989
办公(公共服务设施)4436
地下仓储1505</t>
    <phoneticPr fontId="227" type="noConversion"/>
  </si>
  <si>
    <t>住宅21765
商业(配套)20500
办公(公共服务设施)16368
地下仓储5153</t>
    <phoneticPr fontId="227" type="noConversion"/>
  </si>
  <si>
    <t>住宅5441
商业(配套)5125
办公(公共服务设施)4092
地下仓储1288</t>
    <phoneticPr fontId="227" type="noConversion"/>
  </si>
  <si>
    <t>住宅21765
商业(配套)20500
办公(公共服务设施)16368
地下仓储5153
政府土地收益：
住宅6555
商业(配套)5125
办公(公共服务设施)4092
地下仓储1288</t>
    <phoneticPr fontId="227" type="noConversion"/>
  </si>
  <si>
    <t>顺义天竺村定向安置房项目</t>
    <phoneticPr fontId="227" type="noConversion"/>
  </si>
  <si>
    <t>顺义区顺义新城第21街区东南部</t>
  </si>
  <si>
    <t>顺义区后沙峪镇燕王庄村、西田各庄村定向安置房项目</t>
  </si>
  <si>
    <t>三定三限</t>
  </si>
  <si>
    <t>住宅
商业（配套）
办公（公共服务设施）
地下车库</t>
  </si>
  <si>
    <t>355381.5（住宅342869.3、商业（配套）9832.5、办公（公共服务设施）2679.7）</t>
  </si>
  <si>
    <r>
      <t>431236.1（地下商业（配套）1163、地下办公（公共服务设施）795、</t>
    </r>
    <r>
      <rPr>
        <sz val="14"/>
        <color indexed="8"/>
        <rFont val="宋体"/>
        <family val="3"/>
        <charset val="134"/>
      </rPr>
      <t>地下车库</t>
    </r>
    <r>
      <rPr>
        <sz val="14"/>
        <color indexed="8"/>
        <rFont val="宋体"/>
        <family val="3"/>
        <charset val="134"/>
      </rPr>
      <t>12109.8</t>
    </r>
    <r>
      <rPr>
        <sz val="14"/>
        <color indexed="8"/>
        <rFont val="宋体"/>
        <family val="3"/>
        <charset val="134"/>
      </rPr>
      <t>、</t>
    </r>
    <r>
      <rPr>
        <sz val="14"/>
        <color indexed="8"/>
        <rFont val="宋体"/>
        <family val="3"/>
        <charset val="134"/>
      </rPr>
      <t>设备用房11325.1、自行车库15051.5</t>
    </r>
    <r>
      <rPr>
        <sz val="14"/>
        <color indexed="8"/>
        <rFont val="宋体"/>
        <family val="3"/>
        <charset val="134"/>
      </rPr>
      <t>、人防</t>
    </r>
    <r>
      <rPr>
        <sz val="14"/>
        <color indexed="8"/>
        <rFont val="宋体"/>
        <family val="3"/>
        <charset val="134"/>
      </rPr>
      <t>35410.2）</t>
    </r>
  </si>
  <si>
    <t>居住2.5
商业2.5
办公2.5</t>
    <phoneticPr fontId="227" type="noConversion"/>
  </si>
  <si>
    <t>居住Ⅶ-顺2
商业Ⅶ-顺2
办公Ⅶ-顺2</t>
  </si>
  <si>
    <t>居住7990
商业7620
办公7570</t>
  </si>
  <si>
    <t>居住5840-8760
商业5940-8900
办公5880-8820</t>
  </si>
  <si>
    <t>住宅
商业（配套）
办公（公共服务设施）
地下仓储</t>
  </si>
  <si>
    <t>103550（住宅100037、商业（配套）985、办公（公共服务设施）2528）</t>
  </si>
  <si>
    <r>
      <t>137787.5（地下商业（配套）1249、地下办公（公共服务设施）1900、地下仓储5395</t>
    </r>
    <r>
      <rPr>
        <sz val="14"/>
        <color indexed="8"/>
        <rFont val="宋体"/>
        <family val="3"/>
        <charset val="134"/>
      </rPr>
      <t>、</t>
    </r>
    <r>
      <rPr>
        <sz val="14"/>
        <color indexed="8"/>
        <rFont val="宋体"/>
        <family val="3"/>
        <charset val="134"/>
      </rPr>
      <t>设备用房4311.68、自行车库3847.82</t>
    </r>
    <r>
      <rPr>
        <sz val="14"/>
        <color indexed="8"/>
        <rFont val="宋体"/>
        <family val="3"/>
        <charset val="134"/>
      </rPr>
      <t>、人防</t>
    </r>
    <r>
      <rPr>
        <sz val="14"/>
        <color indexed="8"/>
        <rFont val="宋体"/>
        <family val="3"/>
        <charset val="134"/>
      </rPr>
      <t>17534）</t>
    </r>
  </si>
  <si>
    <t>住宅18514
商业（配套）14633
办公（公共服务设施）10927
地下商业（配套）10069
地下办公2677
地下车库3552
政府土地收益：
住宅7858
商业（配套）5693
办公（公共服务设施）5335
地下商业（配套）2517
地下办公669
地下车库888</t>
    <phoneticPr fontId="227" type="noConversion"/>
  </si>
  <si>
    <t>XK20180100614</t>
  </si>
  <si>
    <t>李可一</t>
  </si>
  <si>
    <t>刘旸</t>
  </si>
  <si>
    <t>住宅18514
商业（配套）14633
办公（公共服务设施）10927
地下商业（配套）10069
地下办公2677
地下仓储4417
政府土地收益：
住宅7858
商业（配套）5693
办公（公共服务设施）5335
地下商业（配套）2517
地下办公669
地下仓储1104</t>
    <phoneticPr fontId="227" type="noConversion"/>
  </si>
  <si>
    <t>XK20180100613</t>
  </si>
  <si>
    <t>平谷区府前街旧城棚户区改造项目（一期）</t>
    <phoneticPr fontId="227" type="noConversion"/>
  </si>
  <si>
    <t>棚改一次性招标</t>
    <phoneticPr fontId="227" type="noConversion"/>
  </si>
  <si>
    <t>R2二类居住用地
住宅
商业
办公
地下车库
地下仓储</t>
    <phoneticPr fontId="227" type="noConversion"/>
  </si>
  <si>
    <t>131616.35(地下建筑面积45096.35)</t>
    <phoneticPr fontId="227" type="noConversion"/>
  </si>
  <si>
    <t>居住1.5
商业2.0
办公2.0</t>
    <phoneticPr fontId="227" type="noConversion"/>
  </si>
  <si>
    <t>居住Ⅷ-平1
商业Ⅷ-平1
办公Ⅷ-平1</t>
    <phoneticPr fontId="227" type="noConversion"/>
  </si>
  <si>
    <t>居住4640
商业4480
办公4410</t>
    <phoneticPr fontId="227" type="noConversion"/>
  </si>
  <si>
    <t>居住
3890-6210
商业
3970-6330
办公
3920-6060</t>
    <phoneticPr fontId="227" type="noConversion"/>
  </si>
  <si>
    <t>住宅12518
商业12518
办公12518
地下办公2592
地下仓储2592
地下车库2592
政府土地收益：
住宅3130
商业3130
办公3130
地下办公648
地下仓储648
地下车库648</t>
    <phoneticPr fontId="227" type="noConversion"/>
  </si>
  <si>
    <t>GL20190100107</t>
    <phoneticPr fontId="227" type="noConversion"/>
  </si>
  <si>
    <t>刘明</t>
    <phoneticPr fontId="227" type="noConversion"/>
  </si>
  <si>
    <r>
      <t>2</t>
    </r>
    <r>
      <rPr>
        <sz val="14"/>
        <color indexed="8"/>
        <rFont val="宋体"/>
        <family val="3"/>
        <charset val="134"/>
      </rPr>
      <t>0190404</t>
    </r>
    <phoneticPr fontId="227" type="noConversion"/>
  </si>
  <si>
    <t>刘旸</t>
    <phoneticPr fontId="227" type="noConversion"/>
  </si>
  <si>
    <t>通州区潞城镇棚户区改造土地开发项目BCD区后北营东侧二期和西北角地块</t>
  </si>
  <si>
    <t>住宅、商业（配套）、办公（公共服务设施）、地下办公（公共服务设施）、地下车库、地下仓储</t>
  </si>
  <si>
    <t>商业2.0
办公2.0
居住1.5</t>
  </si>
  <si>
    <t>商业Ⅷ-通1
办公Ⅷ-通1
居住Ⅷ-通1</t>
  </si>
  <si>
    <t>商业5280
办公5250
居住5520</t>
  </si>
  <si>
    <t>商业3970-6330
办公3920-6260
居住3890-6210</t>
  </si>
  <si>
    <t>住宅15051
商业（配套）10458
办公（公共服务设施）10375
地下办公（公共服务设施）2134
地下车库2297
地下仓储3063
政府土地收益：
住宅3763
商业（配套）2615
办公（公共服务设施）2594
地下办公（公共服务设施）534
地下车库574
地下仓储766</t>
  </si>
  <si>
    <t>北京市轻轨L2线通州段两站一街新增定向安置房项目</t>
    <phoneticPr fontId="227" type="noConversion"/>
  </si>
  <si>
    <t>通州区轻轨L2线通州段两站一街新增定向安置房</t>
    <phoneticPr fontId="227" type="noConversion"/>
  </si>
  <si>
    <t>昌平区北七家镇沟自头村定向安置房项目</t>
    <phoneticPr fontId="227" type="noConversion"/>
  </si>
  <si>
    <t>昌平区北七家镇沟自头村</t>
    <phoneticPr fontId="227" type="noConversion"/>
  </si>
  <si>
    <t>三定三限</t>
    <phoneticPr fontId="227" type="noConversion"/>
  </si>
  <si>
    <t>住宅
商业（配套）
办公（公共服务设施）
地下车库</t>
    <phoneticPr fontId="227" type="noConversion"/>
  </si>
  <si>
    <t>396734.18(住宅379357.07，商业5135，办公12242.11)</t>
    <phoneticPr fontId="227" type="noConversion"/>
  </si>
  <si>
    <t>515026.21（地下车库54034.44）</t>
    <phoneticPr fontId="227" type="noConversion"/>
  </si>
  <si>
    <t>居住1.5
商业2.0
办公2.0</t>
  </si>
  <si>
    <t>商业Ⅷ-亦1
办公Ⅷ-亦1
居住Ⅷ-亦1</t>
    <phoneticPr fontId="227" type="noConversion"/>
  </si>
  <si>
    <t>商业5590
办公5540
居住5810</t>
    <phoneticPr fontId="227" type="noConversion"/>
  </si>
  <si>
    <t>商业3970-6330
办公3920-6260
居住3890-6210</t>
    <phoneticPr fontId="227" type="noConversion"/>
  </si>
  <si>
    <t>住宅、商业（配套）、办公（公共服务设施）、地下车库、地下仓储</t>
  </si>
  <si>
    <r>
      <t>25150（住宅23906，商业（配套）70，办公（公共服务设施）1174</t>
    </r>
    <r>
      <rPr>
        <sz val="14"/>
        <color indexed="8"/>
        <rFont val="宋体"/>
        <family val="3"/>
        <charset val="134"/>
      </rPr>
      <t>）</t>
    </r>
  </si>
  <si>
    <r>
      <t>37164</t>
    </r>
    <r>
      <rPr>
        <sz val="14"/>
        <color indexed="8"/>
        <rFont val="宋体"/>
        <family val="3"/>
        <charset val="134"/>
      </rPr>
      <t>（其中地下</t>
    </r>
    <r>
      <rPr>
        <sz val="14"/>
        <color indexed="8"/>
        <rFont val="宋体"/>
        <family val="3"/>
        <charset val="134"/>
      </rPr>
      <t>12014</t>
    </r>
    <r>
      <rPr>
        <sz val="14"/>
        <color indexed="8"/>
        <rFont val="宋体"/>
        <family val="3"/>
        <charset val="134"/>
      </rPr>
      <t>，地下车库</t>
    </r>
    <r>
      <rPr>
        <sz val="14"/>
        <color indexed="8"/>
        <rFont val="宋体"/>
        <family val="3"/>
        <charset val="134"/>
      </rPr>
      <t>9833，地下仓储2181</t>
    </r>
    <r>
      <rPr>
        <sz val="14"/>
        <color indexed="8"/>
        <rFont val="宋体"/>
        <family val="3"/>
        <charset val="134"/>
      </rPr>
      <t>）</t>
    </r>
  </si>
  <si>
    <t>商业Ⅶ-昌5
办公Ⅶ-昌5
居住Ⅶ-昌5</t>
  </si>
  <si>
    <t>商业6960
办公6930
居住7570</t>
  </si>
  <si>
    <t>商业5940-8900
办公5880-8820
居住5840-8760</t>
  </si>
  <si>
    <t>住宅17443
商业（配套）17023
办公（公共服务设施）14381
地下车库2646
政府土地收益：
住宅4361
商业（配套）4256
办公（公共服务设施）3595
地下车库662</t>
    <phoneticPr fontId="227" type="noConversion"/>
  </si>
  <si>
    <t>住宅15412
商业（配套）12109
办公（公共服务设施）11719
地下车库2865
地下仓储3581
政府土地收益：
住宅5705
商业（配套）3028
办公（公共服务设施）3150
地下车库717
地下仓储896</t>
    <phoneticPr fontId="227" type="noConversion"/>
  </si>
  <si>
    <t>房山区轨道交通北广阳城定向安置房</t>
  </si>
  <si>
    <t>房山区长阳镇北广阳城村</t>
  </si>
  <si>
    <r>
      <t>37172.12
（住宅35430.74</t>
    </r>
    <r>
      <rPr>
        <sz val="14"/>
        <color indexed="8"/>
        <rFont val="宋体"/>
        <family val="3"/>
        <charset val="134"/>
      </rPr>
      <t>、商业（配套）</t>
    </r>
    <r>
      <rPr>
        <sz val="14"/>
        <color indexed="8"/>
        <rFont val="宋体"/>
        <family val="3"/>
        <charset val="134"/>
      </rPr>
      <t>676.88</t>
    </r>
    <r>
      <rPr>
        <sz val="14"/>
        <color indexed="8"/>
        <rFont val="宋体"/>
        <family val="3"/>
        <charset val="134"/>
      </rPr>
      <t>、办公（公共服务设施）</t>
    </r>
    <r>
      <rPr>
        <sz val="14"/>
        <color indexed="8"/>
        <rFont val="宋体"/>
        <family val="3"/>
        <charset val="134"/>
      </rPr>
      <t>1064.5</t>
    </r>
    <r>
      <rPr>
        <sz val="14"/>
        <color indexed="8"/>
        <rFont val="宋体"/>
        <family val="3"/>
        <charset val="134"/>
      </rPr>
      <t>）</t>
    </r>
  </si>
  <si>
    <r>
      <t>44511.63
（地下仓储238.76、</t>
    </r>
    <r>
      <rPr>
        <sz val="14"/>
        <color indexed="8"/>
        <rFont val="宋体"/>
        <family val="3"/>
        <charset val="134"/>
      </rPr>
      <t>人防</t>
    </r>
    <r>
      <rPr>
        <sz val="14"/>
        <color indexed="8"/>
        <rFont val="宋体"/>
        <family val="3"/>
        <charset val="134"/>
      </rPr>
      <t>6441.49</t>
    </r>
    <r>
      <rPr>
        <sz val="14"/>
        <color indexed="8"/>
        <rFont val="宋体"/>
        <family val="3"/>
        <charset val="134"/>
      </rPr>
      <t>、设备用房</t>
    </r>
    <r>
      <rPr>
        <sz val="14"/>
        <color indexed="8"/>
        <rFont val="宋体"/>
        <family val="3"/>
        <charset val="134"/>
      </rPr>
      <t>659.26</t>
    </r>
    <r>
      <rPr>
        <sz val="14"/>
        <color indexed="8"/>
        <rFont val="宋体"/>
        <family val="3"/>
        <charset val="134"/>
      </rPr>
      <t>）</t>
    </r>
  </si>
  <si>
    <r>
      <t>居住2</t>
    </r>
    <r>
      <rPr>
        <sz val="14"/>
        <color indexed="8"/>
        <rFont val="宋体"/>
        <family val="3"/>
        <charset val="134"/>
      </rPr>
      <t xml:space="preserve">.5
</t>
    </r>
    <r>
      <rPr>
        <sz val="14"/>
        <color indexed="8"/>
        <rFont val="宋体"/>
        <family val="3"/>
        <charset val="134"/>
      </rPr>
      <t>商业2.5
办公2.5</t>
    </r>
  </si>
  <si>
    <t>居住Ⅶ-房1
商业Ⅶ-房1
办公Ⅶ-房1</t>
  </si>
  <si>
    <t>居住7320
商业7210
办公7170</t>
  </si>
  <si>
    <t>居住
5840-8760
商业
5940-8900
办公
5880-8820</t>
  </si>
  <si>
    <r>
      <t>住宅1</t>
    </r>
    <r>
      <rPr>
        <sz val="14"/>
        <color indexed="8"/>
        <rFont val="宋体"/>
        <family val="3"/>
        <charset val="134"/>
      </rPr>
      <t>9690
商业（配套）14371
办公（公共服务设施）13377
地下仓储4116</t>
    </r>
  </si>
  <si>
    <t>住宅4918
商业（配套）3593
办公（公共服务设施）3344
地下仓储1029</t>
  </si>
  <si>
    <t>剩余法
住宅15600
商业（配套）14375
办公（公共服务设施）13490
地下仓储3900</t>
  </si>
  <si>
    <t>住宅3900
商业（配套）3594
办公（公共服务设施）3373
地下仓储975</t>
  </si>
  <si>
    <t>住宅16821
商业（配套）14373
办公（公共服务设施）13434
地下仓储4008</t>
  </si>
  <si>
    <t>住宅4205
商业（配套）3593
办公（公共服务设施）3359
地下仓储1002
建议：
住宅12466
商业（配套）8597
办公（公共服务设施）7728
地下仓储1002</t>
  </si>
  <si>
    <t>住宅16821
商业（配套）14373
办公（公共服务设施）13434
地下仓储4008
政府土地收益：
住宅12466
商业（配套）8597
办公（公共服务设施）7728
地下仓储1002</t>
  </si>
  <si>
    <t>房山区南广阳城村定向安置房</t>
  </si>
  <si>
    <r>
      <t>房山区轨道交通房山线理工大学站联储1</t>
    </r>
    <r>
      <rPr>
        <sz val="14"/>
        <color indexed="8"/>
        <rFont val="宋体"/>
        <family val="3"/>
        <charset val="134"/>
      </rPr>
      <t>-10号地一级开发项目1号地范围内</t>
    </r>
  </si>
  <si>
    <r>
      <t>居住Ⅶ-房</t>
    </r>
    <r>
      <rPr>
        <sz val="14"/>
        <color indexed="8"/>
        <rFont val="宋体"/>
        <family val="3"/>
        <charset val="134"/>
      </rPr>
      <t>1</t>
    </r>
  </si>
  <si>
    <t>居住7320</t>
  </si>
  <si>
    <r>
      <t>5</t>
    </r>
    <r>
      <rPr>
        <sz val="14"/>
        <color indexed="8"/>
        <rFont val="宋体"/>
        <family val="3"/>
        <charset val="134"/>
      </rPr>
      <t>840-8760</t>
    </r>
  </si>
  <si>
    <r>
      <t>剩余法
1</t>
    </r>
    <r>
      <rPr>
        <sz val="14"/>
        <color indexed="8"/>
        <rFont val="宋体"/>
        <family val="3"/>
        <charset val="134"/>
      </rPr>
      <t>4142</t>
    </r>
  </si>
  <si>
    <r>
      <t>3530
建议</t>
    </r>
    <r>
      <rPr>
        <sz val="14"/>
        <color indexed="8"/>
        <rFont val="宋体"/>
        <family val="3"/>
        <charset val="134"/>
      </rPr>
      <t>9294</t>
    </r>
  </si>
  <si>
    <t>14119
政府土地收益：
住宅9294</t>
  </si>
  <si>
    <t>门头沟站货场铁路职工住房项目</t>
  </si>
  <si>
    <t>门头沟区龙泉镇城子大街西侧</t>
  </si>
  <si>
    <t>协议供地方案</t>
  </si>
  <si>
    <t>住宅
商业（配套）
办公（公共服务设施）
地下车库
地下仓储</t>
  </si>
  <si>
    <r>
      <t>147582（住宅</t>
    </r>
    <r>
      <rPr>
        <sz val="14"/>
        <color indexed="8"/>
        <rFont val="宋体"/>
        <family val="3"/>
        <charset val="134"/>
      </rPr>
      <t>144422，商业（配套）2280，办公（公共服务设施）880</t>
    </r>
    <r>
      <rPr>
        <sz val="14"/>
        <color indexed="8"/>
        <rFont val="宋体"/>
        <family val="3"/>
        <charset val="134"/>
      </rPr>
      <t>）</t>
    </r>
  </si>
  <si>
    <r>
      <t>238777.14（其中地下总91155.14，地下仓储29906.84，地下车库61288.3</t>
    </r>
    <r>
      <rPr>
        <sz val="14"/>
        <color indexed="8"/>
        <rFont val="宋体"/>
        <family val="3"/>
        <charset val="134"/>
      </rPr>
      <t>）</t>
    </r>
  </si>
  <si>
    <t>居住Ⅷ-门1
商业Ⅷ-门1
办公Ⅷ-门1</t>
  </si>
  <si>
    <r>
      <t>居住6</t>
    </r>
    <r>
      <rPr>
        <sz val="14"/>
        <rFont val="宋体"/>
        <family val="3"/>
        <charset val="134"/>
      </rPr>
      <t>010</t>
    </r>
    <r>
      <rPr>
        <sz val="14"/>
        <rFont val="宋体"/>
        <family val="3"/>
        <charset val="134"/>
      </rPr>
      <t xml:space="preserve">
商业</t>
    </r>
    <r>
      <rPr>
        <sz val="14"/>
        <rFont val="宋体"/>
        <family val="3"/>
        <charset val="134"/>
      </rPr>
      <t>5760</t>
    </r>
    <r>
      <rPr>
        <sz val="14"/>
        <rFont val="宋体"/>
        <family val="3"/>
        <charset val="134"/>
      </rPr>
      <t xml:space="preserve">
办公</t>
    </r>
    <r>
      <rPr>
        <sz val="14"/>
        <rFont val="宋体"/>
        <family val="3"/>
        <charset val="134"/>
      </rPr>
      <t>5710</t>
    </r>
  </si>
  <si>
    <t>居住3890-6210
商业3970-6330
办公3920-6260</t>
  </si>
  <si>
    <t>住宅9811
商业（配套）7050
办公（公共服务设施）7220
地下车库1579
地下仓储2105</t>
  </si>
  <si>
    <r>
      <t>住宅2</t>
    </r>
    <r>
      <rPr>
        <sz val="14"/>
        <color indexed="8"/>
        <rFont val="宋体"/>
        <family val="3"/>
        <charset val="134"/>
      </rPr>
      <t>453</t>
    </r>
    <r>
      <rPr>
        <sz val="14"/>
        <color indexed="8"/>
        <rFont val="宋体"/>
        <family val="3"/>
        <charset val="134"/>
      </rPr>
      <t xml:space="preserve">
商业（配套）</t>
    </r>
    <r>
      <rPr>
        <sz val="14"/>
        <color indexed="8"/>
        <rFont val="宋体"/>
        <family val="3"/>
        <charset val="134"/>
      </rPr>
      <t>1763</t>
    </r>
    <r>
      <rPr>
        <sz val="14"/>
        <color indexed="8"/>
        <rFont val="宋体"/>
        <family val="3"/>
        <charset val="134"/>
      </rPr>
      <t xml:space="preserve">
办公（公共服务设施）</t>
    </r>
    <r>
      <rPr>
        <sz val="14"/>
        <color indexed="8"/>
        <rFont val="宋体"/>
        <family val="3"/>
        <charset val="134"/>
      </rPr>
      <t>1805</t>
    </r>
    <r>
      <rPr>
        <sz val="14"/>
        <color indexed="8"/>
        <rFont val="宋体"/>
        <family val="3"/>
        <charset val="134"/>
      </rPr>
      <t xml:space="preserve">
地下车库</t>
    </r>
    <r>
      <rPr>
        <sz val="14"/>
        <color indexed="8"/>
        <rFont val="宋体"/>
        <family val="3"/>
        <charset val="134"/>
      </rPr>
      <t>395</t>
    </r>
    <r>
      <rPr>
        <sz val="14"/>
        <color indexed="8"/>
        <rFont val="宋体"/>
        <family val="3"/>
        <charset val="134"/>
      </rPr>
      <t xml:space="preserve">
地下仓储</t>
    </r>
    <r>
      <rPr>
        <sz val="14"/>
        <color indexed="8"/>
        <rFont val="宋体"/>
        <family val="3"/>
        <charset val="134"/>
      </rPr>
      <t>526</t>
    </r>
  </si>
  <si>
    <t>剩余法:
住宅11508
商业（配套）15209
办公（公共服务设施）11296
地下车库2105
地下仓储2302</t>
  </si>
  <si>
    <r>
      <t>住宅2</t>
    </r>
    <r>
      <rPr>
        <sz val="14"/>
        <color indexed="8"/>
        <rFont val="宋体"/>
        <family val="3"/>
        <charset val="134"/>
      </rPr>
      <t>877</t>
    </r>
    <r>
      <rPr>
        <sz val="14"/>
        <color indexed="8"/>
        <rFont val="宋体"/>
        <family val="3"/>
        <charset val="134"/>
      </rPr>
      <t xml:space="preserve">
商业（配套）</t>
    </r>
    <r>
      <rPr>
        <sz val="14"/>
        <color indexed="8"/>
        <rFont val="宋体"/>
        <family val="3"/>
        <charset val="134"/>
      </rPr>
      <t>3802</t>
    </r>
    <r>
      <rPr>
        <sz val="14"/>
        <color indexed="8"/>
        <rFont val="宋体"/>
        <family val="3"/>
        <charset val="134"/>
      </rPr>
      <t xml:space="preserve">
办公（公共服务设施）</t>
    </r>
    <r>
      <rPr>
        <sz val="14"/>
        <color indexed="8"/>
        <rFont val="宋体"/>
        <family val="3"/>
        <charset val="134"/>
      </rPr>
      <t>2824</t>
    </r>
    <r>
      <rPr>
        <sz val="14"/>
        <color indexed="8"/>
        <rFont val="宋体"/>
        <family val="3"/>
        <charset val="134"/>
      </rPr>
      <t xml:space="preserve">
地下车库</t>
    </r>
    <r>
      <rPr>
        <sz val="14"/>
        <color indexed="8"/>
        <rFont val="宋体"/>
        <family val="3"/>
        <charset val="134"/>
      </rPr>
      <t>432</t>
    </r>
    <r>
      <rPr>
        <sz val="14"/>
        <color indexed="8"/>
        <rFont val="宋体"/>
        <family val="3"/>
        <charset val="134"/>
      </rPr>
      <t xml:space="preserve">
地下仓储</t>
    </r>
    <r>
      <rPr>
        <sz val="14"/>
        <color indexed="8"/>
        <rFont val="宋体"/>
        <family val="3"/>
        <charset val="134"/>
      </rPr>
      <t>576</t>
    </r>
  </si>
  <si>
    <t>住宅10660
商业（配套）12761
办公（公共服务设施）9258
地下车库1653
地下仓储2204</t>
  </si>
  <si>
    <t>住宅2665
商业（配套）3190
办公（公共服务设施）2315
地下车库413
地下仓储551</t>
  </si>
  <si>
    <t>住宅10660
商业（配套）12761
办公（公共服务设施）9258
地下车库1653
地下仓储2204
政府土地收益：
住宅2665
商业（配套）3190
办公（公共服务设施）2315
地下车库413
地下仓储551</t>
  </si>
  <si>
    <t>轨道交通房山线（长阳段）高佃一村定向安置房项目</t>
  </si>
  <si>
    <t>房山区长阳镇高佃一村</t>
  </si>
  <si>
    <t>住宅
商业（配套）
办公（公共服务设施）
地下办公（公共服务设施）
地下车库
地下仓储</t>
  </si>
  <si>
    <t>60274.62（其中住宅56026.11，商业（配套2550.64，办公（公共服务设施）1697.87）</t>
  </si>
  <si>
    <t>68366.48（其中地下总8091.68，地下办公（公共服务设施）293.55、地下车库5962.68、地下仓储1835.63）</t>
  </si>
  <si>
    <r>
      <t>居住Ⅶ-房</t>
    </r>
    <r>
      <rPr>
        <sz val="14"/>
        <rFont val="宋体"/>
        <family val="3"/>
        <charset val="134"/>
      </rPr>
      <t>2</t>
    </r>
    <r>
      <rPr>
        <sz val="14"/>
        <rFont val="宋体"/>
        <family val="3"/>
        <charset val="134"/>
      </rPr>
      <t xml:space="preserve">
商业Ⅶ-房</t>
    </r>
    <r>
      <rPr>
        <sz val="14"/>
        <rFont val="宋体"/>
        <family val="3"/>
        <charset val="134"/>
      </rPr>
      <t>2</t>
    </r>
    <r>
      <rPr>
        <sz val="14"/>
        <rFont val="宋体"/>
        <family val="3"/>
        <charset val="134"/>
      </rPr>
      <t xml:space="preserve">
办公Ⅶ-房</t>
    </r>
    <r>
      <rPr>
        <sz val="14"/>
        <rFont val="宋体"/>
        <family val="3"/>
        <charset val="134"/>
      </rPr>
      <t>2</t>
    </r>
  </si>
  <si>
    <t>居住7440
商业6860
办公6810</t>
  </si>
  <si>
    <t>住宅15002
商业（配套）10391
办公（公共服务设施）10285
地下办公（公共服务设施）2396
地下车库2572
地下仓储3215</t>
  </si>
  <si>
    <t>住宅3751
商业（配套）2598
办公（公共服务设施）2571
地下办公（公共服务设施）599
地下车库643
地下仓储804</t>
  </si>
  <si>
    <t>剩余法:      住宅20196
商业（配套）18588
办公（公共服务设施）11955
地下办公（公共服务设施）2989
地下车库4039
地下仓储5049</t>
  </si>
  <si>
    <t>住宅5049
商业（配套）4647
办公（公共服务设施）2989
地下办公（公共服务设施）747
地下车库1010
地下仓储1262</t>
  </si>
  <si>
    <t>住宅18638
商业（配套）16129
办公（公共服务设施）11454
地下办公（公共服务设施）2811
地下车库3599
地下仓储4499</t>
  </si>
  <si>
    <t xml:space="preserve">住宅4660
商业（配套）4032
办公（公共服务设施）2864
地下办公（公共服务设施）703
地下车库900
地下仓储1125
报告建议：
住宅9701
商业（配套）6927
办公（公共服务设施）6809
</t>
  </si>
  <si>
    <t>住宅18638
商业（配套）16129
办公（公共服务设施）11454
地下办公（公共服务设施）2811
地下车库3599
地下仓储4499
政府土地收益：
住宅9701
商业（配套）6927
办公（公共服务设施）6809
地下办公（公共服务设施）703
地下车库900
地下仓储1125</t>
  </si>
  <si>
    <t>轨道交通房山线（长阳段）高佃四村定向安置房项目</t>
  </si>
  <si>
    <t>房山区长阳镇高佃四村</t>
  </si>
  <si>
    <t>65557.14(其中地上总65557.14住宅60705.17，商业（配套）3144.22，办公（公共服务设施）1707.75)</t>
  </si>
  <si>
    <t>76036.88（其中地下总10494.74，地下办公（公共服务设施）256.95、地下车库6190.84、地下仓储4031.95）</t>
  </si>
  <si>
    <t>住宅13463
商业（配套）10263
办公（公共服务设施）10191
地下办公（公共服务设施）2365
地下车库2540
地下仓储3175</t>
  </si>
  <si>
    <r>
      <t>住宅3</t>
    </r>
    <r>
      <rPr>
        <sz val="14"/>
        <color indexed="8"/>
        <rFont val="宋体"/>
        <family val="3"/>
        <charset val="134"/>
      </rPr>
      <t>366</t>
    </r>
    <r>
      <rPr>
        <sz val="14"/>
        <color indexed="8"/>
        <rFont val="宋体"/>
        <family val="3"/>
        <charset val="134"/>
      </rPr>
      <t xml:space="preserve">
商业（配套）2566
办公（公共服务设施）2548
地下办公（公共服务设施）591
地下车库635
地下仓储794</t>
    </r>
  </si>
  <si>
    <t>剩余法:      住宅19902
商业（配套）17986
办公（公共服务设施）12138
地下办公（公共服务设施）3035
地下车库3980
地下仓储4976</t>
  </si>
  <si>
    <t>住宅4976
商业（配套）4497
办公（公共服务设施）3035
地下办公（公共服务设施）759
地下车库995
地下仓储1244</t>
  </si>
  <si>
    <t>住宅17970
商业（配套）15669
办公（公共服务设施）11543
地下办公（公共服务设施）2834
地下车库3548
地下仓储4436</t>
    <phoneticPr fontId="227" type="noConversion"/>
  </si>
  <si>
    <t>住宅4493
商业（配套）3918
办公（公共服务设施）2886
地下办公（公共服务设施）709
地下车库887
地下仓储1109
报告建议：
住宅7911
商业（配套）6234
办公（公共服务设施）6114</t>
    <phoneticPr fontId="227" type="noConversion"/>
  </si>
  <si>
    <t>住宅17970
商业（配套）15669
办公（公共服务设施）11543
地下办公（公共服务设施）2834
地下车库3548
地下仓储4436
政府土地收益：
住宅7911
商业（配套）6234
办公（公共服务设施）6114
地下办公（公共服务设施）709
地下车库887
地下仓储1109</t>
    <phoneticPr fontId="227" type="noConversion"/>
  </si>
  <si>
    <t>北京顺奥投资中心民生花园（西区）项目</t>
  </si>
  <si>
    <t>顺义区马坡镇</t>
  </si>
  <si>
    <t>历史遗留</t>
  </si>
  <si>
    <t>住宅
商业
地下车库
地下仓储</t>
  </si>
  <si>
    <t xml:space="preserve">
107287.44（其中住宅103387.44，商业3900）</t>
  </si>
  <si>
    <t>129302.44（地下22015，其中地下车库4000，地下仓储9500，非经营性用途8515）</t>
  </si>
  <si>
    <t>居住1
商业1</t>
  </si>
  <si>
    <t>土地级别
居住七级
商业七级</t>
  </si>
  <si>
    <t>居住
630-1080
商业
1150-1980</t>
  </si>
  <si>
    <t>居住4924
商业3661</t>
  </si>
  <si>
    <t>剩余法:
居住8334
商业3757
市场法：
居住7976</t>
  </si>
  <si>
    <t>住宅7168
商业3719
地下仓储2389
地下车库2389</t>
  </si>
  <si>
    <t>土地开发成本59088.0525万元</t>
  </si>
  <si>
    <t>住宅7168
商业3719
地下仓储2389
地下车库2389
熟地总价78783.6770万元</t>
  </si>
  <si>
    <t>北京通州文化旅游区10片区“三定三限三结合”农民安置房项目</t>
  </si>
  <si>
    <t>通州区梨园镇曹园村</t>
  </si>
  <si>
    <t>348539.53
（住宅331253.53，商业（配套）4278，办公（公共服务设施）13008）</t>
  </si>
  <si>
    <t>447397.87
（地下总98858.34，地下车库28734，地下仓储1154，自行车库17699，设备用房9235.34，人防42036）</t>
  </si>
  <si>
    <t>居住Ⅷ-通1
商业Ⅷ-通1
办公Ⅷ-通1</t>
  </si>
  <si>
    <t>居住5520
商业5280
办公5250</t>
  </si>
  <si>
    <t>住宅11356
商业（配套）7942
办公（公共服务设施）7740
地下车库1825
地下仓储2433</t>
  </si>
  <si>
    <t>住宅2839
商业（配套）1986
办公（公共服务设施）1935
地下车库456
地下仓储608</t>
  </si>
  <si>
    <t>剩余法：
住宅19109
商业（配套）15172
办公（公共服务设施）12106
地下车库2866
地下仓储3822</t>
  </si>
  <si>
    <t>住宅4777
商业（配套）3793
办公（公共服务设施）3027
地下车库717
地下仓储956</t>
  </si>
  <si>
    <t>住宅16008
商业（配套）12280
办公（公共服务设施）10360
地下车库2241
地下仓储2989</t>
  </si>
  <si>
    <t>住宅4002
商业（配套）3070
办公（公共服务设施）2590
地下车库560
地下仓储747</t>
  </si>
  <si>
    <t xml:space="preserve">住宅16008
商业（配套）12280
办公（公共服务设施）10360
地下车库2241
地下仓储2989
政府土地收益：
住宅4002
商业（配套）3070
办公（公共服务设施）2590
地下车库560
地下仓储747
</t>
  </si>
  <si>
    <t>后北营西南角及东侧地块安置房（三定三限）</t>
  </si>
  <si>
    <t>通州区潞城镇棚户区改造土地开发项目A区</t>
  </si>
  <si>
    <t>住宅
商业（配套）
办公（公共服务设施）地下车库
地下仓储</t>
  </si>
  <si>
    <t>171396.78（住宅163024.84，商业（配套）522，办公（公共服务设施）7849.94）</t>
  </si>
  <si>
    <t>225766.03(地下54369.25，其中地下车库40766.18，地下仓储13603.07)</t>
  </si>
  <si>
    <t>40%
住宅9200
商业（配套）6525
办公（公共服务设施）7123
地下车库1487
地下仓储1983</t>
  </si>
  <si>
    <t>住宅2300
商业（配套）1631
办公（公共服务设施）1781
地下车库372
地下仓储496</t>
  </si>
  <si>
    <t>60%剩余法：
住宅19419
商业（配套）16821
办公（公共服务设施）14849
地下车库2913
地下仓储3884</t>
  </si>
  <si>
    <t>住宅4855
商业（配套）4205
办公（公共服务设施）3712
地下车库728
地下仓储971</t>
  </si>
  <si>
    <t>住宅15331
商业（配套）12703
办公（公共服务设施）11759
地下车库2343
地下仓储3124</t>
  </si>
  <si>
    <t>住宅3833
商业（配套）3176
办公（公共服务设施）2940
地下车库586
地下仓储781</t>
  </si>
  <si>
    <t>住宅15331
商业（配套）12703
办公（公共服务设施）11759
地下车库2343
地下仓储3124
政府土地收益：
住宅3833
商业（配套）3176
办公（公共服务设施）2940
地下车库586
地下仓储781</t>
  </si>
  <si>
    <t>顺义区后沙峪镇马头庄村定向安置房项目（三定三限）</t>
  </si>
  <si>
    <t>顺义区后沙峪镇马头庄村</t>
  </si>
  <si>
    <t>住宅
商业（配套）
办公（公共服务设施）
地下商业（配套）
地下车库
地下仓储</t>
  </si>
  <si>
    <r>
      <t>104940（住宅</t>
    </r>
    <r>
      <rPr>
        <sz val="14"/>
        <color indexed="8"/>
        <rFont val="宋体"/>
        <family val="3"/>
        <charset val="134"/>
      </rPr>
      <t>100590，商业（配套）785，办公（公共服务设施）3565</t>
    </r>
    <r>
      <rPr>
        <sz val="14"/>
        <color indexed="8"/>
        <rFont val="宋体"/>
        <family val="3"/>
        <charset val="134"/>
      </rPr>
      <t>）</t>
    </r>
  </si>
  <si>
    <r>
      <t>150624
地下45684（地下商业（配套）630，地下车库34823，地下仓储10231</t>
    </r>
    <r>
      <rPr>
        <sz val="14"/>
        <color indexed="8"/>
        <rFont val="宋体"/>
        <family val="3"/>
        <charset val="134"/>
      </rPr>
      <t>）</t>
    </r>
  </si>
  <si>
    <t>商业Ⅶ-顺2
办公Ⅶ-顺2
居住Ⅶ-顺2</t>
  </si>
  <si>
    <t>商业7620
办公7570
居住7990</t>
  </si>
  <si>
    <t>40%
住宅17071
商业（配套）12296
办公（公共服务设施）11870
地下商业（配套）7614
地下车库2851
地下仓储3563</t>
  </si>
  <si>
    <t>住宅4268
商业（配套）3074
办公（公共服务设施）2968
地下商业（配套）1904
地下车库713
地下仓储891</t>
  </si>
  <si>
    <t>60%剩余法：
住宅19907
商业（配套）12826
办公（公共服务设施）11278
地下商业（配套）8978
地下车库3981
地下仓储4977</t>
  </si>
  <si>
    <t>住宅4977
商业（配套）3207
办公（公共服务设施）2820
地下商业（配套）2245
地下车库995
地下仓储1244</t>
  </si>
  <si>
    <t>住宅18773
商业（配套）12614
办公（公共服务设施）11515
地下商业（配套）8432
地下车库3529
地下仓储4411</t>
  </si>
  <si>
    <t>住宅4693
商业（配套）3154
办公（公共服务设施）2879
地下商业（配套）2108
地下车库882
地下仓储1103</t>
  </si>
  <si>
    <t>住宅18773
商业（配套）12614
办公（公共服务设施）11515
地下商业（配套）8432
地下车库3529
地下仓储4411
政府土地收益：
住宅4693
商业（配套）3154
办公（公共服务设施）2879
地下商业（配套）2108
地下车库882
地下仓储1103</t>
  </si>
  <si>
    <t>石景山区刘娘府综合改造定向安置房H区三定三限项目</t>
  </si>
  <si>
    <t>石景山区刘娘府东街</t>
  </si>
  <si>
    <t>50175.64（住宅48310.63、商业（配套）1382.15、办公（公共服务设施）482.86）</t>
  </si>
  <si>
    <t>61470.99（地下车库6721.58）</t>
  </si>
  <si>
    <t>居住2.5
商业2.5
办公2.5</t>
  </si>
  <si>
    <r>
      <t>居住Ⅵ-</t>
    </r>
    <r>
      <rPr>
        <sz val="14"/>
        <rFont val="宋体"/>
        <family val="3"/>
        <charset val="134"/>
      </rPr>
      <t>0</t>
    </r>
    <r>
      <rPr>
        <sz val="14"/>
        <rFont val="宋体"/>
        <family val="3"/>
        <charset val="134"/>
      </rPr>
      <t>7
商业Ⅵ-</t>
    </r>
    <r>
      <rPr>
        <sz val="14"/>
        <rFont val="宋体"/>
        <family val="3"/>
        <charset val="134"/>
      </rPr>
      <t>0</t>
    </r>
    <r>
      <rPr>
        <sz val="14"/>
        <rFont val="宋体"/>
        <family val="3"/>
        <charset val="134"/>
      </rPr>
      <t>7
办公Ⅵ-</t>
    </r>
    <r>
      <rPr>
        <sz val="14"/>
        <rFont val="宋体"/>
        <family val="3"/>
        <charset val="134"/>
      </rPr>
      <t>0</t>
    </r>
    <r>
      <rPr>
        <sz val="14"/>
        <rFont val="宋体"/>
        <family val="3"/>
        <charset val="134"/>
      </rPr>
      <t>7</t>
    </r>
  </si>
  <si>
    <t>居住9380
商业9150
办公9120</t>
  </si>
  <si>
    <r>
      <t>8</t>
    </r>
    <r>
      <rPr>
        <sz val="14"/>
        <rFont val="宋体"/>
        <family val="3"/>
        <charset val="134"/>
      </rPr>
      <t>010-12010
8130-12190
8060-12080</t>
    </r>
  </si>
  <si>
    <t>通州区运河核心区3号地三定三限项目</t>
  </si>
  <si>
    <t>通州区潞城镇杨坨村运河3号地</t>
  </si>
  <si>
    <t>住宅
商业（配套）
办公（公共服务设施）
地下办公（公共服务设施）</t>
  </si>
  <si>
    <t>95225.51（住宅91785.51、商业（配套）1000、办公（公共服务设施）2440）</t>
  </si>
  <si>
    <t>109171.57（地下办公（公共服务设施）100）</t>
  </si>
  <si>
    <t>居住Ⅵ-通3
商业Ⅵ-通3
办公Ⅵ-通3</t>
  </si>
  <si>
    <t>居住10080
商业10160
办公10110</t>
  </si>
  <si>
    <t>通州区窑厂48号1幢\48号7幢现状城镇住宅用地</t>
  </si>
  <si>
    <t>通州区窑厂48号1幢\48号7幢</t>
  </si>
  <si>
    <t>现状补办</t>
  </si>
  <si>
    <t>城镇住宅</t>
  </si>
  <si>
    <t>居住2.5</t>
  </si>
  <si>
    <t>居住Ⅵ-通1</t>
  </si>
  <si>
    <r>
      <t>居住8010-120</t>
    </r>
    <r>
      <rPr>
        <sz val="14"/>
        <color indexed="8"/>
        <rFont val="宋体"/>
        <family val="3"/>
        <charset val="134"/>
      </rPr>
      <t>1</t>
    </r>
    <r>
      <rPr>
        <sz val="14"/>
        <color indexed="8"/>
        <rFont val="宋体"/>
        <family val="3"/>
        <charset val="134"/>
      </rPr>
      <t>0</t>
    </r>
  </si>
  <si>
    <t>剩余法：
20170
收益法：
19801</t>
  </si>
  <si>
    <t>剩余法：
5042
收益法：
4950</t>
  </si>
  <si>
    <t>20590
政府土地收益：
5148</t>
  </si>
  <si>
    <t>平谷区平谷镇四眼井胡同12号</t>
    <phoneticPr fontId="227" type="noConversion"/>
  </si>
  <si>
    <t>平谷区平谷镇四眼井胡同12号</t>
  </si>
  <si>
    <t>居住Ⅷ-平1</t>
    <phoneticPr fontId="227" type="noConversion"/>
  </si>
  <si>
    <t>居住3890-6210</t>
  </si>
  <si>
    <t>城镇住宅27404
政府土地收益：
城镇住宅6851</t>
  </si>
  <si>
    <t>2021.3.8</t>
    <phoneticPr fontId="231" type="noConversion"/>
  </si>
  <si>
    <t>平谷区府前街旧城棚户区改造（二期）一次性招标项目</t>
  </si>
  <si>
    <t>平谷区府前街旧城棚户区改造项目（二期）</t>
  </si>
  <si>
    <t>R2二类居住用地
住宅
商业
办公
地下商业
地下车库
地下仓储</t>
  </si>
  <si>
    <t>总建筑面积78305.78
（地上44943.4,住宅42185.55，商业488.62，办公2269.23；地下33362.38，地下商业279.3，地下车库18647.92，地下仓储3573.54）</t>
  </si>
  <si>
    <t>0010-0003 R2.4
0010-0006 R1.13
向阳南街甲1号 R1.78
0005-6032 R2.5</t>
  </si>
  <si>
    <t>居住Ⅷ-平1
商业Ⅷ-平1
办公Ⅷ-平1</t>
  </si>
  <si>
    <t>居住4640
商业4480
办公4410</t>
  </si>
  <si>
    <t>居住
3890-6210
商业
3970-6330
办公
3920-6060</t>
  </si>
  <si>
    <t>住宅13323
商业11692
办公11692
地下商业7076
地下仓储2727
地下车库2727
政府土地收益：
住宅3331
商业2923
办公2923
地下商业1769
地下仓储682
地下车库682</t>
  </si>
  <si>
    <t>2021.5.10</t>
    <phoneticPr fontId="231" type="noConversion"/>
  </si>
  <si>
    <t>地上</t>
  </si>
  <si>
    <t>普通住宅</t>
  </si>
  <si>
    <t>与级别开发程度不一致</t>
  </si>
  <si>
    <t>估价对象容积率</t>
  </si>
  <si>
    <t>成本分摊</t>
    <phoneticPr fontId="231" type="noConversion"/>
  </si>
  <si>
    <t>政府土地收益</t>
    <phoneticPr fontId="231" type="noConversion"/>
  </si>
  <si>
    <t>最低限基准地价</t>
    <phoneticPr fontId="231" type="noConversion"/>
  </si>
  <si>
    <t>已全部缴纳</t>
  </si>
  <si>
    <t>剩余法-待开发</t>
  </si>
  <si>
    <t>板块</t>
  </si>
  <si>
    <t>推广名称</t>
  </si>
  <si>
    <t>所属企业</t>
  </si>
  <si>
    <t>成交套数(套)</t>
  </si>
  <si>
    <t>成交面积(㎡)</t>
  </si>
  <si>
    <t>成交价格(元/㎡)</t>
  </si>
  <si>
    <t>成交金额(万元)</t>
  </si>
  <si>
    <t>套均总价(万元/套)</t>
  </si>
  <si>
    <t>套均面积(㎡/套)</t>
  </si>
  <si>
    <t>当页汇总</t>
  </si>
  <si>
    <t>海淀幸福里</t>
  </si>
  <si>
    <t>温泉</t>
  </si>
  <si>
    <t>首开股份</t>
  </si>
  <si>
    <t>京投发展·岚山</t>
  </si>
  <si>
    <t>京投发展</t>
  </si>
  <si>
    <t>山屿湖</t>
  </si>
  <si>
    <t>山屿·西山著</t>
  </si>
  <si>
    <t>国瑞置业</t>
  </si>
  <si>
    <t>首创·天阅西山</t>
  </si>
  <si>
    <t>首创天阅西山</t>
  </si>
  <si>
    <t>首创置业</t>
  </si>
  <si>
    <t>紫御香山</t>
  </si>
  <si>
    <t>世茂西山龙胤</t>
  </si>
  <si>
    <t>世茂集团</t>
  </si>
  <si>
    <t>西山锦绣府</t>
  </si>
  <si>
    <t>紫光海阔科技</t>
  </si>
  <si>
    <t>百旺杏林湾</t>
  </si>
  <si>
    <t>冠城大通百旺府</t>
  </si>
  <si>
    <t>冠城大通</t>
  </si>
  <si>
    <t>颐丰庄园</t>
  </si>
  <si>
    <t>北辰香麓</t>
  </si>
  <si>
    <t>北辰香麓;北辰香麓别墅</t>
  </si>
  <si>
    <t>北辰实业</t>
  </si>
  <si>
    <t>京投发展岚山</t>
    <phoneticPr fontId="231" type="noConversion"/>
  </si>
  <si>
    <t>山屿西山著</t>
    <phoneticPr fontId="231" type="noConversion"/>
  </si>
  <si>
    <t>西山锦绣府</t>
    <phoneticPr fontId="231" type="noConversion"/>
  </si>
  <si>
    <t>城市次干道-温泉路</t>
    <phoneticPr fontId="231" type="noConversion"/>
  </si>
  <si>
    <r>
      <rPr>
        <sz val="11"/>
        <color theme="9" tint="-0.249977111117893"/>
        <rFont val="仿宋_GB2312"/>
        <family val="3"/>
        <charset val="134"/>
      </rPr>
      <t>估价对象所在区域基础设施水平</t>
    </r>
    <r>
      <rPr>
        <sz val="11"/>
        <color theme="9" tint="-0.249977111117893"/>
        <rFont val="Microsoft YaHei UI"/>
        <family val="3"/>
        <charset val="134"/>
      </rPr>
      <t>-七通</t>
    </r>
    <phoneticPr fontId="231" type="noConversion"/>
  </si>
  <si>
    <t>宗地形状较规则，对宗地利用影响较小</t>
    <phoneticPr fontId="231" type="noConversion"/>
  </si>
  <si>
    <t>一般</t>
    <phoneticPr fontId="231" type="noConversion"/>
  </si>
  <si>
    <t>楼面熟地价</t>
  </si>
  <si>
    <t>3970～6330</t>
  </si>
  <si>
    <t>3920～6260</t>
  </si>
  <si>
    <t>3890～6210</t>
  </si>
  <si>
    <t>780～1160</t>
  </si>
  <si>
    <t>平均熟地价</t>
  </si>
  <si>
    <t>板楼</t>
    <phoneticPr fontId="231" type="noConversion"/>
  </si>
  <si>
    <t>多层板楼</t>
  </si>
  <si>
    <t>多层板楼</t>
    <phoneticPr fontId="231" type="noConversion"/>
  </si>
  <si>
    <t>塔楼</t>
    <phoneticPr fontId="231" type="noConversion"/>
  </si>
  <si>
    <t>钢混</t>
    <phoneticPr fontId="231" type="noConversion"/>
  </si>
  <si>
    <t>精装修</t>
  </si>
  <si>
    <t>精装修</t>
    <phoneticPr fontId="231" type="noConversion"/>
  </si>
  <si>
    <t>普通装修</t>
    <phoneticPr fontId="231" type="noConversion"/>
  </si>
  <si>
    <t>简单装修</t>
    <phoneticPr fontId="231" type="noConversion"/>
  </si>
  <si>
    <t>毛坯</t>
  </si>
  <si>
    <t>毛坯</t>
    <phoneticPr fontId="231" type="noConversion"/>
  </si>
  <si>
    <t>专业物业管理</t>
  </si>
  <si>
    <t>专业物业管理</t>
    <phoneticPr fontId="231" type="noConversion"/>
  </si>
  <si>
    <t>一般物业管理</t>
    <phoneticPr fontId="231" type="noConversion"/>
  </si>
  <si>
    <t>高层板楼</t>
  </si>
  <si>
    <t>高层板楼</t>
    <phoneticPr fontId="231" type="noConversion"/>
  </si>
  <si>
    <t>估价对象所在区域基础设施水平-七通</t>
  </si>
  <si>
    <r>
      <rPr>
        <sz val="11"/>
        <rFont val="微软雅黑"/>
        <family val="2"/>
        <charset val="134"/>
      </rPr>
      <t>估价对象周边有专</t>
    </r>
    <r>
      <rPr>
        <sz val="11"/>
        <rFont val="Arial"/>
        <family val="2"/>
      </rPr>
      <t>16</t>
    </r>
    <r>
      <rPr>
        <sz val="11"/>
        <rFont val="微软雅黑"/>
        <family val="2"/>
        <charset val="134"/>
      </rPr>
      <t>路、专99路、</t>
    </r>
    <r>
      <rPr>
        <sz val="11"/>
        <rFont val="Arial"/>
        <family val="2"/>
      </rPr>
      <t>346</t>
    </r>
    <r>
      <rPr>
        <sz val="11"/>
        <rFont val="微软雅黑"/>
        <family val="2"/>
        <charset val="134"/>
      </rPr>
      <t>路、</t>
    </r>
    <r>
      <rPr>
        <sz val="11"/>
        <rFont val="Arial"/>
        <family val="2"/>
      </rPr>
      <t>544</t>
    </r>
    <r>
      <rPr>
        <sz val="11"/>
        <rFont val="微软雅黑"/>
        <family val="2"/>
        <charset val="134"/>
      </rPr>
      <t>路等公交车经过，距离地铁16号线北安河站100米，道路状况较好、停车便捷程度一般，综合评价交通便捷度较好</t>
    </r>
    <phoneticPr fontId="231" type="noConversion"/>
  </si>
  <si>
    <t>银行：北京农商银行；
学校：海淀区北安河中心小学、北京市第四十七中、首都体育学院凤凰岭校区；
超市：世纪华联、兴盛超市；
医院：北安河社区服务中心
综合分析估价对象公共配套设施一般</t>
    <phoneticPr fontId="231" type="noConversion"/>
  </si>
  <si>
    <t>区域自然环境：海淀区集体生态林景观林；
人文环境：北京会文阁艺术馆；
综合评价环境状况较好</t>
    <phoneticPr fontId="231" type="noConversion"/>
  </si>
  <si>
    <t>城市主干道-北清路</t>
    <phoneticPr fontId="231" type="noConversion"/>
  </si>
  <si>
    <t>银行：北京农商银行、中国邮政储蓄银行、中国农业银行；
学校：北京中法实验学校、和平小学、永丰实验学校、永丰中心小学、北京一零一中温泉校区；
超市：世纪华联、超市发；
医院：温泉镇社区卫生服务中心
综合分析估价对象公共配套设施较好</t>
    <phoneticPr fontId="231" type="noConversion"/>
  </si>
  <si>
    <t>估价对象周边有346路、448路、518路、651路、908路等公交车经过，道路状况较好、停车便捷程度一般，综合评价交通便捷度一般</t>
    <phoneticPr fontId="231" type="noConversion"/>
  </si>
  <si>
    <t>估价对象周边有安河家园一里、安河家园二里、安河家园七里等小区，居住用地比例、居住小区规模一般，综合评价居住社区成熟度一般</t>
    <phoneticPr fontId="231" type="noConversion"/>
  </si>
  <si>
    <t>区域自然环境：画眉山雨水湿地公园；
人文环境：无；
综合评价环境状况一般</t>
    <phoneticPr fontId="231" type="noConversion"/>
  </si>
  <si>
    <t>估价对象周边有水岸家园、颐阳山水居、西山林语等小区，居住用地比例、居住小区规模较大，综合评价居住社区成熟度较好</t>
    <phoneticPr fontId="231" type="noConversion"/>
  </si>
  <si>
    <t>区域自然环境：百旺公园、天澄湖；
人文环境：无；
综合评价环境状况一般</t>
    <phoneticPr fontId="231" type="noConversion"/>
  </si>
  <si>
    <t>城市次干道-翠湖东路</t>
    <phoneticPr fontId="231" type="noConversion"/>
  </si>
  <si>
    <r>
      <t>城市次干道</t>
    </r>
    <r>
      <rPr>
        <sz val="11"/>
        <color indexed="8"/>
        <rFont val="Arial"/>
        <family val="2"/>
      </rPr>
      <t>-</t>
    </r>
    <r>
      <rPr>
        <sz val="11"/>
        <color indexed="8"/>
        <rFont val="宋体"/>
        <family val="3"/>
        <charset val="134"/>
      </rPr>
      <t>翠湖东路</t>
    </r>
  </si>
  <si>
    <t>城市支路</t>
    <phoneticPr fontId="231" type="noConversion"/>
  </si>
  <si>
    <t>估价对象周边有永靓家园、百旺茉莉园、中海枫涟山庄、颐和山庄等小区，居住用地比例、居住小区规模较大，综合评价居住社区成熟度较好</t>
    <phoneticPr fontId="231" type="noConversion"/>
  </si>
  <si>
    <t>估价对象周边有专143路、328路、346路、394路、518路、651路等公交车经过，距离地铁16号线西北旺站约1000米，道路状况较好、停车便捷程度一般，综合评价交通便捷度较好</t>
    <phoneticPr fontId="231" type="noConversion"/>
  </si>
  <si>
    <t>银行：中国邮政储蓄银行、北京农商银行、中国工商银行、中国农业银行；
学校：宏丰小学、红英小学、中关村第二小学、首师大附中北校区；
超市：永辉超市、世纪华联、超市发；
医院：韩家川村社区卫生服务站、东北旺中心卫生院。
综合分析估价对象公共配套设施较好</t>
    <phoneticPr fontId="231" type="noConversion"/>
  </si>
  <si>
    <t>C地块评估结果</t>
    <phoneticPr fontId="231" type="noConversion"/>
  </si>
  <si>
    <t>最终结果/万元</t>
  </si>
  <si>
    <t>估价结果/万元</t>
  </si>
  <si>
    <t>测算结果/万元</t>
  </si>
  <si>
    <t>方法</t>
  </si>
  <si>
    <t>权重</t>
  </si>
  <si>
    <t>权重楼面熟地单价</t>
  </si>
  <si>
    <t>政府土地收益</t>
  </si>
  <si>
    <t>面积</t>
    <phoneticPr fontId="231" type="noConversion"/>
  </si>
  <si>
    <t>总价</t>
    <phoneticPr fontId="231" type="noConversion"/>
  </si>
  <si>
    <t>政府收益</t>
    <phoneticPr fontId="231" type="noConversion"/>
  </si>
  <si>
    <t>地上住宅（满年限、旧容积率）</t>
    <phoneticPr fontId="231" type="noConversion"/>
  </si>
  <si>
    <t>比较法</t>
    <phoneticPr fontId="231" type="noConversion"/>
  </si>
  <si>
    <t>地上商业（满年限、旧容积率）</t>
    <phoneticPr fontId="231" type="noConversion"/>
  </si>
  <si>
    <t>地上办公（剩余年限）</t>
    <phoneticPr fontId="231" type="noConversion"/>
  </si>
  <si>
    <t>地下商业汇总</t>
    <phoneticPr fontId="231" type="noConversion"/>
  </si>
  <si>
    <r>
      <rPr>
        <b/>
        <sz val="14"/>
        <color indexed="8"/>
        <rFont val="Wingdings 2"/>
        <family val="1"/>
        <charset val="2"/>
      </rPr>
      <t>Ã</t>
    </r>
    <r>
      <rPr>
        <b/>
        <sz val="14"/>
        <color indexed="8"/>
        <rFont val="仿宋_GB2312"/>
        <family val="3"/>
        <charset val="134"/>
      </rPr>
      <t>熟地价</t>
    </r>
  </si>
  <si>
    <r>
      <rPr>
        <b/>
        <sz val="14"/>
        <color indexed="8"/>
        <rFont val="Wingdings 2"/>
        <family val="1"/>
        <charset val="2"/>
      </rPr>
      <t>Ã</t>
    </r>
    <r>
      <rPr>
        <b/>
        <sz val="14"/>
        <color indexed="8"/>
        <rFont val="仿宋_GB2312"/>
        <family val="3"/>
        <charset val="134"/>
      </rPr>
      <t>政府土地出让收益</t>
    </r>
  </si>
  <si>
    <t>部位</t>
  </si>
  <si>
    <t>出让建筑</t>
  </si>
  <si>
    <t>楼面熟地</t>
  </si>
  <si>
    <t>熟地总价</t>
  </si>
  <si>
    <t>政府土地出让收益楼面单价</t>
    <phoneticPr fontId="231" type="noConversion"/>
  </si>
  <si>
    <t>政府土地出让收益总价</t>
  </si>
  <si>
    <t>面积</t>
  </si>
  <si>
    <t>(万元）</t>
  </si>
  <si>
    <r>
      <t>（元/</t>
    </r>
    <r>
      <rPr>
        <b/>
        <sz val="12"/>
        <color rgb="FF000000"/>
        <rFont val="华文仿宋"/>
        <family val="3"/>
        <charset val="134"/>
      </rPr>
      <t>㎡</t>
    </r>
    <r>
      <rPr>
        <b/>
        <sz val="12"/>
        <color rgb="FF000000"/>
        <rFont val="仿宋_GB2312"/>
        <family val="3"/>
        <charset val="134"/>
      </rPr>
      <t>）</t>
    </r>
  </si>
  <si>
    <r>
      <t>（</t>
    </r>
    <r>
      <rPr>
        <b/>
        <sz val="12"/>
        <color rgb="FF000000"/>
        <rFont val="华文仿宋"/>
        <family val="3"/>
        <charset val="134"/>
      </rPr>
      <t>㎡</t>
    </r>
    <r>
      <rPr>
        <b/>
        <sz val="12"/>
        <color rgb="FF000000"/>
        <rFont val="仿宋_GB2312"/>
        <family val="3"/>
        <charset val="134"/>
      </rPr>
      <t>）</t>
    </r>
  </si>
  <si>
    <t>地下仓储</t>
    <phoneticPr fontId="231" type="noConversion"/>
  </si>
  <si>
    <t>熟地价</t>
    <phoneticPr fontId="231" type="noConversion"/>
  </si>
  <si>
    <t>政府土地出让收益楼面单价</t>
  </si>
  <si>
    <t>需补缴地价总价</t>
    <phoneticPr fontId="231" type="noConversion"/>
  </si>
  <si>
    <t>规划条件</t>
  </si>
  <si>
    <r>
      <t>楼面熟地价（元</t>
    </r>
    <r>
      <rPr>
        <sz val="11"/>
        <color rgb="FF000000"/>
        <rFont val="Arial"/>
        <family val="2"/>
      </rPr>
      <t>/</t>
    </r>
    <r>
      <rPr>
        <sz val="11"/>
        <color rgb="FF000000"/>
        <rFont val="Segoe UI Symbol"/>
        <family val="3"/>
      </rPr>
      <t>㎡</t>
    </r>
    <r>
      <rPr>
        <sz val="11"/>
        <color rgb="FF000000"/>
        <rFont val="仿宋_GB2312"/>
        <family val="3"/>
        <charset val="134"/>
      </rPr>
      <t>）</t>
    </r>
    <phoneticPr fontId="231" type="noConversion"/>
  </si>
  <si>
    <r>
      <t>用途调整单价差（元</t>
    </r>
    <r>
      <rPr>
        <sz val="11"/>
        <color rgb="FF000000"/>
        <rFont val="Arial"/>
        <family val="2"/>
      </rPr>
      <t>/</t>
    </r>
    <r>
      <rPr>
        <sz val="11"/>
        <color rgb="FF000000"/>
        <rFont val="宋体"/>
        <family val="3"/>
        <charset val="134"/>
      </rPr>
      <t>㎡</t>
    </r>
    <r>
      <rPr>
        <sz val="11"/>
        <color rgb="FF000000"/>
        <rFont val="仿宋_GB2312"/>
        <family val="3"/>
        <charset val="134"/>
      </rPr>
      <t>）</t>
    </r>
  </si>
  <si>
    <r>
      <t>变更面积（</t>
    </r>
    <r>
      <rPr>
        <sz val="11"/>
        <color rgb="FF000000"/>
        <rFont val="宋体"/>
        <family val="3"/>
        <charset val="134"/>
      </rPr>
      <t>㎡</t>
    </r>
    <r>
      <rPr>
        <sz val="11"/>
        <color rgb="FF000000"/>
        <rFont val="仿宋_GB2312"/>
        <family val="3"/>
        <charset val="134"/>
      </rPr>
      <t>）</t>
    </r>
  </si>
  <si>
    <t>（万元）</t>
  </si>
  <si>
    <t>用途调整</t>
    <phoneticPr fontId="231" type="noConversion"/>
  </si>
  <si>
    <t>新用途-商业</t>
    <phoneticPr fontId="231" type="noConversion"/>
  </si>
  <si>
    <t>——</t>
    <phoneticPr fontId="231" type="noConversion"/>
  </si>
  <si>
    <t>旧用途-住宅</t>
    <phoneticPr fontId="231" type="noConversion"/>
  </si>
  <si>
    <t>地下</t>
    <phoneticPr fontId="231" type="noConversion"/>
  </si>
  <si>
    <t>新增</t>
    <phoneticPr fontId="231" type="noConversion"/>
  </si>
  <si>
    <t>地下办公（公共服务设施）</t>
  </si>
  <si>
    <t>合计</t>
    <phoneticPr fontId="231" type="noConversion"/>
  </si>
  <si>
    <r>
      <t>政府土地出让收益楼面价（元</t>
    </r>
    <r>
      <rPr>
        <sz val="11"/>
        <color rgb="FF000000"/>
        <rFont val="Arial"/>
        <family val="2"/>
      </rPr>
      <t>/</t>
    </r>
    <r>
      <rPr>
        <sz val="11"/>
        <color rgb="FF000000"/>
        <rFont val="Segoe UI Symbol"/>
        <family val="3"/>
      </rPr>
      <t>㎡</t>
    </r>
    <r>
      <rPr>
        <sz val="11"/>
        <color rgb="FF000000"/>
        <rFont val="仿宋_GB2312"/>
        <family val="3"/>
        <charset val="134"/>
      </rPr>
      <t>）</t>
    </r>
    <phoneticPr fontId="231" type="noConversion"/>
  </si>
  <si>
    <t>政府土地出让收益总价</t>
    <phoneticPr fontId="231" type="noConversion"/>
  </si>
  <si>
    <t>需补缴地价</t>
    <phoneticPr fontId="231" type="noConversion"/>
  </si>
  <si>
    <r>
      <t>政府土地出让收益楼面价（元/</t>
    </r>
    <r>
      <rPr>
        <sz val="11"/>
        <color rgb="FF000000"/>
        <rFont val="Segoe UI Symbol"/>
        <family val="3"/>
      </rPr>
      <t>㎡</t>
    </r>
    <r>
      <rPr>
        <sz val="11"/>
        <color rgb="FF000000"/>
        <rFont val="仿宋_GB2312"/>
        <family val="3"/>
        <charset val="134"/>
      </rPr>
      <t>）</t>
    </r>
    <phoneticPr fontId="231" type="noConversion"/>
  </si>
  <si>
    <r>
      <t>出让面积（</t>
    </r>
    <r>
      <rPr>
        <sz val="11"/>
        <color rgb="FF000000"/>
        <rFont val="宋体"/>
        <family val="3"/>
        <charset val="134"/>
      </rPr>
      <t>㎡</t>
    </r>
    <r>
      <rPr>
        <sz val="11"/>
        <color rgb="FF000000"/>
        <rFont val="仿宋_GB2312"/>
        <family val="3"/>
        <charset val="134"/>
      </rPr>
      <t>）</t>
    </r>
    <phoneticPr fontId="231" type="noConversion"/>
  </si>
  <si>
    <t>用途调整前</t>
  </si>
  <si>
    <t>用途调整后</t>
  </si>
  <si>
    <t>地上住宅</t>
    <phoneticPr fontId="231" type="noConversion"/>
  </si>
  <si>
    <t>补偿价</t>
    <phoneticPr fontId="231" type="noConversion"/>
  </si>
  <si>
    <t>与级别开发程度一致</t>
  </si>
  <si>
    <t>估价对象位于海淀区温泉镇，估价对象周边有燕保温泉家园、北辰香麓、尚峰尚水尚居园等小区，居住社区成熟度一般。</t>
    <phoneticPr fontId="231" type="noConversion"/>
  </si>
  <si>
    <r>
      <rPr>
        <sz val="11"/>
        <color theme="9" tint="-0.249977111117893"/>
        <rFont val="宋体"/>
        <family val="3"/>
        <charset val="134"/>
      </rPr>
      <t>估价对象所在海淀区温泉镇周边绿化条件较好，周边</t>
    </r>
    <r>
      <rPr>
        <sz val="11"/>
        <color theme="9" tint="-0.249977111117893"/>
        <rFont val="Arial"/>
        <family val="3"/>
      </rPr>
      <t>2</t>
    </r>
    <r>
      <rPr>
        <sz val="11"/>
        <color theme="9" tint="-0.249977111117893"/>
        <rFont val="宋体"/>
        <family val="3"/>
        <charset val="134"/>
      </rPr>
      <t>公里内有温泉公园、齐物潭、梅花鹿公园、白家疃公园等绿化设施；辛亥滦州革命先烈纪念园等人文设施，综合考虑自然环境与人文环境较好。</t>
    </r>
    <phoneticPr fontId="231" type="noConversion"/>
  </si>
  <si>
    <r>
      <rPr>
        <sz val="11"/>
        <color theme="9" tint="-0.249977111117893"/>
        <rFont val="宋体"/>
        <family val="3"/>
        <charset val="134"/>
      </rPr>
      <t>估价对象紧邻城市次干道—温泉路，西距西六环约</t>
    </r>
    <r>
      <rPr>
        <sz val="11"/>
        <color theme="9" tint="-0.249977111117893"/>
        <rFont val="Arial"/>
        <family val="3"/>
      </rPr>
      <t>3.5</t>
    </r>
    <r>
      <rPr>
        <sz val="11"/>
        <color theme="9" tint="-0.249977111117893"/>
        <rFont val="宋体"/>
        <family val="3"/>
        <charset val="134"/>
      </rPr>
      <t>公里，距北京首都国际机场约</t>
    </r>
    <r>
      <rPr>
        <sz val="11"/>
        <color theme="9" tint="-0.249977111117893"/>
        <rFont val="Arial"/>
        <family val="3"/>
      </rPr>
      <t>36.9</t>
    </r>
    <r>
      <rPr>
        <sz val="11"/>
        <color theme="9" tint="-0.249977111117893"/>
        <rFont val="宋体"/>
        <family val="3"/>
        <charset val="134"/>
      </rPr>
      <t>公里，距清河火车站站约</t>
    </r>
    <r>
      <rPr>
        <sz val="11"/>
        <color theme="9" tint="-0.249977111117893"/>
        <rFont val="Arial"/>
        <family val="3"/>
      </rPr>
      <t>12.3</t>
    </r>
    <r>
      <rPr>
        <sz val="11"/>
        <color theme="9" tint="-0.249977111117893"/>
        <rFont val="宋体"/>
        <family val="3"/>
        <charset val="134"/>
      </rPr>
      <t>公里，距北京北站约</t>
    </r>
    <r>
      <rPr>
        <sz val="11"/>
        <color theme="9" tint="-0.249977111117893"/>
        <rFont val="Arial"/>
        <family val="3"/>
      </rPr>
      <t>19.4</t>
    </r>
    <r>
      <rPr>
        <sz val="11"/>
        <color theme="9" tint="-0.249977111117893"/>
        <rFont val="宋体"/>
        <family val="3"/>
        <charset val="134"/>
      </rPr>
      <t>公里，周边</t>
    </r>
    <r>
      <rPr>
        <sz val="11"/>
        <color theme="9" tint="-0.249977111117893"/>
        <rFont val="Arial"/>
        <family val="3"/>
      </rPr>
      <t>1</t>
    </r>
    <r>
      <rPr>
        <sz val="11"/>
        <color theme="9" tint="-0.249977111117893"/>
        <rFont val="宋体"/>
        <family val="3"/>
        <charset val="134"/>
      </rPr>
      <t>公里内无轨道交通站点，周边有专</t>
    </r>
    <r>
      <rPr>
        <sz val="11"/>
        <color theme="9" tint="-0.249977111117893"/>
        <rFont val="Arial"/>
        <family val="3"/>
      </rPr>
      <t>54</t>
    </r>
    <r>
      <rPr>
        <sz val="11"/>
        <color theme="9" tint="-0.249977111117893"/>
        <rFont val="宋体"/>
        <family val="3"/>
        <charset val="134"/>
      </rPr>
      <t>路、</t>
    </r>
    <r>
      <rPr>
        <sz val="11"/>
        <color theme="9" tint="-0.249977111117893"/>
        <rFont val="Arial"/>
        <family val="3"/>
      </rPr>
      <t>330</t>
    </r>
    <r>
      <rPr>
        <sz val="11"/>
        <color theme="9" tint="-0.249977111117893"/>
        <rFont val="宋体"/>
        <family val="3"/>
        <charset val="134"/>
      </rPr>
      <t>路、</t>
    </r>
    <r>
      <rPr>
        <sz val="11"/>
        <color theme="9" tint="-0.249977111117893"/>
        <rFont val="Arial"/>
        <family val="3"/>
      </rPr>
      <t>346</t>
    </r>
    <r>
      <rPr>
        <sz val="11"/>
        <color theme="9" tint="-0.249977111117893"/>
        <rFont val="宋体"/>
        <family val="3"/>
        <charset val="134"/>
      </rPr>
      <t>路、</t>
    </r>
    <r>
      <rPr>
        <sz val="11"/>
        <color theme="9" tint="-0.249977111117893"/>
        <rFont val="Arial"/>
        <family val="3"/>
      </rPr>
      <t>651</t>
    </r>
    <r>
      <rPr>
        <sz val="11"/>
        <color theme="9" tint="-0.249977111117893"/>
        <rFont val="宋体"/>
        <family val="3"/>
        <charset val="134"/>
      </rPr>
      <t>路、</t>
    </r>
    <r>
      <rPr>
        <sz val="11"/>
        <color theme="9" tint="-0.249977111117893"/>
        <rFont val="Arial"/>
        <family val="3"/>
      </rPr>
      <t>908</t>
    </r>
    <r>
      <rPr>
        <sz val="11"/>
        <color theme="9" tint="-0.249977111117893"/>
        <rFont val="宋体"/>
        <family val="3"/>
        <charset val="134"/>
      </rPr>
      <t>路等多条公交线路通过，综合评价交通便捷度一般。</t>
    </r>
    <phoneticPr fontId="231" type="noConversion"/>
  </si>
  <si>
    <t>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t>
    <phoneticPr fontId="231" type="noConversion"/>
  </si>
  <si>
    <r>
      <rPr>
        <sz val="10"/>
        <color rgb="FF337AB7"/>
        <rFont val="宋体"/>
        <family val="3"/>
        <charset val="134"/>
      </rPr>
      <t>北京市海淀区安宁庄东路</t>
    </r>
    <r>
      <rPr>
        <sz val="10"/>
        <color rgb="FF337AB7"/>
        <rFont val="Tahoma"/>
        <family val="2"/>
      </rPr>
      <t>1</t>
    </r>
    <r>
      <rPr>
        <sz val="10"/>
        <color rgb="FF337AB7"/>
        <rFont val="宋体"/>
        <family val="3"/>
        <charset val="134"/>
      </rPr>
      <t>号</t>
    </r>
    <r>
      <rPr>
        <sz val="10"/>
        <color rgb="FF337AB7"/>
        <rFont val="Tahoma"/>
        <family val="2"/>
      </rPr>
      <t>1820-618B</t>
    </r>
    <r>
      <rPr>
        <sz val="10"/>
        <color rgb="FF337AB7"/>
        <rFont val="宋体"/>
        <family val="3"/>
        <charset val="134"/>
      </rPr>
      <t>、</t>
    </r>
    <r>
      <rPr>
        <sz val="10"/>
        <color rgb="FF337AB7"/>
        <rFont val="Tahoma"/>
        <family val="2"/>
      </rPr>
      <t>1820-619B</t>
    </r>
    <r>
      <rPr>
        <sz val="10"/>
        <color rgb="FF337AB7"/>
        <rFont val="宋体"/>
        <family val="3"/>
        <charset val="134"/>
      </rPr>
      <t>、</t>
    </r>
    <r>
      <rPr>
        <sz val="10"/>
        <color rgb="FF337AB7"/>
        <rFont val="Tahoma"/>
        <family val="2"/>
      </rPr>
      <t>1820-624A</t>
    </r>
    <r>
      <rPr>
        <sz val="10"/>
        <color rgb="FF337AB7"/>
        <rFont val="宋体"/>
        <family val="3"/>
        <charset val="134"/>
      </rPr>
      <t>、</t>
    </r>
    <r>
      <rPr>
        <sz val="10"/>
        <color rgb="FF337AB7"/>
        <rFont val="Tahoma"/>
        <family val="2"/>
      </rPr>
      <t>1820-622</t>
    </r>
    <r>
      <rPr>
        <sz val="10"/>
        <color rgb="FF337AB7"/>
        <rFont val="宋体"/>
        <family val="3"/>
        <charset val="134"/>
      </rPr>
      <t>地块</t>
    </r>
    <r>
      <rPr>
        <sz val="10"/>
        <color rgb="FF337AB7"/>
        <rFont val="Tahoma"/>
        <family val="2"/>
      </rPr>
      <t>R2</t>
    </r>
    <r>
      <rPr>
        <sz val="10"/>
        <color rgb="FF337AB7"/>
        <rFont val="宋体"/>
        <family val="3"/>
        <charset val="134"/>
      </rPr>
      <t>二类居住用地、</t>
    </r>
    <r>
      <rPr>
        <sz val="10"/>
        <color rgb="FF337AB7"/>
        <rFont val="Tahoma"/>
        <family val="2"/>
      </rPr>
      <t>A33</t>
    </r>
    <r>
      <rPr>
        <sz val="10"/>
        <color rgb="FF337AB7"/>
        <rFont val="宋体"/>
        <family val="3"/>
        <charset val="134"/>
      </rPr>
      <t>基础教育用地</t>
    </r>
    <phoneticPr fontId="231" type="noConversion"/>
  </si>
  <si>
    <r>
      <t>五级-</t>
    </r>
    <r>
      <rPr>
        <sz val="11"/>
        <color theme="1"/>
        <rFont val="宋体"/>
        <family val="3"/>
        <charset val="134"/>
        <scheme val="minor"/>
      </rPr>
      <t>03</t>
    </r>
    <phoneticPr fontId="231" type="noConversion"/>
  </si>
  <si>
    <r>
      <rPr>
        <sz val="10"/>
        <color rgb="FF337AB7"/>
        <rFont val="宋体"/>
        <family val="3"/>
        <charset val="134"/>
      </rPr>
      <t>北京市海淀区</t>
    </r>
    <r>
      <rPr>
        <sz val="10"/>
        <color rgb="FF337AB7"/>
        <rFont val="Tahoma"/>
        <family val="2"/>
      </rPr>
      <t>“</t>
    </r>
    <r>
      <rPr>
        <sz val="10"/>
        <color rgb="FF337AB7"/>
        <rFont val="宋体"/>
        <family val="3"/>
        <charset val="134"/>
      </rPr>
      <t>海淀北部地区整体开发</t>
    </r>
    <r>
      <rPr>
        <sz val="10"/>
        <color rgb="FF337AB7"/>
        <rFont val="Tahoma"/>
        <family val="2"/>
      </rPr>
      <t>”</t>
    </r>
    <r>
      <rPr>
        <sz val="10"/>
        <color rgb="FF337AB7"/>
        <rFont val="宋体"/>
        <family val="3"/>
        <charset val="134"/>
      </rPr>
      <t>西北旺镇</t>
    </r>
    <r>
      <rPr>
        <sz val="10"/>
        <color rgb="FF337AB7"/>
        <rFont val="Tahoma"/>
        <family val="2"/>
      </rPr>
      <t>HD00-0403-0061</t>
    </r>
    <r>
      <rPr>
        <sz val="10"/>
        <color rgb="FF337AB7"/>
        <rFont val="宋体"/>
        <family val="3"/>
        <charset val="134"/>
      </rPr>
      <t>、</t>
    </r>
    <r>
      <rPr>
        <sz val="10"/>
        <color rgb="FF337AB7"/>
        <rFont val="Tahoma"/>
        <family val="2"/>
      </rPr>
      <t>0050</t>
    </r>
    <r>
      <rPr>
        <sz val="10"/>
        <color rgb="FF337AB7"/>
        <rFont val="宋体"/>
        <family val="3"/>
        <charset val="134"/>
      </rPr>
      <t>、</t>
    </r>
    <r>
      <rPr>
        <sz val="10"/>
        <color rgb="FF337AB7"/>
        <rFont val="Tahoma"/>
        <family val="2"/>
      </rPr>
      <t>0031</t>
    </r>
    <r>
      <rPr>
        <sz val="10"/>
        <color rgb="FF337AB7"/>
        <rFont val="宋体"/>
        <family val="3"/>
        <charset val="134"/>
      </rPr>
      <t>、</t>
    </r>
    <r>
      <rPr>
        <sz val="10"/>
        <color rgb="FF337AB7"/>
        <rFont val="Tahoma"/>
        <family val="2"/>
      </rPr>
      <t>0040</t>
    </r>
    <r>
      <rPr>
        <sz val="10"/>
        <color rgb="FF337AB7"/>
        <rFont val="宋体"/>
        <family val="3"/>
        <charset val="134"/>
      </rPr>
      <t>、</t>
    </r>
    <r>
      <rPr>
        <sz val="10"/>
        <color rgb="FF337AB7"/>
        <rFont val="Tahoma"/>
        <family val="2"/>
      </rPr>
      <t>0046</t>
    </r>
    <r>
      <rPr>
        <sz val="10"/>
        <color rgb="FF337AB7"/>
        <rFont val="宋体"/>
        <family val="3"/>
        <charset val="134"/>
      </rPr>
      <t>地块二类居住、其他类多功能、医院及机构养老设施用地</t>
    </r>
    <phoneticPr fontId="231" type="noConversion"/>
  </si>
  <si>
    <r>
      <t>六级-</t>
    </r>
    <r>
      <rPr>
        <sz val="11"/>
        <color theme="1"/>
        <rFont val="宋体"/>
        <family val="3"/>
        <charset val="134"/>
        <scheme val="minor"/>
      </rPr>
      <t>02</t>
    </r>
    <phoneticPr fontId="231" type="noConversion"/>
  </si>
  <si>
    <t>丰台区苏家坡12号1幢、2幢现状住宅用地</t>
    <phoneticPr fontId="227" type="noConversion"/>
  </si>
  <si>
    <t>丰台区苏家坡12号1幢、2幢</t>
    <phoneticPr fontId="227" type="noConversion"/>
  </si>
  <si>
    <t>住宅</t>
    <phoneticPr fontId="227" type="noConversion"/>
  </si>
  <si>
    <t>居住Ⅳ-13</t>
    <phoneticPr fontId="227" type="noConversion"/>
  </si>
  <si>
    <t>居住13060-19600</t>
  </si>
  <si>
    <t>38983
政府土地收益：
9746</t>
  </si>
  <si>
    <t>XK20200100522、523</t>
  </si>
  <si>
    <t>上庄家园N28、N34地块三定三限项目</t>
    <phoneticPr fontId="227" type="noConversion"/>
  </si>
  <si>
    <t>海淀区上庄家园N28、N34地块</t>
    <phoneticPr fontId="227" type="noConversion"/>
  </si>
  <si>
    <t>90362.7（住宅83552.05，商业（配套）3288.55办公（公共服务设施）3522.1）</t>
  </si>
  <si>
    <t>103495.62（其中地下车库2795.4）</t>
  </si>
  <si>
    <t>N28 2.51
N34 1.07</t>
  </si>
  <si>
    <t>居住Ⅶ-01
商业Ⅶ-01
办公Ⅶ-01</t>
    <phoneticPr fontId="227" type="noConversion"/>
  </si>
  <si>
    <t>居住8590
商业8170
办公8140</t>
  </si>
  <si>
    <r>
      <t>住宅1</t>
    </r>
    <r>
      <rPr>
        <sz val="14"/>
        <color indexed="8"/>
        <rFont val="宋体"/>
        <family val="3"/>
        <charset val="134"/>
      </rPr>
      <t>6201</t>
    </r>
    <r>
      <rPr>
        <sz val="14"/>
        <color indexed="8"/>
        <rFont val="宋体"/>
        <family val="3"/>
        <charset val="134"/>
      </rPr>
      <t xml:space="preserve">
商业（配套）11331
办公（公共服务设施）11320
地下车库2949</t>
    </r>
  </si>
  <si>
    <r>
      <t>住宅4</t>
    </r>
    <r>
      <rPr>
        <sz val="14"/>
        <color indexed="8"/>
        <rFont val="宋体"/>
        <family val="3"/>
        <charset val="134"/>
      </rPr>
      <t>050</t>
    </r>
    <r>
      <rPr>
        <sz val="14"/>
        <color indexed="8"/>
        <rFont val="宋体"/>
        <family val="3"/>
        <charset val="134"/>
      </rPr>
      <t xml:space="preserve">
商业（配套）</t>
    </r>
    <r>
      <rPr>
        <sz val="14"/>
        <color indexed="8"/>
        <rFont val="宋体"/>
        <family val="3"/>
        <charset val="134"/>
      </rPr>
      <t>2833</t>
    </r>
    <r>
      <rPr>
        <sz val="14"/>
        <color indexed="8"/>
        <rFont val="宋体"/>
        <family val="3"/>
        <charset val="134"/>
      </rPr>
      <t xml:space="preserve">
办公（公共服务设施）2830
地下车库737</t>
    </r>
  </si>
  <si>
    <t>剩余法：
住宅24754
商业（配套）15892
办公（公共服务设施）14394
地下车库4951</t>
  </si>
  <si>
    <r>
      <t>住宅6</t>
    </r>
    <r>
      <rPr>
        <sz val="14"/>
        <color indexed="8"/>
        <rFont val="宋体"/>
        <family val="3"/>
        <charset val="134"/>
      </rPr>
      <t>189</t>
    </r>
    <r>
      <rPr>
        <sz val="14"/>
        <color indexed="8"/>
        <rFont val="宋体"/>
        <family val="3"/>
        <charset val="134"/>
      </rPr>
      <t xml:space="preserve">
商业（配套）</t>
    </r>
    <r>
      <rPr>
        <sz val="14"/>
        <color indexed="8"/>
        <rFont val="宋体"/>
        <family val="3"/>
        <charset val="134"/>
      </rPr>
      <t>3973</t>
    </r>
    <r>
      <rPr>
        <sz val="14"/>
        <color indexed="8"/>
        <rFont val="宋体"/>
        <family val="3"/>
        <charset val="134"/>
      </rPr>
      <t xml:space="preserve">
办公（公共服务设施）</t>
    </r>
    <r>
      <rPr>
        <sz val="14"/>
        <color indexed="8"/>
        <rFont val="宋体"/>
        <family val="3"/>
        <charset val="134"/>
      </rPr>
      <t>3599</t>
    </r>
    <r>
      <rPr>
        <sz val="14"/>
        <color indexed="8"/>
        <rFont val="宋体"/>
        <family val="3"/>
        <charset val="134"/>
      </rPr>
      <t xml:space="preserve">
地下车库</t>
    </r>
    <r>
      <rPr>
        <sz val="14"/>
        <color indexed="8"/>
        <rFont val="宋体"/>
        <family val="3"/>
        <charset val="134"/>
      </rPr>
      <t>1238</t>
    </r>
  </si>
  <si>
    <r>
      <t>住宅19622</t>
    </r>
    <r>
      <rPr>
        <sz val="14"/>
        <color indexed="8"/>
        <rFont val="宋体"/>
        <family val="3"/>
        <charset val="134"/>
      </rPr>
      <t xml:space="preserve">
商业（配套）</t>
    </r>
    <r>
      <rPr>
        <sz val="14"/>
        <color indexed="8"/>
        <rFont val="宋体"/>
        <family val="3"/>
        <charset val="134"/>
      </rPr>
      <t>13155</t>
    </r>
    <r>
      <rPr>
        <sz val="14"/>
        <color indexed="8"/>
        <rFont val="宋体"/>
        <family val="3"/>
        <charset val="134"/>
      </rPr>
      <t xml:space="preserve">
办公（公共服务设施）</t>
    </r>
    <r>
      <rPr>
        <sz val="14"/>
        <color indexed="8"/>
        <rFont val="宋体"/>
        <family val="3"/>
        <charset val="134"/>
      </rPr>
      <t>12550</t>
    </r>
    <r>
      <rPr>
        <sz val="14"/>
        <color indexed="8"/>
        <rFont val="宋体"/>
        <family val="3"/>
        <charset val="134"/>
      </rPr>
      <t xml:space="preserve">
地下车库</t>
    </r>
    <r>
      <rPr>
        <sz val="14"/>
        <color indexed="8"/>
        <rFont val="宋体"/>
        <family val="3"/>
        <charset val="134"/>
      </rPr>
      <t>3750</t>
    </r>
  </si>
  <si>
    <t>住宅4906
商业（配套）3289
办公（公共服务设施）3138
地下车库938</t>
  </si>
  <si>
    <t xml:space="preserve">3915.65
</t>
  </si>
  <si>
    <t>住宅19622
商业（配套）13155
办公（公共服务设施）12550
地下车库3750
政府土地收益：
住宅6201
商业（配套）4322
办公（公共服务设施）4261
地下车库938</t>
  </si>
  <si>
    <t>熟地价总价</t>
    <phoneticPr fontId="231" type="noConversion"/>
  </si>
  <si>
    <t>地面单价</t>
    <phoneticPr fontId="231" type="noConversion"/>
  </si>
  <si>
    <t>楼面单价</t>
    <phoneticPr fontId="231" type="noConversion"/>
  </si>
  <si>
    <t>政府土地收益总价</t>
    <phoneticPr fontId="231" type="noConversion"/>
  </si>
  <si>
    <t>成本</t>
    <phoneticPr fontId="231" type="noConversion"/>
  </si>
  <si>
    <t>成本单价</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</si>
</sst>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yyyy&quot;年&quot;m&quot;月&quot;;@"/>
    <numFmt numFmtId="185" formatCode="0.000_);[Red]\(0.000\)"/>
    <numFmt numFmtId="186" formatCode="0.000%"/>
    <numFmt numFmtId="187" formatCode="0_ ;[Red]\-0\ "/>
    <numFmt numFmtId="188" formatCode="&quot;￥&quot;#,##0.00;[Red]\-&quot;￥&quot;#,##0.00"/>
    <numFmt numFmtId="189" formatCode="0;_쐀"/>
    <numFmt numFmtId="190" formatCode="0.0_ "/>
    <numFmt numFmtId="191" formatCode="0.000_ "/>
    <numFmt numFmtId="192" formatCode="0.0000_ "/>
    <numFmt numFmtId="193" formatCode="[$-F800]dddd\,\ mmmm\ dd\,\ yyyy"/>
    <numFmt numFmtId="194" formatCode="[DBNum1][$-804]General"/>
    <numFmt numFmtId="195" formatCode="yyyy/mm/dd;@"/>
    <numFmt numFmtId="196" formatCode="0.0000"/>
    <numFmt numFmtId="197" formatCode="0.0000_);[Red]\(0.0000\)"/>
  </numFmts>
  <fonts count="276">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sz val="11"/>
      <color theme="1"/>
      <name val="宋体"/>
      <family val="3"/>
      <charset val="134"/>
      <scheme val="minor"/>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2"/>
      <color indexed="10"/>
      <name val="Arial"/>
      <family val="2"/>
    </font>
    <font>
      <sz val="11"/>
      <color theme="9" tint="-0.249977111117893"/>
      <name val="仿宋_GB2312"/>
      <family val="3"/>
      <charset val="134"/>
    </font>
    <font>
      <sz val="11"/>
      <color rgb="FF000000"/>
      <name val="宋体"/>
      <family val="3"/>
      <charset val="134"/>
    </font>
    <font>
      <sz val="11"/>
      <color rgb="FFFF0000"/>
      <name val="仿宋_GB2312"/>
      <family val="3"/>
      <charset val="134"/>
    </font>
    <font>
      <sz val="11"/>
      <color rgb="FFFF0000"/>
      <name val="楷体_GB2312"/>
      <family val="3"/>
      <charset val="134"/>
    </font>
    <font>
      <b/>
      <sz val="11"/>
      <color indexed="8"/>
      <name val="楷体_GB2312"/>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b/>
      <sz val="8"/>
      <name val="宋体"/>
      <family val="3"/>
      <charset val="134"/>
    </font>
    <font>
      <sz val="9"/>
      <name val="宋体"/>
      <family val="3"/>
      <charset val="134"/>
      <scheme val="minor"/>
    </font>
    <font>
      <sz val="10"/>
      <color rgb="FF666666"/>
      <name val="Tahoma"/>
      <family val="2"/>
    </font>
    <font>
      <sz val="10"/>
      <color rgb="FF666666"/>
      <name val="宋体"/>
      <family val="3"/>
      <charset val="134"/>
    </font>
    <font>
      <sz val="10"/>
      <color rgb="FF337AB7"/>
      <name val="Tahoma"/>
      <family val="2"/>
    </font>
    <font>
      <sz val="14"/>
      <color indexed="8"/>
      <name val="宋体"/>
      <family val="3"/>
      <charset val="134"/>
    </font>
    <font>
      <sz val="14"/>
      <name val="宋体"/>
      <family val="3"/>
      <charset val="134"/>
    </font>
    <font>
      <sz val="18"/>
      <color indexed="8"/>
      <name val="宋体"/>
      <family val="3"/>
      <charset val="134"/>
    </font>
    <font>
      <sz val="14"/>
      <color theme="1"/>
      <name val="宋体"/>
      <family val="3"/>
      <charset val="134"/>
    </font>
    <font>
      <b/>
      <sz val="16"/>
      <color indexed="8"/>
      <name val="宋体"/>
      <family val="3"/>
      <charset val="134"/>
    </font>
    <font>
      <b/>
      <sz val="18"/>
      <color indexed="8"/>
      <name val="宋体"/>
      <family val="3"/>
      <charset val="134"/>
    </font>
    <font>
      <sz val="15"/>
      <color indexed="8"/>
      <name val="宋体"/>
      <family val="3"/>
      <charset val="134"/>
    </font>
    <font>
      <sz val="14"/>
      <color rgb="FFFF0000"/>
      <name val="宋体"/>
      <family val="3"/>
      <charset val="134"/>
    </font>
    <font>
      <sz val="18"/>
      <name val="宋体"/>
      <family val="3"/>
      <charset val="134"/>
    </font>
    <font>
      <sz val="18"/>
      <color theme="1"/>
      <name val="宋体"/>
      <family val="3"/>
      <charset val="134"/>
    </font>
    <font>
      <sz val="10"/>
      <color rgb="FFC00000"/>
      <name val="Arial"/>
      <family val="2"/>
    </font>
    <font>
      <sz val="12"/>
      <color rgb="FFFF0000"/>
      <name val="宋体"/>
      <family val="2"/>
      <scheme val="minor"/>
    </font>
    <font>
      <sz val="11"/>
      <color theme="9" tint="-0.249977111117893"/>
      <name val="Microsoft YaHei UI"/>
      <family val="3"/>
      <charset val="134"/>
    </font>
    <font>
      <sz val="11"/>
      <color theme="9" tint="-0.249977111117893"/>
      <name val="Arial"/>
      <family val="3"/>
      <charset val="134"/>
    </font>
    <font>
      <sz val="11"/>
      <color theme="9" tint="-0.249977111117893"/>
      <name val="宋体"/>
      <family val="2"/>
      <charset val="134"/>
    </font>
    <font>
      <sz val="7.5"/>
      <color rgb="FF000000"/>
      <name val="微软雅黑"/>
      <family val="2"/>
      <charset val="134"/>
    </font>
    <font>
      <sz val="11"/>
      <color rgb="FF000000"/>
      <name val="宋体"/>
      <family val="2"/>
      <charset val="134"/>
    </font>
    <font>
      <sz val="11"/>
      <name val="宋体"/>
      <family val="2"/>
      <charset val="134"/>
    </font>
    <font>
      <sz val="11"/>
      <name val="微软雅黑"/>
      <family val="2"/>
      <charset val="134"/>
    </font>
    <font>
      <sz val="11"/>
      <name val="Arial"/>
      <family val="2"/>
      <charset val="134"/>
    </font>
    <font>
      <b/>
      <sz val="12"/>
      <color theme="1"/>
      <name val="Adobe 黑体 Std R"/>
      <charset val="134"/>
    </font>
    <font>
      <sz val="11"/>
      <name val="宋体"/>
      <family val="3"/>
      <charset val="134"/>
      <scheme val="minor"/>
    </font>
    <font>
      <b/>
      <sz val="14"/>
      <color theme="1"/>
      <name val="Wingdings 2"/>
      <family val="1"/>
      <charset val="2"/>
    </font>
    <font>
      <b/>
      <sz val="14"/>
      <color indexed="8"/>
      <name val="Wingdings 2"/>
      <family val="1"/>
      <charset val="2"/>
    </font>
    <font>
      <b/>
      <sz val="12"/>
      <color rgb="FF000000"/>
      <name val="仿宋_GB2312"/>
      <family val="3"/>
      <charset val="134"/>
    </font>
    <font>
      <sz val="10"/>
      <color theme="1"/>
      <name val="Calibri"/>
      <family val="2"/>
    </font>
    <font>
      <b/>
      <sz val="12"/>
      <color rgb="FF000000"/>
      <name val="华文仿宋"/>
      <family val="3"/>
      <charset val="134"/>
    </font>
    <font>
      <sz val="12"/>
      <color rgb="FF000000"/>
      <name val="仿宋_GB2312"/>
      <family val="3"/>
      <charset val="134"/>
    </font>
    <font>
      <b/>
      <sz val="12"/>
      <color rgb="FF000000"/>
      <name val="Arial"/>
      <family val="2"/>
    </font>
    <font>
      <sz val="11"/>
      <color rgb="FF000000"/>
      <name val="仿宋_GB2312"/>
      <family val="3"/>
      <charset val="134"/>
    </font>
    <font>
      <sz val="11"/>
      <color rgb="FF000000"/>
      <name val="Arial"/>
      <family val="2"/>
    </font>
    <font>
      <sz val="11"/>
      <color rgb="FF000000"/>
      <name val="Segoe UI Symbol"/>
      <family val="3"/>
    </font>
    <font>
      <b/>
      <sz val="11"/>
      <color rgb="FF000000"/>
      <name val="Arial"/>
      <family val="2"/>
    </font>
    <font>
      <sz val="12"/>
      <color theme="1"/>
      <name val="仿宋"/>
      <family val="3"/>
      <charset val="134"/>
    </font>
    <font>
      <sz val="11"/>
      <color theme="9" tint="-0.249977111117893"/>
      <name val="宋体"/>
      <family val="3"/>
      <charset val="134"/>
    </font>
    <font>
      <sz val="11"/>
      <color theme="9" tint="-0.249977111117893"/>
      <name val="Arial"/>
      <family val="3"/>
    </font>
    <font>
      <sz val="10"/>
      <color rgb="FF337AB7"/>
      <name val="宋体"/>
      <family val="3"/>
      <charset val="134"/>
    </font>
    <font>
      <sz val="10"/>
      <color rgb="FF337AB7"/>
      <name val="Tahoma"/>
      <family val="3"/>
      <charset val="134"/>
    </font>
    <font>
      <sz val="17"/>
      <color indexed="8"/>
      <name val="宋体"/>
      <family val="3"/>
      <charset val="134"/>
    </font>
    <font>
      <sz val="17"/>
      <name val="宋体"/>
      <family val="3"/>
      <charset val="134"/>
    </font>
    <font>
      <sz val="16"/>
      <color indexed="8"/>
      <name val="宋体"/>
      <family val="3"/>
      <charset val="134"/>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rgb="FFF5F5F5"/>
        <bgColor indexed="64"/>
      </patternFill>
    </fill>
    <fill>
      <patternFill patternType="solid">
        <fgColor theme="9" tint="0.79998168889431442"/>
        <bgColor indexed="64"/>
      </patternFill>
    </fill>
    <fill>
      <patternFill patternType="solid">
        <fgColor theme="9"/>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E4EAEC"/>
      </left>
      <right style="medium">
        <color rgb="FFE6E6E6"/>
      </right>
      <top style="medium">
        <color rgb="FFE4EAEC"/>
      </top>
      <bottom/>
      <diagonal/>
    </border>
    <border>
      <left style="medium">
        <color rgb="FFE6E6E6"/>
      </left>
      <right style="medium">
        <color rgb="FFE6E6E6"/>
      </right>
      <top style="medium">
        <color rgb="FFE4EAEC"/>
      </top>
      <bottom/>
      <diagonal/>
    </border>
    <border>
      <left style="medium">
        <color rgb="FFE6E6E6"/>
      </left>
      <right/>
      <top style="medium">
        <color rgb="FFE4EAEC"/>
      </top>
      <bottom style="medium">
        <color rgb="FFE6E6E6"/>
      </bottom>
      <diagonal/>
    </border>
    <border>
      <left/>
      <right/>
      <top style="medium">
        <color rgb="FFE4EAEC"/>
      </top>
      <bottom style="medium">
        <color rgb="FFE6E6E6"/>
      </bottom>
      <diagonal/>
    </border>
    <border>
      <left/>
      <right style="medium">
        <color rgb="FFE6E6E6"/>
      </right>
      <top style="medium">
        <color rgb="FFE4EAEC"/>
      </top>
      <bottom style="medium">
        <color rgb="FFE6E6E6"/>
      </bottom>
      <diagonal/>
    </border>
    <border>
      <left/>
      <right style="medium">
        <color rgb="FFE6E6E6"/>
      </right>
      <top style="medium">
        <color rgb="FFE4EAEC"/>
      </top>
      <bottom/>
      <diagonal/>
    </border>
    <border>
      <left style="medium">
        <color rgb="FFE6E6E6"/>
      </left>
      <right style="medium">
        <color rgb="FFE4EAEC"/>
      </right>
      <top style="medium">
        <color rgb="FFE4EAEC"/>
      </top>
      <bottom/>
      <diagonal/>
    </border>
    <border>
      <left style="medium">
        <color rgb="FFE4EAEC"/>
      </left>
      <right style="medium">
        <color rgb="FFE6E6E6"/>
      </right>
      <top/>
      <bottom style="medium">
        <color rgb="FFE4EAEC"/>
      </bottom>
      <diagonal/>
    </border>
    <border>
      <left style="medium">
        <color rgb="FFE6E6E6"/>
      </left>
      <right style="medium">
        <color rgb="FFE6E6E6"/>
      </right>
      <top/>
      <bottom style="medium">
        <color rgb="FFE4EAEC"/>
      </bottom>
      <diagonal/>
    </border>
    <border>
      <left/>
      <right/>
      <top/>
      <bottom style="medium">
        <color rgb="FFE4EAEC"/>
      </bottom>
      <diagonal/>
    </border>
    <border>
      <left/>
      <right style="medium">
        <color rgb="FFE6E6E6"/>
      </right>
      <top/>
      <bottom style="medium">
        <color rgb="FFE4EAEC"/>
      </bottom>
      <diagonal/>
    </border>
    <border>
      <left style="medium">
        <color rgb="FFE6E6E6"/>
      </left>
      <right style="medium">
        <color rgb="FFE4EAEC"/>
      </right>
      <top/>
      <bottom style="medium">
        <color rgb="FFE4EAEC"/>
      </bottom>
      <diagonal/>
    </border>
    <border>
      <left style="medium">
        <color rgb="FFE4EAEC"/>
      </left>
      <right style="medium">
        <color rgb="FFE6E6E6"/>
      </right>
      <top style="medium">
        <color rgb="FFE4EAEC"/>
      </top>
      <bottom style="medium">
        <color rgb="FFE4EAEC"/>
      </bottom>
      <diagonal/>
    </border>
    <border>
      <left/>
      <right style="medium">
        <color rgb="FFE6E6E6"/>
      </right>
      <top style="medium">
        <color rgb="FFE4EAEC"/>
      </top>
      <bottom style="medium">
        <color rgb="FFE4EAEC"/>
      </bottom>
      <diagonal/>
    </border>
    <border>
      <left/>
      <right style="medium">
        <color rgb="FFE4EAEC"/>
      </right>
      <top style="medium">
        <color rgb="FFE4EAEC"/>
      </top>
      <bottom style="medium">
        <color rgb="FFE4EAEC"/>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23">
    <xf numFmtId="0" fontId="0" fillId="0" borderId="0">
      <alignment vertical="center"/>
    </xf>
    <xf numFmtId="0" fontId="89" fillId="0" borderId="0"/>
    <xf numFmtId="9" fontId="59" fillId="0" borderId="0" applyFont="0" applyFill="0" applyBorder="0" applyAlignment="0" applyProtection="0">
      <alignment vertical="center"/>
    </xf>
    <xf numFmtId="0" fontId="192" fillId="0" borderId="0">
      <alignment vertical="center"/>
    </xf>
    <xf numFmtId="0" fontId="192" fillId="0" borderId="0">
      <alignment vertical="center"/>
    </xf>
    <xf numFmtId="0" fontId="160" fillId="0" borderId="0"/>
    <xf numFmtId="0" fontId="89" fillId="0" borderId="0">
      <alignment vertical="center"/>
    </xf>
    <xf numFmtId="0" fontId="89" fillId="0" borderId="0">
      <alignment vertical="center"/>
    </xf>
    <xf numFmtId="0" fontId="192"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xf numFmtId="0" fontId="59" fillId="0" borderId="0"/>
    <xf numFmtId="0" fontId="89" fillId="0" borderId="0">
      <alignment vertical="center"/>
    </xf>
    <xf numFmtId="0" fontId="89" fillId="0" borderId="0">
      <alignment vertical="center"/>
    </xf>
    <xf numFmtId="0" fontId="59" fillId="0" borderId="0"/>
    <xf numFmtId="9" fontId="59" fillId="0" borderId="0" applyFont="0" applyFill="0" applyBorder="0" applyAlignment="0" applyProtection="0">
      <alignment vertical="center"/>
    </xf>
    <xf numFmtId="0" fontId="59" fillId="0" borderId="0"/>
    <xf numFmtId="0" fontId="59" fillId="0" borderId="0"/>
    <xf numFmtId="9" fontId="59" fillId="0" borderId="0" applyFont="0" applyFill="0" applyBorder="0" applyAlignment="0" applyProtection="0">
      <alignment vertical="center"/>
    </xf>
    <xf numFmtId="0" fontId="59" fillId="0" borderId="0"/>
    <xf numFmtId="9" fontId="59" fillId="0" borderId="0" applyFont="0" applyFill="0" applyBorder="0" applyAlignment="0" applyProtection="0">
      <alignment vertical="center"/>
    </xf>
  </cellStyleXfs>
  <cellXfs count="3884">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77"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78"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79"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0" fontId="32" fillId="0" borderId="0" xfId="0" applyNumberFormat="1" applyFont="1" applyFill="1" applyAlignment="1" applyProtection="1">
      <alignment horizontal="center" vertical="center"/>
    </xf>
    <xf numFmtId="181"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1"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1" applyFont="1" applyFill="1" applyBorder="1" applyAlignment="1" applyProtection="1">
      <alignment vertical="center"/>
    </xf>
    <xf numFmtId="182"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3"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3"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3"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1"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1" fontId="32" fillId="2" borderId="10" xfId="0" applyNumberFormat="1" applyFont="1" applyFill="1" applyBorder="1" applyAlignment="1" applyProtection="1">
      <alignment horizontal="center" vertical="center"/>
    </xf>
    <xf numFmtId="181"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7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4" fontId="28" fillId="2" borderId="56" xfId="0" applyNumberFormat="1" applyFont="1" applyFill="1" applyBorder="1" applyAlignment="1" applyProtection="1">
      <alignment horizontal="center" vertical="center" wrapText="1"/>
    </xf>
    <xf numFmtId="184"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0" fontId="34" fillId="2" borderId="54" xfId="0" applyNumberFormat="1" applyFont="1" applyFill="1" applyBorder="1" applyAlignment="1" applyProtection="1">
      <alignment horizontal="center" vertical="center"/>
    </xf>
    <xf numFmtId="181"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0" fontId="34" fillId="2" borderId="0" xfId="0" applyNumberFormat="1" applyFont="1" applyFill="1" applyBorder="1" applyAlignment="1" applyProtection="1">
      <alignment horizontal="center" vertical="center"/>
      <protection locked="0"/>
    </xf>
    <xf numFmtId="181" fontId="34" fillId="2" borderId="0" xfId="0" applyNumberFormat="1" applyFont="1" applyFill="1" applyBorder="1" applyAlignment="1" applyProtection="1">
      <alignment vertical="center"/>
      <protection locked="0"/>
    </xf>
    <xf numFmtId="18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1"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0" fontId="32" fillId="2" borderId="11" xfId="0" applyNumberFormat="1" applyFont="1" applyFill="1" applyBorder="1" applyAlignment="1" applyProtection="1">
      <alignment horizontal="center" vertical="center"/>
    </xf>
    <xf numFmtId="181" fontId="32" fillId="2" borderId="0" xfId="0" applyNumberFormat="1" applyFont="1" applyFill="1" applyBorder="1" applyAlignment="1" applyProtection="1">
      <alignment vertical="center" wrapText="1"/>
      <protection locked="0"/>
    </xf>
    <xf numFmtId="176" fontId="32" fillId="8" borderId="46" xfId="0" applyNumberFormat="1" applyFont="1" applyFill="1" applyBorder="1" applyAlignment="1" applyProtection="1">
      <alignment horizontal="left" vertical="center" wrapText="1"/>
    </xf>
    <xf numFmtId="180"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1" fillId="9"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180" fontId="31"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2" fillId="2" borderId="0" xfId="0" applyNumberFormat="1" applyFont="1" applyFill="1" applyBorder="1" applyAlignment="1" applyProtection="1">
      <alignment horizontal="center"/>
    </xf>
    <xf numFmtId="181"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85"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5"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5"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0" fontId="32" fillId="0" borderId="0" xfId="0" applyNumberFormat="1" applyFont="1" applyFill="1" applyAlignment="1" applyProtection="1">
      <alignment horizontal="center" vertical="center"/>
      <protection locked="0"/>
    </xf>
    <xf numFmtId="181"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0" fontId="32" fillId="2" borderId="0" xfId="0" applyNumberFormat="1" applyFont="1" applyFill="1" applyBorder="1" applyAlignment="1" applyProtection="1">
      <alignment horizontal="center"/>
      <protection locked="0"/>
    </xf>
    <xf numFmtId="181"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1" applyFont="1" applyFill="1" applyBorder="1" applyAlignment="1" applyProtection="1">
      <alignment vertical="center"/>
    </xf>
    <xf numFmtId="0" fontId="36" fillId="2" borderId="78" xfId="11" applyFont="1" applyFill="1" applyBorder="1" applyAlignment="1" applyProtection="1">
      <alignment vertical="center"/>
    </xf>
    <xf numFmtId="0" fontId="36" fillId="2" borderId="55" xfId="11" applyFont="1" applyFill="1" applyBorder="1" applyAlignment="1" applyProtection="1">
      <alignment vertical="center"/>
      <protection locked="0"/>
    </xf>
    <xf numFmtId="0" fontId="36" fillId="2" borderId="0" xfId="11" applyFont="1" applyFill="1" applyBorder="1" applyAlignment="1" applyProtection="1">
      <alignment vertical="center"/>
      <protection locked="0"/>
    </xf>
    <xf numFmtId="0" fontId="36" fillId="2" borderId="9" xfId="11" applyFont="1" applyFill="1" applyBorder="1" applyAlignment="1" applyProtection="1">
      <alignment horizontal="right" vertical="center"/>
    </xf>
    <xf numFmtId="0" fontId="36" fillId="9" borderId="0" xfId="11" applyFont="1" applyFill="1" applyBorder="1" applyAlignment="1" applyProtection="1">
      <alignment vertical="center"/>
      <protection locked="0"/>
    </xf>
    <xf numFmtId="0" fontId="50" fillId="2" borderId="9" xfId="11"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1" applyFont="1" applyFill="1" applyBorder="1" applyAlignment="1" applyProtection="1">
      <alignment vertical="center"/>
    </xf>
    <xf numFmtId="0" fontId="36"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77"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77"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53" fillId="3" borderId="14" xfId="11" applyFont="1" applyFill="1" applyBorder="1" applyAlignment="1" applyProtection="1">
      <alignment vertical="center"/>
      <protection locked="0"/>
    </xf>
    <xf numFmtId="0" fontId="54" fillId="2" borderId="10" xfId="11" applyFont="1" applyFill="1" applyBorder="1" applyAlignment="1" applyProtection="1">
      <alignment vertical="center"/>
    </xf>
    <xf numFmtId="177" fontId="17" fillId="0" borderId="1" xfId="11" applyNumberFormat="1" applyFont="1" applyFill="1" applyBorder="1" applyAlignment="1" applyProtection="1">
      <alignment horizontal="center" vertical="center"/>
      <protection locked="0"/>
    </xf>
    <xf numFmtId="0" fontId="17" fillId="0" borderId="1" xfId="1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79"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77" fontId="17" fillId="2" borderId="1" xfId="11" applyNumberFormat="1" applyFont="1" applyFill="1" applyBorder="1" applyAlignment="1" applyProtection="1">
      <alignment horizontal="center" vertical="center"/>
    </xf>
    <xf numFmtId="177"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55" fillId="2" borderId="10" xfId="11" applyFont="1" applyFill="1" applyBorder="1" applyAlignment="1" applyProtection="1">
      <alignment vertical="center"/>
    </xf>
    <xf numFmtId="177" fontId="55" fillId="2" borderId="1" xfId="11" applyNumberFormat="1" applyFont="1" applyFill="1" applyBorder="1" applyAlignment="1" applyProtection="1">
      <alignment horizontal="center" vertical="center"/>
    </xf>
    <xf numFmtId="0" fontId="56" fillId="2" borderId="10" xfId="11" applyFont="1" applyFill="1" applyBorder="1" applyAlignment="1" applyProtection="1">
      <alignment vertical="center"/>
    </xf>
    <xf numFmtId="177" fontId="55" fillId="0" borderId="1" xfId="11" applyNumberFormat="1" applyFont="1" applyFill="1" applyBorder="1" applyAlignment="1" applyProtection="1">
      <alignment horizontal="center" vertical="center"/>
      <protection locked="0"/>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77" fontId="20" fillId="2" borderId="8" xfId="11" applyNumberFormat="1" applyFont="1" applyFill="1" applyBorder="1" applyAlignment="1" applyProtection="1">
      <alignment horizontal="center" vertical="center"/>
    </xf>
    <xf numFmtId="179"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9"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6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2"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7"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7"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6" fillId="2" borderId="83" xfId="0" applyFont="1" applyFill="1" applyBorder="1" applyAlignment="1" applyProtection="1">
      <alignment horizontal="left" vertical="center"/>
    </xf>
    <xf numFmtId="181"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9"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1" fontId="16" fillId="2" borderId="72"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6" fillId="2" borderId="10" xfId="0" applyFont="1" applyFill="1" applyBorder="1" applyAlignment="1" applyProtection="1">
      <alignment vertical="center"/>
    </xf>
    <xf numFmtId="0" fontId="6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1" fontId="16" fillId="8" borderId="46"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49" fontId="7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6" fontId="21" fillId="2" borderId="14" xfId="0" applyNumberFormat="1" applyFont="1" applyFill="1" applyBorder="1" applyAlignment="1" applyProtection="1">
      <alignment horizontal="center" vertical="center"/>
    </xf>
    <xf numFmtId="0" fontId="7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2"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9"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1" fontId="21" fillId="0" borderId="14" xfId="0" applyNumberFormat="1" applyFont="1" applyFill="1" applyBorder="1" applyAlignment="1" applyProtection="1">
      <alignment horizontal="center" vertical="center"/>
      <protection locked="0"/>
    </xf>
    <xf numFmtId="18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1"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1"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3" fillId="2" borderId="89" xfId="0" applyFont="1" applyFill="1" applyBorder="1" applyAlignment="1" applyProtection="1">
      <alignment vertical="center"/>
    </xf>
    <xf numFmtId="0" fontId="73" fillId="2" borderId="66"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46" xfId="0" applyFont="1" applyFill="1" applyBorder="1" applyAlignment="1" applyProtection="1">
      <alignment vertical="center"/>
    </xf>
    <xf numFmtId="181"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3" fillId="2" borderId="97" xfId="0" applyFont="1" applyFill="1" applyBorder="1" applyAlignment="1" applyProtection="1">
      <alignment vertical="center"/>
    </xf>
    <xf numFmtId="0" fontId="73" fillId="2" borderId="95" xfId="0" applyFont="1" applyFill="1" applyBorder="1" applyAlignment="1" applyProtection="1">
      <alignment vertical="center"/>
    </xf>
    <xf numFmtId="0" fontId="6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9" fontId="19" fillId="2" borderId="0"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horizontal="left" vertical="center"/>
      <protection locked="0"/>
    </xf>
    <xf numFmtId="179" fontId="74"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2"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1"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1"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7"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2"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8" fillId="2" borderId="4" xfId="0" applyFont="1" applyFill="1" applyBorder="1" applyAlignment="1" applyProtection="1">
      <alignment vertical="center"/>
    </xf>
    <xf numFmtId="0" fontId="78" fillId="3" borderId="13" xfId="0" applyFont="1" applyFill="1" applyBorder="1" applyAlignment="1" applyProtection="1">
      <alignment horizontal="center" vertical="center"/>
      <protection locked="0"/>
    </xf>
    <xf numFmtId="0" fontId="78"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9" fillId="2" borderId="101" xfId="0" applyFont="1" applyFill="1" applyBorder="1" applyAlignment="1" applyProtection="1">
      <alignment vertical="center" wrapText="1"/>
    </xf>
    <xf numFmtId="0" fontId="79" fillId="2" borderId="100" xfId="0" applyFont="1" applyFill="1" applyBorder="1" applyAlignment="1" applyProtection="1">
      <alignment vertical="center"/>
    </xf>
    <xf numFmtId="0" fontId="78" fillId="2" borderId="6" xfId="0" applyFont="1" applyFill="1" applyBorder="1" applyAlignment="1" applyProtection="1">
      <alignment vertical="center"/>
    </xf>
    <xf numFmtId="0" fontId="79" fillId="3" borderId="14" xfId="0" applyFont="1" applyFill="1" applyBorder="1" applyAlignment="1" applyProtection="1">
      <alignment horizontal="center"/>
      <protection locked="0"/>
    </xf>
    <xf numFmtId="0" fontId="79"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0" fillId="2" borderId="102" xfId="0" applyFont="1" applyFill="1" applyBorder="1" applyAlignment="1" applyProtection="1">
      <alignment vertical="center" wrapText="1"/>
    </xf>
    <xf numFmtId="0" fontId="79"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1"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0" fillId="2" borderId="14" xfId="0" applyFont="1" applyFill="1" applyBorder="1" applyAlignment="1" applyProtection="1">
      <alignment horizontal="center"/>
    </xf>
    <xf numFmtId="0" fontId="80" fillId="2" borderId="102" xfId="0" applyFont="1" applyFill="1" applyBorder="1" applyAlignment="1" applyProtection="1">
      <alignment horizontal="right" vertical="center" wrapText="1"/>
    </xf>
    <xf numFmtId="49" fontId="78"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7" fontId="46"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8"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3" fillId="2" borderId="59" xfId="0" applyFont="1" applyFill="1" applyBorder="1" applyAlignment="1" applyProtection="1">
      <alignment horizontal="left" vertical="center" wrapText="1"/>
    </xf>
    <xf numFmtId="181" fontId="46" fillId="2" borderId="5" xfId="0" applyNumberFormat="1" applyFont="1" applyFill="1" applyBorder="1" applyAlignment="1" applyProtection="1">
      <alignment horizontal="center" vertical="center"/>
    </xf>
    <xf numFmtId="0" fontId="83"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4" fillId="2" borderId="0" xfId="0" applyFont="1" applyFill="1" applyAlignment="1" applyProtection="1">
      <alignment vertical="center"/>
    </xf>
    <xf numFmtId="0" fontId="78"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1" fontId="46" fillId="2" borderId="10" xfId="0" applyNumberFormat="1" applyFont="1" applyFill="1" applyBorder="1" applyAlignment="1" applyProtection="1">
      <alignment horizontal="center" vertical="center"/>
    </xf>
    <xf numFmtId="49" fontId="83"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8" fillId="2" borderId="1" xfId="0" applyFont="1" applyFill="1" applyBorder="1" applyAlignment="1" applyProtection="1"/>
    <xf numFmtId="0" fontId="78" fillId="2" borderId="1" xfId="0" applyFont="1" applyFill="1" applyBorder="1" applyAlignment="1" applyProtection="1">
      <alignment horizontal="center"/>
    </xf>
    <xf numFmtId="0" fontId="78"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1" fillId="6" borderId="0" xfId="0" applyFont="1" applyFill="1" applyAlignment="1" applyProtection="1">
      <alignment horizontal="center" vertical="center"/>
      <protection locked="0"/>
    </xf>
    <xf numFmtId="0" fontId="79" fillId="2" borderId="100"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10" fontId="80"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5" fillId="2" borderId="67" xfId="0" applyFont="1" applyFill="1" applyBorder="1" applyAlignment="1" applyProtection="1">
      <alignment vertical="center"/>
    </xf>
    <xf numFmtId="187" fontId="80"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7"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1"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7" fontId="36" fillId="2" borderId="0" xfId="0" applyNumberFormat="1" applyFont="1" applyFill="1" applyBorder="1" applyAlignment="1" applyProtection="1"/>
    <xf numFmtId="49" fontId="50"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6"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8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1" fillId="2" borderId="8" xfId="0" applyFont="1" applyFill="1" applyBorder="1" applyAlignment="1" applyProtection="1">
      <alignment horizontal="left" vertical="center"/>
    </xf>
    <xf numFmtId="0" fontId="87"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89" fillId="0" borderId="0" xfId="0" applyFont="1">
      <alignment vertical="center"/>
    </xf>
    <xf numFmtId="49" fontId="90" fillId="2" borderId="59" xfId="0" applyNumberFormat="1" applyFont="1" applyFill="1" applyBorder="1" applyAlignment="1" applyProtection="1"/>
    <xf numFmtId="0" fontId="89" fillId="2" borderId="0" xfId="0" applyFont="1" applyFill="1" applyProtection="1">
      <alignment vertical="center"/>
      <protection locked="0"/>
    </xf>
    <xf numFmtId="0" fontId="89" fillId="0" borderId="0" xfId="0" applyFont="1" applyProtection="1">
      <alignment vertical="center"/>
      <protection locked="0"/>
    </xf>
    <xf numFmtId="0" fontId="91" fillId="2" borderId="1" xfId="0" applyFont="1" applyFill="1" applyBorder="1" applyProtection="1">
      <alignment vertical="center"/>
    </xf>
    <xf numFmtId="0" fontId="89" fillId="2" borderId="1" xfId="0" applyFont="1" applyFill="1" applyBorder="1" applyAlignment="1" applyProtection="1">
      <alignment horizontal="right" vertical="center"/>
    </xf>
    <xf numFmtId="0" fontId="89" fillId="9" borderId="0" xfId="0" applyFont="1" applyFill="1" applyProtection="1">
      <alignment vertical="center"/>
      <protection locked="0"/>
    </xf>
    <xf numFmtId="0" fontId="89" fillId="2" borderId="1" xfId="0" applyFont="1" applyFill="1" applyBorder="1" applyAlignment="1" applyProtection="1">
      <alignment horizontal="center" vertical="center"/>
    </xf>
    <xf numFmtId="0" fontId="91" fillId="9" borderId="0" xfId="0" applyFont="1" applyFill="1" applyProtection="1">
      <alignment vertical="center"/>
      <protection locked="0"/>
    </xf>
    <xf numFmtId="0" fontId="91" fillId="2" borderId="1" xfId="0" applyFont="1" applyFill="1" applyBorder="1" applyAlignment="1" applyProtection="1">
      <alignment horizontal="left" vertical="center" wrapText="1"/>
    </xf>
    <xf numFmtId="0" fontId="89" fillId="2" borderId="1" xfId="0" applyFont="1" applyFill="1" applyBorder="1" applyProtection="1">
      <alignment vertical="center"/>
    </xf>
    <xf numFmtId="0" fontId="89" fillId="5" borderId="9" xfId="0" applyFont="1" applyFill="1" applyBorder="1" applyAlignment="1" applyProtection="1">
      <alignment horizontal="left" vertical="center"/>
      <protection locked="0"/>
    </xf>
    <xf numFmtId="0" fontId="89" fillId="5" borderId="1" xfId="0" applyFont="1" applyFill="1" applyBorder="1" applyAlignment="1" applyProtection="1">
      <alignment horizontal="left" vertical="center"/>
      <protection locked="0"/>
    </xf>
    <xf numFmtId="0" fontId="26" fillId="0" borderId="0" xfId="4" applyFont="1" applyAlignment="1">
      <alignment horizontal="left" vertical="center"/>
    </xf>
    <xf numFmtId="0" fontId="26" fillId="0" borderId="104" xfId="4" applyFont="1" applyBorder="1" applyAlignment="1">
      <alignment horizontal="left" vertical="center"/>
    </xf>
    <xf numFmtId="0" fontId="26" fillId="11" borderId="0" xfId="4" applyFont="1" applyFill="1" applyAlignment="1">
      <alignment horizontal="left" vertical="center"/>
    </xf>
    <xf numFmtId="0" fontId="26" fillId="0" borderId="0" xfId="4" applyFont="1" applyFill="1" applyAlignment="1">
      <alignment horizontal="left" vertical="center"/>
    </xf>
    <xf numFmtId="0" fontId="26" fillId="12" borderId="0" xfId="4" applyFont="1" applyFill="1" applyAlignment="1">
      <alignment horizontal="left" vertical="center"/>
    </xf>
    <xf numFmtId="0" fontId="92" fillId="12" borderId="0" xfId="4" applyFont="1" applyFill="1" applyAlignment="1">
      <alignment horizontal="left" vertical="center"/>
    </xf>
    <xf numFmtId="0" fontId="67" fillId="3" borderId="0" xfId="4" applyFont="1" applyFill="1" applyAlignment="1">
      <alignment horizontal="left" vertical="center"/>
    </xf>
    <xf numFmtId="0" fontId="67" fillId="0" borderId="17" xfId="4" applyFont="1" applyBorder="1" applyAlignment="1">
      <alignment horizontal="left" vertical="center"/>
    </xf>
    <xf numFmtId="0" fontId="82" fillId="0" borderId="0" xfId="4" applyFont="1" applyAlignment="1">
      <alignment horizontal="left" vertical="center"/>
    </xf>
    <xf numFmtId="0" fontId="67" fillId="0" borderId="0" xfId="4" applyFont="1" applyAlignment="1">
      <alignment horizontal="left" vertical="center"/>
    </xf>
    <xf numFmtId="0" fontId="67" fillId="0" borderId="105" xfId="4" applyFont="1" applyBorder="1" applyAlignment="1">
      <alignment horizontal="left" vertical="center"/>
    </xf>
    <xf numFmtId="0" fontId="81" fillId="2" borderId="104" xfId="7" applyFont="1" applyFill="1" applyBorder="1" applyAlignment="1" applyProtection="1">
      <alignment horizontal="left" vertical="center"/>
    </xf>
    <xf numFmtId="0" fontId="94" fillId="2" borderId="104" xfId="7" applyFont="1" applyFill="1" applyBorder="1" applyAlignment="1" applyProtection="1">
      <alignment horizontal="left" vertical="center"/>
    </xf>
    <xf numFmtId="0" fontId="26" fillId="0" borderId="106" xfId="4" applyFont="1" applyBorder="1" applyAlignment="1">
      <alignment horizontal="left" vertical="center"/>
    </xf>
    <xf numFmtId="0" fontId="3" fillId="11" borderId="0" xfId="8" applyFont="1" applyFill="1" applyAlignment="1">
      <alignment horizontal="left" vertical="center"/>
    </xf>
    <xf numFmtId="0" fontId="47" fillId="11" borderId="0" xfId="7" applyFont="1" applyFill="1" applyAlignment="1" applyProtection="1">
      <alignment horizontal="left" vertical="center"/>
    </xf>
    <xf numFmtId="0" fontId="94" fillId="11" borderId="0" xfId="7" applyFont="1" applyFill="1" applyAlignment="1" applyProtection="1">
      <alignment horizontal="left" vertical="center"/>
    </xf>
    <xf numFmtId="0" fontId="26" fillId="11" borderId="105" xfId="4" applyFont="1" applyFill="1" applyBorder="1" applyAlignment="1">
      <alignment horizontal="left" vertical="center"/>
    </xf>
    <xf numFmtId="0" fontId="26" fillId="11" borderId="0" xfId="4" applyFont="1" applyFill="1" applyBorder="1" applyAlignment="1">
      <alignment horizontal="left" vertical="center"/>
    </xf>
    <xf numFmtId="0" fontId="47" fillId="0" borderId="0" xfId="7" applyFont="1" applyFill="1" applyAlignment="1" applyProtection="1">
      <alignment horizontal="left" vertical="center"/>
    </xf>
    <xf numFmtId="0" fontId="94" fillId="0" borderId="0" xfId="7" applyFont="1" applyFill="1" applyAlignment="1" applyProtection="1">
      <alignment horizontal="left" vertical="center"/>
    </xf>
    <xf numFmtId="0" fontId="26" fillId="0" borderId="105" xfId="4" applyFont="1" applyFill="1" applyBorder="1" applyAlignment="1">
      <alignment horizontal="left" vertical="center"/>
    </xf>
    <xf numFmtId="0" fontId="26" fillId="0" borderId="0" xfId="4" applyFont="1" applyFill="1" applyBorder="1" applyAlignment="1">
      <alignment horizontal="left" vertical="center"/>
    </xf>
    <xf numFmtId="49" fontId="17" fillId="12" borderId="1" xfId="4" applyNumberFormat="1" applyFont="1" applyFill="1" applyBorder="1" applyAlignment="1" applyProtection="1">
      <alignment horizontal="left" vertical="center" wrapText="1"/>
    </xf>
    <xf numFmtId="182" fontId="92" fillId="12" borderId="0" xfId="4" applyNumberFormat="1" applyFont="1" applyFill="1" applyBorder="1" applyAlignment="1">
      <alignment horizontal="left" vertical="center"/>
    </xf>
    <xf numFmtId="0" fontId="95" fillId="12" borderId="107" xfId="4" applyFont="1" applyFill="1" applyBorder="1" applyAlignment="1" applyProtection="1">
      <alignment horizontal="left" vertical="center" wrapText="1"/>
    </xf>
    <xf numFmtId="49" fontId="17" fillId="2" borderId="1" xfId="4" applyNumberFormat="1" applyFont="1" applyFill="1" applyBorder="1" applyAlignment="1" applyProtection="1">
      <alignment horizontal="left" vertical="center" wrapText="1"/>
    </xf>
    <xf numFmtId="182" fontId="67" fillId="0" borderId="0" xfId="4" applyNumberFormat="1" applyFont="1" applyAlignment="1">
      <alignment horizontal="left" vertical="center"/>
    </xf>
    <xf numFmtId="0" fontId="95" fillId="9" borderId="107" xfId="4" applyFont="1" applyFill="1" applyBorder="1" applyAlignment="1" applyProtection="1">
      <alignment horizontal="left" vertical="center" wrapText="1"/>
    </xf>
    <xf numFmtId="0" fontId="95" fillId="13" borderId="108" xfId="4" applyFont="1" applyFill="1" applyBorder="1" applyAlignment="1" applyProtection="1">
      <alignment horizontal="left" vertical="center" wrapText="1"/>
    </xf>
    <xf numFmtId="182" fontId="26" fillId="13" borderId="108" xfId="8" applyNumberFormat="1" applyFont="1" applyFill="1" applyBorder="1" applyAlignment="1" applyProtection="1">
      <alignment horizontal="left" vertical="center" wrapText="1"/>
    </xf>
    <xf numFmtId="182" fontId="26" fillId="13" borderId="109" xfId="8" applyNumberFormat="1" applyFont="1" applyFill="1" applyBorder="1" applyAlignment="1" applyProtection="1">
      <alignment horizontal="left" vertical="center" wrapText="1"/>
    </xf>
    <xf numFmtId="0" fontId="95" fillId="13" borderId="107" xfId="4" applyFont="1" applyFill="1" applyBorder="1" applyAlignment="1" applyProtection="1">
      <alignment horizontal="left" vertical="center" wrapText="1"/>
    </xf>
    <xf numFmtId="182" fontId="26" fillId="13" borderId="108" xfId="8" applyNumberFormat="1" applyFont="1" applyFill="1" applyBorder="1" applyAlignment="1">
      <alignment horizontal="left" vertical="center" wrapText="1"/>
    </xf>
    <xf numFmtId="182" fontId="26" fillId="13" borderId="109" xfId="8" applyNumberFormat="1" applyFont="1" applyFill="1" applyBorder="1" applyAlignment="1">
      <alignment horizontal="left" vertical="center" wrapText="1"/>
    </xf>
    <xf numFmtId="182" fontId="26" fillId="13" borderId="108" xfId="4" applyNumberFormat="1" applyFont="1" applyFill="1" applyBorder="1" applyAlignment="1">
      <alignment horizontal="left" vertical="center" wrapText="1"/>
    </xf>
    <xf numFmtId="182" fontId="26" fillId="13" borderId="109" xfId="4" applyNumberFormat="1" applyFont="1" applyFill="1" applyBorder="1" applyAlignment="1">
      <alignment horizontal="left" vertical="center" wrapText="1"/>
    </xf>
    <xf numFmtId="0" fontId="95" fillId="13" borderId="115" xfId="4" applyFont="1" applyFill="1" applyBorder="1" applyAlignment="1" applyProtection="1">
      <alignment horizontal="left" vertical="center" wrapText="1"/>
    </xf>
    <xf numFmtId="0" fontId="95" fillId="9" borderId="108" xfId="4" applyFont="1" applyFill="1" applyBorder="1" applyAlignment="1" applyProtection="1">
      <alignment horizontal="left" vertical="center" wrapText="1"/>
    </xf>
    <xf numFmtId="182" fontId="26" fillId="13" borderId="107" xfId="4" applyNumberFormat="1" applyFont="1" applyFill="1" applyBorder="1" applyAlignment="1">
      <alignment horizontal="left" vertical="center" wrapText="1"/>
    </xf>
    <xf numFmtId="182" fontId="26" fillId="13" borderId="116" xfId="4" applyNumberFormat="1" applyFont="1" applyFill="1" applyBorder="1" applyAlignment="1">
      <alignment horizontal="left" vertical="center" wrapText="1"/>
    </xf>
    <xf numFmtId="0" fontId="67" fillId="9" borderId="108" xfId="4" applyFont="1" applyFill="1" applyBorder="1" applyAlignment="1" applyProtection="1">
      <alignment horizontal="left" vertical="center" wrapText="1"/>
    </xf>
    <xf numFmtId="49" fontId="17" fillId="3" borderId="1" xfId="4" applyNumberFormat="1" applyFont="1" applyFill="1" applyBorder="1" applyAlignment="1" applyProtection="1">
      <alignment horizontal="left" vertical="center" wrapText="1"/>
    </xf>
    <xf numFmtId="182" fontId="67" fillId="3" borderId="0" xfId="4" applyNumberFormat="1" applyFont="1" applyFill="1" applyAlignment="1">
      <alignment horizontal="left" vertical="center"/>
    </xf>
    <xf numFmtId="0" fontId="67" fillId="3" borderId="107" xfId="4" applyFont="1" applyFill="1" applyBorder="1" applyAlignment="1" applyProtection="1">
      <alignment horizontal="left" vertical="center" wrapText="1"/>
    </xf>
    <xf numFmtId="0" fontId="67" fillId="13" borderId="115" xfId="4" applyFont="1" applyFill="1" applyBorder="1" applyAlignment="1" applyProtection="1">
      <alignment horizontal="left" vertical="center" wrapText="1"/>
    </xf>
    <xf numFmtId="182" fontId="26" fillId="13" borderId="115" xfId="4" applyNumberFormat="1" applyFont="1" applyFill="1" applyBorder="1" applyAlignment="1">
      <alignment horizontal="left" vertical="center" wrapText="1"/>
    </xf>
    <xf numFmtId="182" fontId="26" fillId="13" borderId="117" xfId="4" applyNumberFormat="1" applyFont="1" applyFill="1" applyBorder="1" applyAlignment="1">
      <alignment horizontal="left" vertical="center" wrapText="1"/>
    </xf>
    <xf numFmtId="182" fontId="67" fillId="12" borderId="0" xfId="4" applyNumberFormat="1" applyFont="1" applyFill="1" applyAlignment="1">
      <alignment horizontal="left" vertical="center"/>
    </xf>
    <xf numFmtId="182" fontId="67" fillId="0" borderId="17" xfId="4" applyNumberFormat="1" applyFont="1" applyBorder="1" applyAlignment="1">
      <alignment horizontal="left" vertical="center"/>
    </xf>
    <xf numFmtId="0" fontId="95" fillId="9" borderId="118" xfId="4" applyFont="1" applyFill="1" applyBorder="1" applyAlignment="1" applyProtection="1">
      <alignment horizontal="left" vertical="center" wrapText="1"/>
    </xf>
    <xf numFmtId="0" fontId="95" fillId="13" borderId="119" xfId="4" applyFont="1" applyFill="1" applyBorder="1" applyAlignment="1" applyProtection="1">
      <alignment horizontal="left" vertical="center" wrapText="1"/>
    </xf>
    <xf numFmtId="0" fontId="92" fillId="11" borderId="0" xfId="8" applyFont="1" applyFill="1" applyBorder="1" applyAlignment="1" applyProtection="1">
      <alignment horizontal="left" vertical="center"/>
      <protection locked="0"/>
    </xf>
    <xf numFmtId="0" fontId="26" fillId="0" borderId="0" xfId="4" applyFont="1" applyFill="1" applyBorder="1" applyAlignment="1" applyProtection="1">
      <alignment horizontal="left" vertical="center"/>
      <protection locked="0"/>
    </xf>
    <xf numFmtId="0" fontId="92" fillId="12" borderId="0" xfId="4" applyFont="1" applyFill="1" applyBorder="1" applyAlignment="1" applyProtection="1">
      <alignment horizontal="left" vertical="center"/>
      <protection locked="0"/>
    </xf>
    <xf numFmtId="10" fontId="92" fillId="12" borderId="120" xfId="4" applyNumberFormat="1" applyFont="1" applyFill="1" applyBorder="1" applyAlignment="1">
      <alignment horizontal="left" vertical="center"/>
    </xf>
    <xf numFmtId="0" fontId="95" fillId="9" borderId="107" xfId="8" applyFont="1" applyFill="1" applyBorder="1" applyAlignment="1" applyProtection="1">
      <alignment horizontal="left" vertical="center" wrapText="1"/>
    </xf>
    <xf numFmtId="0" fontId="95" fillId="9" borderId="121" xfId="8" applyFont="1" applyFill="1" applyBorder="1" applyAlignment="1" applyProtection="1">
      <alignment horizontal="left" vertical="center" wrapText="1"/>
    </xf>
    <xf numFmtId="10" fontId="67" fillId="0" borderId="105" xfId="4" applyNumberFormat="1" applyFont="1" applyBorder="1" applyAlignment="1">
      <alignment horizontal="left" vertical="center"/>
    </xf>
    <xf numFmtId="10" fontId="67" fillId="0" borderId="0" xfId="4" applyNumberFormat="1" applyFont="1" applyAlignment="1">
      <alignment horizontal="left" vertical="center"/>
    </xf>
    <xf numFmtId="0" fontId="95" fillId="9" borderId="121" xfId="4" applyFont="1" applyFill="1" applyBorder="1" applyAlignment="1" applyProtection="1">
      <alignment horizontal="left" vertical="center" wrapText="1"/>
    </xf>
    <xf numFmtId="0" fontId="95" fillId="13" borderId="122" xfId="4" applyFont="1" applyFill="1" applyBorder="1" applyAlignment="1" applyProtection="1">
      <alignment horizontal="left" vertical="center" wrapText="1"/>
    </xf>
    <xf numFmtId="0" fontId="95" fillId="13" borderId="121" xfId="4" applyFont="1" applyFill="1" applyBorder="1" applyAlignment="1" applyProtection="1">
      <alignment horizontal="left" vertical="center" wrapText="1"/>
    </xf>
    <xf numFmtId="10" fontId="67" fillId="0" borderId="123" xfId="4" applyNumberFormat="1" applyFont="1" applyBorder="1" applyAlignment="1">
      <alignment horizontal="left" vertical="center"/>
    </xf>
    <xf numFmtId="10" fontId="67" fillId="0" borderId="54" xfId="4" applyNumberFormat="1" applyFont="1" applyBorder="1" applyAlignment="1">
      <alignment horizontal="left" vertical="center"/>
    </xf>
    <xf numFmtId="10" fontId="67" fillId="0" borderId="0" xfId="4" applyNumberFormat="1" applyFont="1" applyBorder="1" applyAlignment="1">
      <alignment horizontal="left" vertical="center"/>
    </xf>
    <xf numFmtId="10" fontId="67" fillId="0" borderId="120" xfId="4" applyNumberFormat="1" applyFont="1" applyBorder="1" applyAlignment="1">
      <alignment horizontal="left" vertical="center"/>
    </xf>
    <xf numFmtId="10" fontId="67" fillId="0" borderId="89" xfId="4" applyNumberFormat="1" applyFont="1" applyBorder="1" applyAlignment="1">
      <alignment horizontal="left" vertical="center"/>
    </xf>
    <xf numFmtId="0" fontId="95" fillId="13" borderId="124" xfId="4" applyFont="1" applyFill="1" applyBorder="1" applyAlignment="1" applyProtection="1">
      <alignment horizontal="left" vertical="center" wrapText="1"/>
    </xf>
    <xf numFmtId="0" fontId="95" fillId="9" borderId="122" xfId="4" applyFont="1" applyFill="1" applyBorder="1" applyAlignment="1" applyProtection="1">
      <alignment horizontal="left" vertical="center" wrapText="1"/>
    </xf>
    <xf numFmtId="0" fontId="67" fillId="9" borderId="122" xfId="4" applyFont="1" applyFill="1" applyBorder="1" applyAlignment="1" applyProtection="1">
      <alignment horizontal="left" vertical="center" wrapText="1"/>
    </xf>
    <xf numFmtId="0" fontId="67" fillId="3" borderId="121" xfId="4" applyFont="1" applyFill="1" applyBorder="1" applyAlignment="1" applyProtection="1">
      <alignment horizontal="left" vertical="center" wrapText="1"/>
    </xf>
    <xf numFmtId="10" fontId="67" fillId="3" borderId="105" xfId="4" applyNumberFormat="1" applyFont="1" applyFill="1" applyBorder="1" applyAlignment="1">
      <alignment horizontal="left" vertical="center"/>
    </xf>
    <xf numFmtId="10" fontId="67" fillId="3" borderId="0" xfId="4" applyNumberFormat="1" applyFont="1" applyFill="1" applyAlignment="1">
      <alignment horizontal="left" vertical="center"/>
    </xf>
    <xf numFmtId="0" fontId="67" fillId="13" borderId="124" xfId="4" applyFont="1" applyFill="1" applyBorder="1" applyAlignment="1" applyProtection="1">
      <alignment horizontal="left" vertical="center" wrapText="1"/>
    </xf>
    <xf numFmtId="0" fontId="95" fillId="9" borderId="125" xfId="4" applyFont="1" applyFill="1" applyBorder="1" applyAlignment="1" applyProtection="1">
      <alignment horizontal="left" vertical="center" wrapText="1"/>
    </xf>
    <xf numFmtId="10" fontId="67" fillId="0" borderId="126" xfId="4" applyNumberFormat="1" applyFont="1" applyBorder="1" applyAlignment="1">
      <alignment horizontal="left" vertical="center"/>
    </xf>
    <xf numFmtId="10" fontId="67" fillId="0" borderId="17" xfId="4" applyNumberFormat="1" applyFont="1" applyBorder="1" applyAlignment="1">
      <alignment horizontal="left" vertical="center"/>
    </xf>
    <xf numFmtId="0" fontId="95" fillId="13" borderId="127" xfId="4" applyFont="1" applyFill="1" applyBorder="1" applyAlignment="1" applyProtection="1">
      <alignment horizontal="left" vertical="center" wrapText="1"/>
    </xf>
    <xf numFmtId="10" fontId="67" fillId="14" borderId="105" xfId="4" applyNumberFormat="1" applyFont="1" applyFill="1" applyBorder="1" applyAlignment="1">
      <alignment horizontal="left" vertical="center"/>
    </xf>
    <xf numFmtId="10" fontId="67" fillId="14" borderId="0" xfId="4" applyNumberFormat="1" applyFont="1" applyFill="1" applyAlignment="1">
      <alignment horizontal="left" vertical="center"/>
    </xf>
    <xf numFmtId="10" fontId="67" fillId="14" borderId="120" xfId="4" applyNumberFormat="1" applyFont="1" applyFill="1" applyBorder="1" applyAlignment="1">
      <alignment horizontal="left" vertical="center"/>
    </xf>
    <xf numFmtId="10" fontId="67" fillId="14" borderId="89" xfId="4" applyNumberFormat="1" applyFont="1" applyFill="1" applyBorder="1" applyAlignment="1">
      <alignment horizontal="left" vertical="center"/>
    </xf>
    <xf numFmtId="0" fontId="11" fillId="11" borderId="0" xfId="8" applyFont="1" applyFill="1" applyAlignment="1">
      <alignment horizontal="left" vertical="center"/>
    </xf>
    <xf numFmtId="0" fontId="67" fillId="11" borderId="0" xfId="4" applyFont="1" applyFill="1" applyAlignment="1">
      <alignment horizontal="left" vertical="center"/>
    </xf>
    <xf numFmtId="0" fontId="26" fillId="0" borderId="0" xfId="8" applyFont="1" applyFill="1" applyAlignment="1">
      <alignment horizontal="left" vertical="center"/>
    </xf>
    <xf numFmtId="0" fontId="26" fillId="12" borderId="105" xfId="4" applyFont="1" applyFill="1" applyBorder="1" applyAlignment="1">
      <alignment horizontal="left" vertical="center"/>
    </xf>
    <xf numFmtId="0" fontId="82" fillId="3" borderId="0" xfId="8" applyFont="1" applyFill="1" applyAlignment="1">
      <alignment horizontal="left" vertical="center"/>
    </xf>
    <xf numFmtId="0" fontId="67" fillId="12" borderId="0" xfId="4" applyFont="1" applyFill="1" applyAlignment="1">
      <alignment horizontal="left" vertical="center"/>
    </xf>
    <xf numFmtId="177" fontId="67" fillId="0" borderId="0" xfId="4" applyNumberFormat="1" applyFont="1" applyAlignment="1">
      <alignment horizontal="left" vertical="center"/>
    </xf>
    <xf numFmtId="181" fontId="67" fillId="0" borderId="105" xfId="4" applyNumberFormat="1" applyFont="1" applyBorder="1" applyAlignment="1">
      <alignment horizontal="left" vertical="center"/>
    </xf>
    <xf numFmtId="181" fontId="67" fillId="0" borderId="0" xfId="4" applyNumberFormat="1" applyFont="1" applyAlignment="1">
      <alignment horizontal="left" vertical="center"/>
    </xf>
    <xf numFmtId="177" fontId="67" fillId="3" borderId="0" xfId="4" applyNumberFormat="1" applyFont="1" applyFill="1" applyAlignment="1">
      <alignment horizontal="left" vertical="center"/>
    </xf>
    <xf numFmtId="10" fontId="67" fillId="3" borderId="120" xfId="4" applyNumberFormat="1" applyFont="1" applyFill="1" applyBorder="1" applyAlignment="1">
      <alignment horizontal="left" vertical="center"/>
    </xf>
    <xf numFmtId="10" fontId="67" fillId="3" borderId="89" xfId="4" applyNumberFormat="1" applyFont="1" applyFill="1" applyBorder="1" applyAlignment="1">
      <alignment horizontal="left" vertical="center"/>
    </xf>
    <xf numFmtId="0" fontId="6" fillId="3" borderId="0" xfId="4" applyFont="1" applyFill="1" applyAlignment="1">
      <alignment horizontal="left" vertical="center"/>
    </xf>
    <xf numFmtId="0" fontId="67" fillId="3" borderId="0" xfId="4" applyNumberFormat="1" applyFont="1" applyFill="1" applyAlignment="1">
      <alignment horizontal="left" vertical="center"/>
    </xf>
    <xf numFmtId="14" fontId="67" fillId="0" borderId="0" xfId="4" applyNumberFormat="1" applyFont="1" applyAlignment="1">
      <alignment horizontal="left" vertical="center"/>
    </xf>
    <xf numFmtId="0" fontId="67" fillId="0" borderId="0" xfId="4" applyNumberFormat="1" applyFont="1" applyAlignment="1">
      <alignment horizontal="left" vertical="center"/>
    </xf>
    <xf numFmtId="177" fontId="67" fillId="0" borderId="17" xfId="4" applyNumberFormat="1" applyFont="1" applyBorder="1" applyAlignment="1">
      <alignment horizontal="left" vertical="center"/>
    </xf>
    <xf numFmtId="190" fontId="67" fillId="0" borderId="0" xfId="4" applyNumberFormat="1" applyFont="1" applyAlignment="1">
      <alignment horizontal="left" vertical="center"/>
    </xf>
    <xf numFmtId="10" fontId="67" fillId="11" borderId="0" xfId="4" applyNumberFormat="1" applyFont="1" applyFill="1" applyAlignment="1">
      <alignment horizontal="left" vertical="center"/>
    </xf>
    <xf numFmtId="10" fontId="67" fillId="12" borderId="0" xfId="4" applyNumberFormat="1" applyFont="1" applyFill="1" applyAlignment="1">
      <alignment horizontal="left" vertical="center"/>
    </xf>
    <xf numFmtId="0" fontId="6" fillId="0" borderId="0" xfId="4" applyFont="1" applyAlignment="1">
      <alignment horizontal="left" vertical="center"/>
    </xf>
    <xf numFmtId="0" fontId="26" fillId="9" borderId="128" xfId="4" applyFont="1" applyFill="1" applyBorder="1" applyAlignment="1">
      <alignment horizontal="left" vertical="center" wrapText="1"/>
    </xf>
    <xf numFmtId="0" fontId="26" fillId="9" borderId="129" xfId="4" applyFont="1" applyFill="1" applyBorder="1" applyAlignment="1">
      <alignment horizontal="left" vertical="center" wrapText="1"/>
    </xf>
    <xf numFmtId="177" fontId="67" fillId="14" borderId="0" xfId="4" applyNumberFormat="1" applyFont="1" applyFill="1" applyAlignment="1">
      <alignment horizontal="left" vertical="center"/>
    </xf>
    <xf numFmtId="0" fontId="95" fillId="9" borderId="115" xfId="4" applyFont="1" applyFill="1" applyBorder="1" applyAlignment="1" applyProtection="1">
      <alignment horizontal="left" vertical="center" wrapText="1"/>
    </xf>
    <xf numFmtId="0" fontId="26" fillId="13" borderId="115" xfId="4" applyFont="1" applyFill="1" applyBorder="1" applyAlignment="1">
      <alignment horizontal="left" vertical="center" wrapText="1"/>
    </xf>
    <xf numFmtId="0" fontId="26" fillId="13" borderId="117" xfId="4" applyFont="1" applyFill="1" applyBorder="1" applyAlignment="1">
      <alignment horizontal="left" vertical="center" wrapText="1"/>
    </xf>
    <xf numFmtId="0" fontId="95" fillId="3" borderId="107" xfId="4" applyFont="1" applyFill="1" applyBorder="1" applyAlignment="1" applyProtection="1">
      <alignment horizontal="left" vertical="center" wrapText="1"/>
    </xf>
    <xf numFmtId="0" fontId="26" fillId="13" borderId="130" xfId="4" applyFont="1" applyFill="1" applyBorder="1" applyAlignment="1">
      <alignment horizontal="left" vertical="center" wrapText="1"/>
    </xf>
    <xf numFmtId="0" fontId="26" fillId="13" borderId="131" xfId="4" applyFont="1" applyFill="1" applyBorder="1" applyAlignment="1">
      <alignment horizontal="left" vertical="center" wrapText="1"/>
    </xf>
    <xf numFmtId="0" fontId="26" fillId="13" borderId="132" xfId="4" applyFont="1" applyFill="1" applyBorder="1" applyAlignment="1">
      <alignment horizontal="left" vertical="center" wrapText="1"/>
    </xf>
    <xf numFmtId="0" fontId="13" fillId="0" borderId="0" xfId="4" applyFont="1" applyAlignment="1">
      <alignment horizontal="left" vertical="center"/>
    </xf>
    <xf numFmtId="0" fontId="82" fillId="0" borderId="105" xfId="4" applyFont="1" applyBorder="1" applyAlignment="1">
      <alignment horizontal="left" vertical="center"/>
    </xf>
    <xf numFmtId="10" fontId="67" fillId="14" borderId="126" xfId="4" applyNumberFormat="1" applyFont="1" applyFill="1" applyBorder="1" applyAlignment="1">
      <alignment horizontal="left" vertical="center"/>
    </xf>
    <xf numFmtId="10" fontId="67" fillId="14" borderId="17" xfId="4" applyNumberFormat="1" applyFont="1" applyFill="1" applyBorder="1" applyAlignment="1">
      <alignment horizontal="left" vertical="center"/>
    </xf>
    <xf numFmtId="191" fontId="67" fillId="0" borderId="0" xfId="4" applyNumberFormat="1" applyFont="1" applyAlignment="1">
      <alignment horizontal="left" vertical="center"/>
    </xf>
    <xf numFmtId="191" fontId="67" fillId="0" borderId="105" xfId="4" applyNumberFormat="1" applyFont="1" applyBorder="1" applyAlignment="1">
      <alignment horizontal="left" vertical="center"/>
    </xf>
    <xf numFmtId="191" fontId="67" fillId="3" borderId="0" xfId="4" applyNumberFormat="1" applyFont="1" applyFill="1" applyAlignment="1">
      <alignment horizontal="left" vertical="center"/>
    </xf>
    <xf numFmtId="0" fontId="67" fillId="3" borderId="105" xfId="4" applyFont="1" applyFill="1" applyBorder="1" applyAlignment="1">
      <alignment horizontal="left" vertical="center"/>
    </xf>
    <xf numFmtId="191" fontId="82" fillId="0" borderId="0" xfId="4" applyNumberFormat="1" applyFont="1" applyAlignment="1">
      <alignment horizontal="left" vertical="center"/>
    </xf>
    <xf numFmtId="191" fontId="82" fillId="0" borderId="105" xfId="4" applyNumberFormat="1" applyFont="1" applyBorder="1" applyAlignment="1">
      <alignment horizontal="left" vertical="center"/>
    </xf>
    <xf numFmtId="190" fontId="67" fillId="0" borderId="17" xfId="4" applyNumberFormat="1" applyFont="1" applyBorder="1" applyAlignment="1">
      <alignment horizontal="left" vertical="center"/>
    </xf>
    <xf numFmtId="190" fontId="67" fillId="3" borderId="0" xfId="4" applyNumberFormat="1" applyFont="1" applyFill="1" applyAlignment="1">
      <alignment horizontal="left" vertical="center"/>
    </xf>
    <xf numFmtId="0" fontId="95" fillId="9" borderId="133" xfId="4" applyFont="1" applyFill="1" applyBorder="1" applyAlignment="1">
      <alignment horizontal="left" vertical="center" wrapText="1"/>
    </xf>
    <xf numFmtId="0" fontId="95" fillId="9" borderId="108" xfId="4" applyFont="1" applyFill="1" applyBorder="1" applyAlignment="1">
      <alignment horizontal="left" vertical="center" wrapText="1"/>
    </xf>
    <xf numFmtId="0" fontId="95" fillId="13" borderId="134" xfId="4" applyFont="1" applyFill="1" applyBorder="1" applyAlignment="1">
      <alignment horizontal="left" vertical="center" wrapText="1"/>
    </xf>
    <xf numFmtId="0" fontId="95" fillId="13" borderId="107" xfId="4" applyFont="1" applyFill="1" applyBorder="1" applyAlignment="1">
      <alignment horizontal="left" vertical="center" wrapText="1"/>
    </xf>
    <xf numFmtId="0" fontId="95" fillId="9" borderId="134" xfId="4" applyFont="1" applyFill="1" applyBorder="1" applyAlignment="1">
      <alignment horizontal="left" vertical="center" wrapText="1"/>
    </xf>
    <xf numFmtId="0" fontId="95" fillId="9" borderId="107" xfId="4" applyFont="1" applyFill="1" applyBorder="1" applyAlignment="1">
      <alignment horizontal="left" vertical="center" wrapText="1"/>
    </xf>
    <xf numFmtId="0" fontId="95" fillId="13" borderId="135" xfId="4" applyFont="1" applyFill="1" applyBorder="1" applyAlignment="1">
      <alignment horizontal="left" vertical="center" wrapText="1"/>
    </xf>
    <xf numFmtId="0" fontId="95" fillId="13" borderId="115" xfId="4"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96" fillId="2" borderId="0" xfId="0" applyFont="1" applyFill="1" applyAlignment="1" applyProtection="1">
      <alignment horizontal="center" vertical="center"/>
    </xf>
    <xf numFmtId="0" fontId="97" fillId="2" borderId="40" xfId="0" applyFont="1" applyFill="1" applyBorder="1" applyAlignment="1" applyProtection="1">
      <alignment horizontal="center" vertical="center"/>
    </xf>
    <xf numFmtId="0" fontId="97" fillId="2" borderId="69" xfId="0" applyFont="1" applyFill="1" applyBorder="1" applyAlignment="1" applyProtection="1">
      <alignment vertical="center" wrapText="1"/>
    </xf>
    <xf numFmtId="0" fontId="97" fillId="2" borderId="9" xfId="0" applyFont="1" applyFill="1" applyBorder="1" applyAlignment="1" applyProtection="1">
      <alignment horizontal="center" vertical="center"/>
    </xf>
    <xf numFmtId="0" fontId="98" fillId="2" borderId="69" xfId="0" applyFont="1" applyFill="1" applyBorder="1" applyAlignment="1" applyProtection="1">
      <alignment vertical="center" wrapText="1"/>
    </xf>
    <xf numFmtId="0" fontId="98"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0" fontId="98" fillId="2" borderId="1" xfId="0" applyFont="1" applyFill="1" applyBorder="1" applyAlignment="1" applyProtection="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98" fillId="2" borderId="3" xfId="0" applyFont="1" applyFill="1" applyBorder="1" applyAlignment="1" applyProtection="1">
      <alignment horizontal="center" vertical="center" wrapText="1"/>
    </xf>
    <xf numFmtId="0" fontId="98" fillId="2" borderId="60" xfId="0" applyFont="1" applyFill="1" applyBorder="1" applyAlignment="1" applyProtection="1">
      <alignment vertical="center" wrapText="1"/>
    </xf>
    <xf numFmtId="0" fontId="98"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98"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0" fontId="98" fillId="2" borderId="9" xfId="0" applyFont="1" applyFill="1" applyBorder="1" applyAlignment="1" applyProtection="1">
      <alignment horizontal="center" vertical="center" wrapText="1"/>
    </xf>
    <xf numFmtId="10" fontId="67" fillId="0" borderId="9" xfId="0" applyNumberFormat="1" applyFont="1" applyBorder="1" applyAlignment="1">
      <alignment horizontal="center" vertical="center" wrapText="1"/>
    </xf>
    <xf numFmtId="0" fontId="98" fillId="2" borderId="103"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98"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79" fontId="89" fillId="0" borderId="0" xfId="9" applyNumberFormat="1" applyProtection="1">
      <alignment vertical="center"/>
    </xf>
    <xf numFmtId="0" fontId="89" fillId="0" borderId="0" xfId="9" applyNumberFormat="1" applyProtection="1">
      <alignment vertical="center"/>
    </xf>
    <xf numFmtId="179" fontId="49" fillId="0" borderId="89" xfId="9" applyNumberFormat="1" applyFont="1" applyBorder="1" applyAlignment="1" applyProtection="1">
      <alignment vertical="center"/>
    </xf>
    <xf numFmtId="0" fontId="49" fillId="0" borderId="89" xfId="9" applyNumberFormat="1" applyFont="1" applyBorder="1" applyAlignment="1" applyProtection="1">
      <alignment vertical="center"/>
    </xf>
    <xf numFmtId="179" fontId="99" fillId="2" borderId="1" xfId="9" applyNumberFormat="1" applyFont="1" applyFill="1" applyBorder="1" applyAlignment="1" applyProtection="1">
      <alignment horizontal="center" vertical="center"/>
    </xf>
    <xf numFmtId="0" fontId="99" fillId="2" borderId="1" xfId="9" applyNumberFormat="1" applyFont="1" applyFill="1" applyBorder="1" applyAlignment="1" applyProtection="1">
      <alignment horizontal="center" vertical="center"/>
    </xf>
    <xf numFmtId="0" fontId="99" fillId="2" borderId="1" xfId="9" applyNumberFormat="1" applyFont="1" applyFill="1" applyBorder="1" applyAlignment="1" applyProtection="1">
      <alignment horizontal="center" vertical="center" wrapText="1"/>
    </xf>
    <xf numFmtId="0" fontId="100" fillId="2" borderId="1" xfId="9" applyNumberFormat="1" applyFont="1" applyFill="1" applyBorder="1" applyAlignment="1" applyProtection="1">
      <alignment horizontal="center" vertical="center"/>
    </xf>
    <xf numFmtId="179" fontId="99" fillId="2" borderId="1" xfId="9" applyNumberFormat="1" applyFont="1" applyFill="1" applyBorder="1" applyAlignment="1" applyProtection="1">
      <alignment horizontal="center" vertical="center" wrapText="1"/>
    </xf>
    <xf numFmtId="0" fontId="99" fillId="2" borderId="35" xfId="9" applyNumberFormat="1" applyFont="1" applyFill="1" applyBorder="1" applyAlignment="1" applyProtection="1">
      <alignment horizontal="center" vertical="center"/>
    </xf>
    <xf numFmtId="0" fontId="89" fillId="0" borderId="0" xfId="9" applyNumberFormat="1" applyFont="1" applyProtection="1">
      <alignment vertical="center"/>
    </xf>
    <xf numFmtId="0" fontId="4" fillId="2" borderId="0" xfId="10" applyFont="1" applyFill="1" applyProtection="1">
      <alignment vertical="center"/>
    </xf>
    <xf numFmtId="0" fontId="89" fillId="2" borderId="21" xfId="10" applyFill="1" applyBorder="1" applyProtection="1">
      <alignment vertical="center"/>
    </xf>
    <xf numFmtId="0" fontId="89" fillId="2" borderId="0" xfId="10" applyFill="1" applyAlignment="1" applyProtection="1">
      <alignment horizontal="center" vertical="center"/>
    </xf>
    <xf numFmtId="0" fontId="89" fillId="2" borderId="0" xfId="10" applyFill="1" applyProtection="1">
      <alignment vertical="center"/>
    </xf>
    <xf numFmtId="0" fontId="4" fillId="2" borderId="55" xfId="10" applyFont="1" applyFill="1" applyBorder="1" applyProtection="1">
      <alignment vertical="center"/>
    </xf>
    <xf numFmtId="0" fontId="97"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97" fillId="2" borderId="8" xfId="10" applyFont="1" applyFill="1" applyBorder="1" applyAlignment="1" applyProtection="1">
      <alignment horizontal="center" vertical="center"/>
    </xf>
    <xf numFmtId="0" fontId="97" fillId="2" borderId="42" xfId="10" applyFont="1" applyFill="1" applyBorder="1" applyAlignment="1" applyProtection="1">
      <alignment horizontal="center" vertical="center"/>
    </xf>
    <xf numFmtId="0" fontId="98" fillId="2" borderId="69" xfId="10" applyFont="1" applyFill="1" applyBorder="1" applyAlignment="1" applyProtection="1">
      <alignment vertical="center" wrapText="1"/>
    </xf>
    <xf numFmtId="0" fontId="98" fillId="2" borderId="5" xfId="10" applyFont="1" applyFill="1" applyBorder="1" applyAlignment="1" applyProtection="1">
      <alignment horizontal="center" vertical="center" wrapText="1"/>
    </xf>
    <xf numFmtId="0" fontId="98" fillId="2" borderId="39" xfId="10" applyFont="1" applyFill="1" applyBorder="1" applyAlignment="1" applyProtection="1">
      <alignment horizontal="center" vertical="center" wrapText="1"/>
    </xf>
    <xf numFmtId="0" fontId="102" fillId="2" borderId="4" xfId="10" applyFont="1" applyFill="1" applyBorder="1" applyAlignment="1" applyProtection="1">
      <alignment horizontal="center" vertical="center"/>
    </xf>
    <xf numFmtId="0" fontId="102" fillId="2" borderId="39" xfId="10" applyFont="1" applyFill="1" applyBorder="1" applyProtection="1">
      <alignment vertical="center"/>
    </xf>
    <xf numFmtId="0" fontId="98" fillId="2" borderId="1" xfId="10" applyFont="1" applyFill="1" applyBorder="1" applyAlignment="1" applyProtection="1">
      <alignment horizontal="center" vertical="center" wrapText="1"/>
    </xf>
    <xf numFmtId="0" fontId="98" fillId="2" borderId="34" xfId="10" applyFont="1" applyFill="1" applyBorder="1" applyAlignment="1" applyProtection="1">
      <alignment horizontal="center" vertical="center" wrapText="1"/>
    </xf>
    <xf numFmtId="0" fontId="102" fillId="2" borderId="6" xfId="10" applyFont="1" applyFill="1" applyBorder="1" applyAlignment="1" applyProtection="1">
      <alignment horizontal="center" vertical="center"/>
    </xf>
    <xf numFmtId="0" fontId="102" fillId="2" borderId="10" xfId="10" applyFont="1" applyFill="1" applyBorder="1" applyProtection="1">
      <alignment vertical="center"/>
    </xf>
    <xf numFmtId="0" fontId="98" fillId="2" borderId="3" xfId="10" applyFont="1" applyFill="1" applyBorder="1" applyAlignment="1" applyProtection="1">
      <alignment horizontal="center" vertical="center" wrapText="1"/>
    </xf>
    <xf numFmtId="0" fontId="98" fillId="2" borderId="80" xfId="10" applyFont="1" applyFill="1" applyBorder="1" applyAlignment="1" applyProtection="1">
      <alignment horizontal="center" vertical="center" wrapText="1"/>
    </xf>
    <xf numFmtId="0" fontId="98" fillId="2" borderId="8" xfId="10" applyFont="1" applyFill="1" applyBorder="1" applyAlignment="1" applyProtection="1">
      <alignment horizontal="center" vertical="center" wrapText="1"/>
    </xf>
    <xf numFmtId="0" fontId="101" fillId="2" borderId="42" xfId="10" applyFont="1" applyFill="1" applyBorder="1" applyProtection="1">
      <alignment vertical="center"/>
    </xf>
    <xf numFmtId="0" fontId="98" fillId="2" borderId="10" xfId="10" applyFont="1" applyFill="1" applyBorder="1" applyAlignment="1" applyProtection="1">
      <alignment horizontal="center" vertical="center" wrapText="1"/>
    </xf>
    <xf numFmtId="0" fontId="102" fillId="2" borderId="7" xfId="10" applyFont="1" applyFill="1" applyBorder="1" applyAlignment="1" applyProtection="1">
      <alignment horizontal="center" vertical="center"/>
    </xf>
    <xf numFmtId="0" fontId="102" fillId="2" borderId="42" xfId="10" applyFont="1" applyFill="1" applyBorder="1" applyProtection="1">
      <alignment vertical="center"/>
    </xf>
    <xf numFmtId="0" fontId="101" fillId="2" borderId="10" xfId="10" applyFont="1" applyFill="1" applyBorder="1" applyProtection="1">
      <alignment vertical="center"/>
    </xf>
    <xf numFmtId="0" fontId="103" fillId="2" borderId="0" xfId="10" applyFont="1" applyFill="1" applyBorder="1" applyProtection="1">
      <alignment vertical="center"/>
    </xf>
    <xf numFmtId="0" fontId="98" fillId="2" borderId="60" xfId="10" applyFont="1" applyFill="1" applyBorder="1" applyAlignment="1" applyProtection="1">
      <alignment vertical="center" wrapText="1"/>
    </xf>
    <xf numFmtId="0" fontId="104" fillId="2" borderId="0" xfId="10" applyFont="1" applyFill="1" applyProtection="1">
      <alignment vertical="center"/>
    </xf>
    <xf numFmtId="0" fontId="103" fillId="2" borderId="0" xfId="10" applyFont="1" applyFill="1" applyProtection="1">
      <alignment vertical="center"/>
    </xf>
    <xf numFmtId="0" fontId="98" fillId="2" borderId="42" xfId="10" applyFont="1" applyFill="1" applyBorder="1" applyAlignment="1" applyProtection="1">
      <alignment horizontal="center" vertical="center" wrapText="1"/>
    </xf>
    <xf numFmtId="0" fontId="89" fillId="2" borderId="10" xfId="10" applyFill="1" applyBorder="1" applyProtection="1">
      <alignment vertical="center"/>
    </xf>
    <xf numFmtId="0" fontId="89" fillId="2" borderId="69" xfId="10" applyFill="1" applyBorder="1" applyAlignment="1" applyProtection="1">
      <alignment horizontal="center" vertical="center"/>
    </xf>
    <xf numFmtId="0" fontId="89" fillId="2" borderId="41" xfId="10" applyFill="1" applyBorder="1" applyAlignment="1" applyProtection="1">
      <alignment horizontal="center" vertical="center"/>
    </xf>
    <xf numFmtId="0" fontId="98" fillId="2" borderId="6" xfId="10" applyFont="1" applyFill="1" applyBorder="1" applyAlignment="1" applyProtection="1">
      <alignment horizontal="center" vertical="center" wrapText="1"/>
    </xf>
    <xf numFmtId="0" fontId="89" fillId="2" borderId="70" xfId="10" applyFill="1" applyBorder="1" applyAlignment="1" applyProtection="1">
      <alignment horizontal="center" vertical="center"/>
    </xf>
    <xf numFmtId="0" fontId="89" fillId="2" borderId="1" xfId="10" applyFill="1" applyBorder="1" applyProtection="1">
      <alignment vertical="center"/>
    </xf>
    <xf numFmtId="0" fontId="89" fillId="2" borderId="39" xfId="10" applyFill="1" applyBorder="1" applyProtection="1">
      <alignment vertical="center"/>
    </xf>
    <xf numFmtId="0" fontId="89" fillId="2" borderId="0" xfId="10" applyFill="1" applyAlignment="1" applyProtection="1">
      <alignment vertical="center"/>
    </xf>
    <xf numFmtId="0" fontId="89" fillId="2" borderId="69" xfId="10" applyFill="1" applyBorder="1" applyAlignment="1" applyProtection="1">
      <alignment horizontal="right" vertical="center"/>
    </xf>
    <xf numFmtId="0" fontId="89" fillId="2" borderId="4" xfId="10" applyFill="1" applyBorder="1" applyAlignment="1" applyProtection="1">
      <alignment horizontal="center" vertical="center"/>
    </xf>
    <xf numFmtId="190" fontId="89" fillId="2" borderId="5" xfId="10" applyNumberFormat="1" applyFill="1" applyBorder="1" applyAlignment="1" applyProtection="1">
      <alignment horizontal="center" vertical="center"/>
    </xf>
    <xf numFmtId="190" fontId="89" fillId="2" borderId="39" xfId="10" applyNumberFormat="1" applyFill="1" applyBorder="1" applyAlignment="1" applyProtection="1">
      <alignment horizontal="center" vertical="center"/>
    </xf>
    <xf numFmtId="0" fontId="89" fillId="2" borderId="6" xfId="10" applyFill="1" applyBorder="1" applyAlignment="1" applyProtection="1">
      <alignment horizontal="center" vertical="center"/>
    </xf>
    <xf numFmtId="190" fontId="89" fillId="2" borderId="1" xfId="10" applyNumberFormat="1" applyFill="1" applyBorder="1" applyAlignment="1" applyProtection="1">
      <alignment horizontal="center" vertical="center"/>
    </xf>
    <xf numFmtId="190" fontId="89" fillId="2" borderId="10" xfId="10" applyNumberFormat="1" applyFill="1" applyBorder="1" applyAlignment="1" applyProtection="1">
      <alignment horizontal="center" vertical="center"/>
    </xf>
    <xf numFmtId="0" fontId="89" fillId="2" borderId="7" xfId="10" applyFill="1" applyBorder="1" applyAlignment="1" applyProtection="1">
      <alignment horizontal="center" vertical="center"/>
    </xf>
    <xf numFmtId="190" fontId="89" fillId="2" borderId="42" xfId="10" applyNumberFormat="1" applyFill="1" applyBorder="1" applyAlignment="1" applyProtection="1">
      <alignment horizontal="center" vertical="center"/>
    </xf>
    <xf numFmtId="190" fontId="89" fillId="2" borderId="8" xfId="10" applyNumberFormat="1" applyFill="1" applyBorder="1" applyAlignment="1" applyProtection="1">
      <alignment horizontal="center" vertical="center"/>
    </xf>
    <xf numFmtId="0" fontId="105" fillId="2" borderId="4" xfId="10" applyFont="1" applyFill="1" applyBorder="1" applyAlignment="1" applyProtection="1">
      <alignment horizontal="center" vertical="center" wrapText="1"/>
    </xf>
    <xf numFmtId="0" fontId="105" fillId="2" borderId="5" xfId="10" applyFont="1" applyFill="1" applyBorder="1" applyAlignment="1" applyProtection="1">
      <alignment horizontal="center" vertical="center" wrapText="1"/>
    </xf>
    <xf numFmtId="0" fontId="105" fillId="2" borderId="6" xfId="10" applyFont="1" applyFill="1" applyBorder="1" applyAlignment="1" applyProtection="1">
      <alignment horizontal="center" vertical="center" wrapText="1"/>
    </xf>
    <xf numFmtId="0" fontId="105" fillId="2" borderId="1" xfId="10" applyFont="1" applyFill="1" applyBorder="1" applyAlignment="1" applyProtection="1">
      <alignment horizontal="center" vertical="center" wrapText="1"/>
    </xf>
    <xf numFmtId="0" fontId="105" fillId="2" borderId="22" xfId="10" applyFont="1" applyFill="1" applyBorder="1" applyAlignment="1" applyProtection="1">
      <alignment horizontal="center" vertical="center" wrapText="1"/>
    </xf>
    <xf numFmtId="0" fontId="105" fillId="2" borderId="9" xfId="10" applyFont="1" applyFill="1" applyBorder="1" applyAlignment="1" applyProtection="1">
      <alignment horizontal="center" vertical="center" wrapText="1"/>
    </xf>
    <xf numFmtId="0" fontId="89" fillId="2" borderId="1" xfId="10" applyFill="1" applyBorder="1" applyAlignment="1" applyProtection="1">
      <alignment horizontal="center" vertical="center"/>
    </xf>
    <xf numFmtId="0" fontId="105"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06" fillId="2" borderId="89" xfId="10" applyFont="1" applyFill="1" applyBorder="1" applyAlignment="1" applyProtection="1">
      <alignment vertical="center"/>
    </xf>
    <xf numFmtId="0" fontId="106" fillId="2" borderId="0" xfId="10" applyFont="1" applyFill="1" applyBorder="1" applyAlignment="1" applyProtection="1">
      <alignment vertical="center"/>
    </xf>
    <xf numFmtId="0" fontId="105" fillId="2" borderId="10" xfId="10" applyFont="1" applyFill="1" applyBorder="1" applyAlignment="1" applyProtection="1">
      <alignment horizontal="center" vertical="center" wrapText="1"/>
    </xf>
    <xf numFmtId="0" fontId="105" fillId="2" borderId="11" xfId="10" applyFont="1" applyFill="1" applyBorder="1" applyAlignment="1" applyProtection="1">
      <alignment horizontal="center" vertical="center" wrapText="1"/>
    </xf>
    <xf numFmtId="0" fontId="105" fillId="2" borderId="0" xfId="10" applyFont="1" applyFill="1" applyBorder="1" applyAlignment="1" applyProtection="1">
      <alignment horizontal="center" vertical="center" wrapText="1"/>
    </xf>
    <xf numFmtId="0" fontId="105" fillId="2" borderId="1" xfId="10" applyFont="1" applyFill="1" applyBorder="1" applyAlignment="1" applyProtection="1">
      <alignment horizontal="center" vertical="center"/>
    </xf>
    <xf numFmtId="0" fontId="105" fillId="2" borderId="10" xfId="10" applyFont="1" applyFill="1" applyBorder="1" applyAlignment="1" applyProtection="1">
      <alignment horizontal="left" vertical="center"/>
    </xf>
    <xf numFmtId="0" fontId="105" fillId="2" borderId="11" xfId="10" applyFont="1" applyFill="1" applyBorder="1" applyAlignment="1" applyProtection="1">
      <alignment horizontal="left" vertical="center"/>
    </xf>
    <xf numFmtId="0" fontId="105" fillId="2" borderId="0" xfId="10" applyFont="1" applyFill="1" applyBorder="1" applyAlignment="1" applyProtection="1">
      <alignment vertical="center"/>
    </xf>
    <xf numFmtId="0" fontId="105" fillId="2" borderId="0" xfId="10" applyFont="1" applyFill="1" applyBorder="1" applyAlignment="1" applyProtection="1">
      <alignment horizontal="center" vertical="center"/>
    </xf>
    <xf numFmtId="0" fontId="105" fillId="2" borderId="54" xfId="10" applyFont="1" applyFill="1" applyBorder="1" applyAlignment="1" applyProtection="1">
      <alignment vertical="center"/>
    </xf>
    <xf numFmtId="0" fontId="105" fillId="2" borderId="34" xfId="10" applyFont="1" applyFill="1" applyBorder="1" applyAlignment="1" applyProtection="1">
      <alignment vertical="center" wrapText="1"/>
    </xf>
    <xf numFmtId="0" fontId="105" fillId="2" borderId="3" xfId="10" applyFont="1" applyFill="1" applyBorder="1" applyAlignment="1" applyProtection="1">
      <alignment vertical="center" wrapText="1"/>
    </xf>
    <xf numFmtId="0" fontId="105" fillId="2" borderId="81" xfId="10" applyFont="1" applyFill="1" applyBorder="1" applyAlignment="1" applyProtection="1">
      <alignment vertical="center" wrapText="1"/>
    </xf>
    <xf numFmtId="0" fontId="105" fillId="2" borderId="3" xfId="10" applyFont="1" applyFill="1" applyBorder="1" applyAlignment="1" applyProtection="1">
      <alignment horizontal="center" vertical="center"/>
    </xf>
    <xf numFmtId="0" fontId="105" fillId="2" borderId="0" xfId="10" applyFont="1" applyFill="1" applyAlignment="1" applyProtection="1">
      <alignment horizontal="center" vertical="center"/>
    </xf>
    <xf numFmtId="9" fontId="105" fillId="2" borderId="1" xfId="10" applyNumberFormat="1" applyFont="1" applyFill="1" applyBorder="1" applyAlignment="1" applyProtection="1">
      <alignment horizontal="center" vertical="center"/>
    </xf>
    <xf numFmtId="190" fontId="89" fillId="2" borderId="13" xfId="10" applyNumberFormat="1" applyFill="1" applyBorder="1" applyAlignment="1" applyProtection="1">
      <alignment horizontal="center" vertical="center"/>
    </xf>
    <xf numFmtId="190" fontId="89" fillId="2" borderId="14" xfId="10" applyNumberFormat="1" applyFill="1" applyBorder="1" applyAlignment="1" applyProtection="1">
      <alignment horizontal="center" vertical="center"/>
    </xf>
    <xf numFmtId="190" fontId="89" fillId="2" borderId="15" xfId="10" applyNumberFormat="1" applyFill="1" applyBorder="1" applyAlignment="1" applyProtection="1">
      <alignment horizontal="center" vertical="center"/>
    </xf>
    <xf numFmtId="0" fontId="105" fillId="2" borderId="13" xfId="10" applyFont="1" applyFill="1" applyBorder="1" applyAlignment="1" applyProtection="1">
      <alignment horizontal="center" vertical="center" wrapText="1"/>
    </xf>
    <xf numFmtId="0" fontId="105" fillId="2" borderId="14" xfId="10" applyFont="1" applyFill="1" applyBorder="1" applyAlignment="1" applyProtection="1">
      <alignment horizontal="center" vertical="center" wrapText="1"/>
    </xf>
    <xf numFmtId="0" fontId="105" fillId="2" borderId="57" xfId="10" applyFont="1" applyFill="1" applyBorder="1" applyAlignment="1" applyProtection="1">
      <alignment horizontal="center" vertical="center" wrapText="1"/>
    </xf>
    <xf numFmtId="0" fontId="106" fillId="2" borderId="0" xfId="10" applyFont="1" applyFill="1" applyAlignment="1" applyProtection="1">
      <alignment horizontal="center" vertical="center"/>
    </xf>
    <xf numFmtId="0" fontId="48" fillId="0" borderId="0" xfId="10" applyFont="1" applyAlignment="1" applyProtection="1">
      <alignment vertical="center" wrapText="1"/>
    </xf>
    <xf numFmtId="0" fontId="99" fillId="6" borderId="0" xfId="10" applyFont="1" applyFill="1" applyAlignment="1" applyProtection="1">
      <alignment vertical="center" wrapText="1"/>
    </xf>
    <xf numFmtId="0" fontId="99" fillId="0" borderId="0" xfId="10" applyFont="1" applyAlignment="1" applyProtection="1">
      <alignment horizontal="center" vertical="center" wrapText="1"/>
    </xf>
    <xf numFmtId="0" fontId="99" fillId="0" borderId="0" xfId="10" applyFont="1" applyAlignment="1" applyProtection="1">
      <alignment horizontal="left" vertical="center" wrapText="1"/>
    </xf>
    <xf numFmtId="0" fontId="99" fillId="0" borderId="0" xfId="10" applyFont="1" applyAlignment="1" applyProtection="1">
      <alignment vertical="center" wrapText="1"/>
    </xf>
    <xf numFmtId="0" fontId="99" fillId="6" borderId="0" xfId="10" applyFont="1" applyFill="1" applyAlignment="1" applyProtection="1">
      <alignment horizontal="center" vertical="center" wrapText="1"/>
    </xf>
    <xf numFmtId="0" fontId="107" fillId="2" borderId="59" xfId="10" applyFont="1" applyFill="1" applyBorder="1" applyAlignment="1" applyProtection="1">
      <alignment vertical="center"/>
    </xf>
    <xf numFmtId="0" fontId="49" fillId="2" borderId="78" xfId="10" applyFont="1" applyFill="1" applyBorder="1" applyAlignment="1" applyProtection="1">
      <alignment vertical="center"/>
    </xf>
    <xf numFmtId="0" fontId="49" fillId="2" borderId="1" xfId="10" applyFont="1" applyFill="1" applyBorder="1" applyAlignment="1" applyProtection="1">
      <alignment vertical="center"/>
    </xf>
    <xf numFmtId="0" fontId="99" fillId="2" borderId="1" xfId="10" applyFont="1" applyFill="1" applyBorder="1" applyAlignment="1" applyProtection="1">
      <alignment vertical="center" wrapText="1"/>
    </xf>
    <xf numFmtId="0" fontId="99" fillId="0" borderId="1" xfId="10" applyFont="1" applyFill="1" applyBorder="1" applyAlignment="1" applyProtection="1">
      <alignment vertical="center" wrapText="1"/>
      <protection locked="0"/>
    </xf>
    <xf numFmtId="0" fontId="99" fillId="2" borderId="0" xfId="10" applyFont="1" applyFill="1" applyAlignment="1" applyProtection="1">
      <alignment vertical="center" wrapText="1"/>
    </xf>
    <xf numFmtId="0" fontId="36" fillId="2" borderId="9" xfId="10" applyFont="1" applyFill="1" applyBorder="1" applyAlignment="1" applyProtection="1">
      <alignment horizontal="right" vertical="center"/>
    </xf>
    <xf numFmtId="0" fontId="49" fillId="2" borderId="10" xfId="10" applyFont="1" applyFill="1" applyBorder="1" applyAlignment="1" applyProtection="1">
      <alignment vertical="center"/>
    </xf>
    <xf numFmtId="0" fontId="99" fillId="2" borderId="1" xfId="10" applyNumberFormat="1" applyFont="1" applyFill="1" applyBorder="1" applyAlignment="1" applyProtection="1">
      <alignment horizontal="left" vertical="center" wrapText="1"/>
    </xf>
    <xf numFmtId="0" fontId="99" fillId="3" borderId="1" xfId="10" applyNumberFormat="1" applyFont="1" applyFill="1" applyBorder="1" applyAlignment="1" applyProtection="1">
      <alignment horizontal="center" vertical="center" wrapText="1"/>
      <protection locked="0"/>
    </xf>
    <xf numFmtId="0" fontId="99" fillId="2" borderId="1" xfId="10" applyNumberFormat="1" applyFont="1" applyFill="1" applyBorder="1" applyAlignment="1" applyProtection="1">
      <alignment horizontal="center" vertical="center" wrapText="1"/>
    </xf>
    <xf numFmtId="0" fontId="49" fillId="2" borderId="9" xfId="10" applyFont="1" applyFill="1" applyBorder="1" applyAlignment="1" applyProtection="1">
      <alignment vertical="center"/>
    </xf>
    <xf numFmtId="0" fontId="99" fillId="3" borderId="1" xfId="10" applyNumberFormat="1" applyFont="1" applyFill="1" applyBorder="1" applyAlignment="1" applyProtection="1">
      <alignment vertical="center" wrapText="1"/>
      <protection locked="0"/>
    </xf>
    <xf numFmtId="0" fontId="99" fillId="3" borderId="1" xfId="0" applyFont="1" applyFill="1" applyBorder="1" applyAlignment="1" applyProtection="1">
      <alignment horizontal="left" vertical="center"/>
      <protection locked="0"/>
    </xf>
    <xf numFmtId="179" fontId="32" fillId="2" borderId="1" xfId="10" applyNumberFormat="1" applyFont="1" applyFill="1" applyBorder="1" applyAlignment="1" applyProtection="1">
      <alignment horizontal="center" vertical="center" wrapText="1"/>
    </xf>
    <xf numFmtId="0" fontId="99" fillId="2" borderId="1" xfId="10" applyFont="1" applyFill="1" applyBorder="1" applyAlignment="1" applyProtection="1">
      <alignment horizontal="left" vertical="center" wrapText="1"/>
    </xf>
    <xf numFmtId="0" fontId="49" fillId="2" borderId="10" xfId="10" applyFont="1" applyFill="1" applyBorder="1" applyAlignment="1" applyProtection="1">
      <alignment vertical="center" wrapText="1"/>
    </xf>
    <xf numFmtId="0" fontId="36" fillId="2" borderId="1" xfId="10" applyFont="1" applyFill="1" applyBorder="1" applyAlignment="1" applyProtection="1">
      <alignment horizontal="right" vertical="center" wrapText="1"/>
    </xf>
    <xf numFmtId="0" fontId="49" fillId="2" borderId="1" xfId="10" applyFont="1" applyFill="1" applyBorder="1" applyAlignment="1" applyProtection="1">
      <alignment vertical="center" wrapText="1"/>
    </xf>
    <xf numFmtId="0" fontId="49" fillId="2" borderId="12" xfId="10" applyFont="1" applyFill="1" applyBorder="1" applyAlignment="1" applyProtection="1">
      <alignment vertical="center" wrapText="1"/>
    </xf>
    <xf numFmtId="49" fontId="108" fillId="2" borderId="9" xfId="0" applyNumberFormat="1" applyFont="1" applyFill="1" applyBorder="1" applyAlignment="1" applyProtection="1">
      <alignment horizontal="left" vertical="center" wrapText="1"/>
    </xf>
    <xf numFmtId="0" fontId="50" fillId="2" borderId="9" xfId="10" applyFont="1" applyFill="1" applyBorder="1" applyAlignment="1" applyProtection="1">
      <alignment horizontal="left" vertical="center" wrapText="1"/>
    </xf>
    <xf numFmtId="0" fontId="37" fillId="2" borderId="54" xfId="10" applyFont="1" applyFill="1" applyBorder="1" applyAlignment="1" applyProtection="1">
      <alignment horizontal="center" vertical="center"/>
    </xf>
    <xf numFmtId="0" fontId="109" fillId="2" borderId="54" xfId="10" applyFont="1" applyFill="1" applyBorder="1" applyAlignment="1" applyProtection="1">
      <alignment horizontal="center" vertical="center"/>
    </xf>
    <xf numFmtId="0" fontId="50" fillId="2" borderId="54" xfId="10" applyFont="1" applyFill="1" applyBorder="1" applyAlignment="1" applyProtection="1">
      <alignment vertical="center" wrapText="1"/>
    </xf>
    <xf numFmtId="0" fontId="48" fillId="2" borderId="54" xfId="10" applyFont="1" applyFill="1" applyBorder="1" applyAlignment="1" applyProtection="1">
      <alignment vertical="center" wrapText="1"/>
    </xf>
    <xf numFmtId="49" fontId="110" fillId="2" borderId="60" xfId="0" applyNumberFormat="1" applyFont="1" applyFill="1" applyBorder="1" applyAlignment="1" applyProtection="1">
      <alignment horizontal="center" vertical="center" wrapText="1"/>
    </xf>
    <xf numFmtId="0" fontId="53" fillId="2" borderId="99"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1" fillId="2" borderId="63" xfId="10" applyFont="1" applyFill="1" applyBorder="1" applyAlignment="1" applyProtection="1">
      <alignment vertical="center"/>
    </xf>
    <xf numFmtId="0" fontId="53" fillId="2" borderId="99" xfId="10" applyFont="1" applyFill="1" applyBorder="1" applyAlignment="1" applyProtection="1">
      <alignment horizontal="center" vertical="center" wrapText="1"/>
    </xf>
    <xf numFmtId="0" fontId="99" fillId="2" borderId="99" xfId="10" applyFont="1" applyFill="1" applyBorder="1" applyAlignment="1" applyProtection="1">
      <alignment vertical="center" wrapText="1"/>
    </xf>
    <xf numFmtId="0" fontId="53"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99"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99" fillId="2" borderId="55" xfId="10" applyFont="1" applyFill="1" applyBorder="1" applyAlignment="1" applyProtection="1">
      <alignment horizontal="center" vertical="center" wrapText="1"/>
    </xf>
    <xf numFmtId="0" fontId="99"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99" fillId="2" borderId="10" xfId="10" applyFont="1" applyFill="1" applyBorder="1" applyAlignment="1" applyProtection="1">
      <alignment vertical="center"/>
    </xf>
    <xf numFmtId="0" fontId="99"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99"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99" fillId="2" borderId="18" xfId="10" applyFont="1" applyFill="1" applyBorder="1" applyAlignment="1" applyProtection="1">
      <alignment vertical="center"/>
    </xf>
    <xf numFmtId="0" fontId="99" fillId="2" borderId="54" xfId="10" applyFont="1" applyFill="1" applyBorder="1" applyAlignment="1" applyProtection="1">
      <alignment vertical="center" wrapText="1"/>
    </xf>
    <xf numFmtId="0" fontId="53" fillId="2" borderId="41" xfId="10" applyFont="1" applyFill="1" applyBorder="1" applyAlignment="1" applyProtection="1">
      <alignment horizontal="left" vertical="center" wrapText="1"/>
    </xf>
    <xf numFmtId="0" fontId="99" fillId="2" borderId="39" xfId="10" applyFont="1" applyFill="1" applyBorder="1" applyAlignment="1" applyProtection="1">
      <alignment vertical="center"/>
    </xf>
    <xf numFmtId="0" fontId="99" fillId="2" borderId="78" xfId="10" applyFont="1" applyFill="1" applyBorder="1" applyAlignment="1" applyProtection="1">
      <alignment horizontal="center" vertical="center" wrapText="1"/>
    </xf>
    <xf numFmtId="0" fontId="99" fillId="2" borderId="78" xfId="10" applyFont="1" applyFill="1" applyBorder="1" applyAlignment="1" applyProtection="1">
      <alignment vertical="center" wrapText="1"/>
    </xf>
    <xf numFmtId="0" fontId="98" fillId="2" borderId="9" xfId="10" applyFont="1" applyFill="1" applyBorder="1" applyAlignment="1" applyProtection="1">
      <alignment horizontal="left" vertical="center" wrapText="1"/>
    </xf>
    <xf numFmtId="0" fontId="98" fillId="2" borderId="11" xfId="10" applyFont="1" applyFill="1" applyBorder="1" applyAlignment="1" applyProtection="1">
      <alignment horizontal="center" vertical="center" wrapText="1"/>
    </xf>
    <xf numFmtId="0" fontId="66" fillId="2" borderId="3" xfId="10" applyFont="1" applyFill="1" applyBorder="1" applyAlignment="1" applyProtection="1">
      <alignment horizontal="center" vertical="center" wrapText="1"/>
    </xf>
    <xf numFmtId="0" fontId="99" fillId="0" borderId="1" xfId="10" applyFont="1" applyFill="1" applyBorder="1" applyAlignment="1" applyProtection="1">
      <alignment horizontal="center" vertical="center"/>
      <protection locked="0"/>
    </xf>
    <xf numFmtId="0" fontId="99" fillId="0" borderId="1" xfId="10" applyFont="1" applyBorder="1" applyAlignment="1" applyProtection="1">
      <alignment horizontal="center" vertical="center" wrapText="1"/>
      <protection locked="0"/>
    </xf>
    <xf numFmtId="0" fontId="98" fillId="2" borderId="3" xfId="10" applyFont="1" applyFill="1" applyBorder="1" applyAlignment="1" applyProtection="1">
      <alignment horizontal="left" vertical="center" wrapText="1"/>
    </xf>
    <xf numFmtId="0" fontId="98" fillId="3" borderId="11" xfId="10" applyFont="1" applyFill="1" applyBorder="1" applyAlignment="1" applyProtection="1">
      <alignment horizontal="center" vertical="center" wrapText="1"/>
      <protection locked="0"/>
    </xf>
    <xf numFmtId="0" fontId="98" fillId="3" borderId="1" xfId="10" applyFont="1" applyFill="1" applyBorder="1" applyAlignment="1" applyProtection="1">
      <alignment horizontal="center" vertical="center" wrapText="1"/>
      <protection locked="0"/>
    </xf>
    <xf numFmtId="0" fontId="98" fillId="3" borderId="3" xfId="10" applyFont="1" applyFill="1" applyBorder="1" applyAlignment="1" applyProtection="1">
      <alignment horizontal="center" vertical="center" wrapText="1"/>
      <protection locked="0"/>
    </xf>
    <xf numFmtId="0" fontId="112" fillId="2" borderId="34" xfId="10" applyFont="1" applyFill="1" applyBorder="1" applyAlignment="1" applyProtection="1">
      <alignment vertical="center"/>
    </xf>
    <xf numFmtId="0" fontId="99" fillId="2" borderId="0" xfId="10" applyFont="1" applyFill="1" applyBorder="1" applyAlignment="1" applyProtection="1">
      <alignment vertical="center" wrapText="1"/>
    </xf>
    <xf numFmtId="0" fontId="98"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99" fillId="3" borderId="5" xfId="10" applyFont="1" applyFill="1" applyBorder="1" applyAlignment="1" applyProtection="1">
      <alignment horizontal="center" vertical="center" wrapText="1"/>
      <protection locked="0"/>
    </xf>
    <xf numFmtId="0" fontId="99"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99" fillId="2" borderId="8" xfId="0" applyFont="1" applyFill="1" applyBorder="1" applyAlignment="1" applyProtection="1">
      <alignment horizontal="center" vertical="center" wrapText="1"/>
    </xf>
    <xf numFmtId="0" fontId="99" fillId="2" borderId="8" xfId="10" applyFont="1" applyFill="1" applyBorder="1" applyAlignment="1" applyProtection="1">
      <alignment horizontal="center" vertical="center" wrapText="1"/>
    </xf>
    <xf numFmtId="0" fontId="99"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08" fillId="2" borderId="68" xfId="0" applyNumberFormat="1" applyFont="1" applyFill="1" applyBorder="1" applyAlignment="1" applyProtection="1">
      <alignment horizontal="left" vertical="center" wrapText="1"/>
    </xf>
    <xf numFmtId="0" fontId="50" fillId="2" borderId="35" xfId="10" applyFont="1" applyFill="1" applyBorder="1" applyAlignment="1" applyProtection="1">
      <alignment horizontal="left" vertical="center" wrapText="1"/>
    </xf>
    <xf numFmtId="0" fontId="37" fillId="2" borderId="20" xfId="10" applyFont="1" applyFill="1" applyBorder="1" applyAlignment="1" applyProtection="1">
      <alignment horizontal="center" vertical="center" wrapText="1"/>
    </xf>
    <xf numFmtId="0" fontId="99" fillId="2" borderId="20" xfId="10" applyFont="1" applyFill="1" applyBorder="1" applyAlignment="1" applyProtection="1">
      <alignment vertical="center"/>
    </xf>
    <xf numFmtId="0" fontId="50" fillId="2" borderId="0" xfId="10" applyFont="1" applyFill="1" applyBorder="1" applyAlignment="1" applyProtection="1">
      <alignment horizontal="center" vertical="center" wrapText="1"/>
    </xf>
    <xf numFmtId="0" fontId="99" fillId="2" borderId="0" xfId="10" applyFont="1" applyFill="1" applyBorder="1" applyAlignment="1" applyProtection="1">
      <alignment vertical="center"/>
    </xf>
    <xf numFmtId="0" fontId="48" fillId="2" borderId="0" xfId="10" applyFont="1" applyFill="1" applyBorder="1" applyAlignment="1" applyProtection="1">
      <alignment vertical="center" wrapText="1"/>
    </xf>
    <xf numFmtId="49" fontId="108" fillId="2" borderId="60" xfId="0" applyNumberFormat="1" applyFont="1" applyFill="1" applyBorder="1" applyAlignment="1" applyProtection="1">
      <alignment horizontal="left" vertical="center" wrapText="1"/>
    </xf>
    <xf numFmtId="0" fontId="50" fillId="2" borderId="103" xfId="10" applyFont="1" applyFill="1" applyBorder="1" applyAlignment="1" applyProtection="1">
      <alignment horizontal="left" vertical="center" wrapText="1"/>
    </xf>
    <xf numFmtId="192" fontId="37" fillId="2" borderId="103" xfId="10" applyNumberFormat="1" applyFont="1" applyFill="1" applyBorder="1" applyAlignment="1" applyProtection="1">
      <alignment horizontal="center" vertical="center" wrapText="1"/>
    </xf>
    <xf numFmtId="0" fontId="48" fillId="2" borderId="103" xfId="10" applyFont="1" applyFill="1" applyBorder="1" applyAlignment="1" applyProtection="1">
      <alignment horizontal="center" vertical="center" wrapText="1"/>
    </xf>
    <xf numFmtId="14" fontId="32" fillId="2" borderId="103" xfId="10" applyNumberFormat="1" applyFont="1" applyFill="1" applyBorder="1" applyAlignment="1" applyProtection="1">
      <alignment horizontal="center" vertical="center" wrapText="1"/>
    </xf>
    <xf numFmtId="14" fontId="32" fillId="2" borderId="99" xfId="10" applyNumberFormat="1" applyFont="1" applyFill="1" applyBorder="1" applyAlignment="1" applyProtection="1">
      <alignment horizontal="center" vertical="center" wrapText="1"/>
    </xf>
    <xf numFmtId="0" fontId="48" fillId="3" borderId="103" xfId="10" applyFont="1" applyFill="1" applyBorder="1" applyAlignment="1" applyProtection="1">
      <alignment horizontal="center" vertical="center" wrapText="1"/>
      <protection locked="0"/>
    </xf>
    <xf numFmtId="0" fontId="50" fillId="2" borderId="80" xfId="10" applyFont="1" applyFill="1" applyBorder="1" applyAlignment="1" applyProtection="1">
      <alignment horizontal="left" vertical="center" wrapText="1"/>
    </xf>
    <xf numFmtId="192" fontId="37" fillId="2" borderId="80" xfId="10" applyNumberFormat="1" applyFont="1" applyFill="1" applyBorder="1" applyAlignment="1" applyProtection="1">
      <alignment horizontal="center" vertical="center" wrapText="1"/>
    </xf>
    <xf numFmtId="0" fontId="99"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1" fontId="67" fillId="2" borderId="80" xfId="10" applyNumberFormat="1" applyFont="1" applyFill="1" applyBorder="1" applyAlignment="1" applyProtection="1">
      <alignment horizontal="center" vertical="center" wrapText="1"/>
    </xf>
    <xf numFmtId="49" fontId="108" fillId="2" borderId="4" xfId="0" applyNumberFormat="1" applyFont="1" applyFill="1" applyBorder="1" applyAlignment="1" applyProtection="1">
      <alignment horizontal="left" vertical="center" wrapText="1"/>
    </xf>
    <xf numFmtId="0" fontId="50" fillId="3" borderId="3" xfId="10" applyFont="1" applyFill="1" applyBorder="1" applyAlignment="1" applyProtection="1">
      <alignment horizontal="left" vertical="center" wrapText="1"/>
      <protection locked="0"/>
    </xf>
    <xf numFmtId="0" fontId="32" fillId="2" borderId="3" xfId="10" applyFont="1" applyFill="1" applyBorder="1" applyAlignment="1" applyProtection="1">
      <alignment horizontal="center" vertical="center" wrapText="1"/>
    </xf>
    <xf numFmtId="0" fontId="48" fillId="2" borderId="0" xfId="10" applyFont="1" applyFill="1" applyAlignment="1" applyProtection="1">
      <alignment vertical="center" wrapText="1"/>
    </xf>
    <xf numFmtId="49" fontId="113" fillId="2" borderId="22" xfId="0" applyNumberFormat="1" applyFont="1" applyFill="1" applyBorder="1" applyAlignment="1" applyProtection="1">
      <alignment horizontal="center" vertical="center" wrapText="1"/>
    </xf>
    <xf numFmtId="0" fontId="48" fillId="2" borderId="1" xfId="10" applyFont="1" applyFill="1" applyBorder="1" applyAlignment="1" applyProtection="1">
      <alignment horizontal="left" vertical="center" wrapText="1"/>
    </xf>
    <xf numFmtId="0" fontId="32" fillId="2" borderId="1" xfId="10" applyFont="1" applyFill="1" applyBorder="1" applyAlignment="1" applyProtection="1">
      <alignment horizontal="center" vertical="center" wrapText="1"/>
    </xf>
    <xf numFmtId="0" fontId="37"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2" fontId="17" fillId="2" borderId="35" xfId="10" applyNumberFormat="1" applyFont="1" applyFill="1" applyBorder="1" applyAlignment="1" applyProtection="1">
      <alignment horizontal="center" vertical="center" wrapText="1"/>
    </xf>
    <xf numFmtId="192"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08" fillId="2" borderId="69" xfId="0" applyNumberFormat="1" applyFont="1" applyFill="1" applyBorder="1" applyAlignment="1" applyProtection="1">
      <alignment horizontal="left" vertical="center" wrapText="1"/>
    </xf>
    <xf numFmtId="192" fontId="37"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2" fillId="2" borderId="9" xfId="10" applyFont="1" applyFill="1" applyBorder="1" applyAlignment="1" applyProtection="1">
      <alignment vertical="center" wrapText="1"/>
    </xf>
    <xf numFmtId="0" fontId="50" fillId="2" borderId="39" xfId="10" applyFont="1" applyFill="1" applyBorder="1" applyAlignment="1" applyProtection="1">
      <alignment horizontal="left" vertical="center" wrapText="1"/>
    </xf>
    <xf numFmtId="0" fontId="53" fillId="2" borderId="78" xfId="10" applyFont="1" applyFill="1" applyBorder="1" applyAlignment="1" applyProtection="1">
      <alignment horizontal="center" vertical="center" wrapText="1"/>
    </xf>
    <xf numFmtId="0" fontId="53" fillId="2" borderId="55" xfId="10" applyFont="1" applyFill="1" applyBorder="1" applyAlignment="1" applyProtection="1">
      <alignment vertical="center" wrapText="1"/>
    </xf>
    <xf numFmtId="0" fontId="50" fillId="2" borderId="68" xfId="10" applyFont="1" applyFill="1" applyBorder="1" applyAlignment="1" applyProtection="1">
      <alignment horizontal="center" vertical="center" wrapText="1"/>
    </xf>
    <xf numFmtId="0" fontId="20" fillId="8" borderId="1" xfId="10" applyFont="1" applyFill="1" applyBorder="1" applyAlignment="1" applyProtection="1">
      <alignment horizontal="center" vertical="center" wrapText="1"/>
    </xf>
    <xf numFmtId="0" fontId="99" fillId="2" borderId="20" xfId="10" applyFont="1" applyFill="1" applyBorder="1" applyAlignment="1" applyProtection="1">
      <alignment vertical="center" wrapText="1"/>
    </xf>
    <xf numFmtId="0" fontId="53" fillId="2" borderId="0" xfId="10" applyFont="1" applyFill="1" applyBorder="1" applyAlignment="1" applyProtection="1">
      <alignment vertical="center" wrapText="1"/>
    </xf>
    <xf numFmtId="0" fontId="48"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99" fillId="2" borderId="16" xfId="10" applyFont="1" applyFill="1" applyBorder="1" applyAlignment="1" applyProtection="1">
      <alignment vertical="center" wrapText="1"/>
    </xf>
    <xf numFmtId="0" fontId="99" fillId="2" borderId="17" xfId="10" applyFont="1" applyFill="1" applyBorder="1" applyAlignment="1" applyProtection="1">
      <alignment vertical="center" wrapText="1"/>
    </xf>
    <xf numFmtId="0" fontId="53" fillId="2" borderId="17" xfId="10" applyFont="1" applyFill="1" applyBorder="1" applyAlignment="1" applyProtection="1">
      <alignment vertical="center" wrapText="1"/>
    </xf>
    <xf numFmtId="0" fontId="50" fillId="2" borderId="69" xfId="10" applyFont="1" applyFill="1" applyBorder="1" applyAlignment="1" applyProtection="1">
      <alignment horizontal="center" vertical="center" wrapText="1"/>
    </xf>
    <xf numFmtId="0" fontId="53" fillId="2" borderId="56" xfId="10" applyFont="1" applyFill="1" applyBorder="1" applyAlignment="1" applyProtection="1">
      <alignment vertical="center" wrapText="1"/>
    </xf>
    <xf numFmtId="0" fontId="50" fillId="2" borderId="5" xfId="10" applyFont="1" applyFill="1" applyBorder="1" applyAlignment="1" applyProtection="1">
      <alignment horizontal="center" vertical="center" wrapText="1"/>
    </xf>
    <xf numFmtId="0" fontId="50" fillId="2" borderId="39" xfId="10" applyFont="1" applyFill="1" applyBorder="1" applyAlignment="1" applyProtection="1">
      <alignment horizontal="center" vertical="center" wrapText="1"/>
    </xf>
    <xf numFmtId="0" fontId="53" fillId="2" borderId="39" xfId="10" applyFont="1" applyFill="1" applyBorder="1" applyAlignment="1" applyProtection="1">
      <alignment vertical="center" wrapText="1"/>
    </xf>
    <xf numFmtId="0" fontId="99" fillId="2" borderId="68" xfId="10" applyFont="1" applyFill="1" applyBorder="1" applyAlignment="1" applyProtection="1">
      <alignment horizontal="center" vertical="center" wrapText="1"/>
    </xf>
    <xf numFmtId="0" fontId="99" fillId="2" borderId="11" xfId="10" applyFont="1" applyFill="1" applyBorder="1" applyAlignment="1" applyProtection="1">
      <alignment horizontal="left" vertical="center" wrapText="1"/>
    </xf>
    <xf numFmtId="0" fontId="20" fillId="2" borderId="1" xfId="10" applyFont="1" applyFill="1" applyBorder="1" applyAlignment="1" applyProtection="1">
      <alignment horizontal="center" vertical="center" wrapText="1"/>
    </xf>
    <xf numFmtId="0" fontId="99" fillId="0" borderId="1" xfId="10" applyFont="1" applyBorder="1" applyAlignment="1" applyProtection="1">
      <alignment vertical="center" wrapText="1"/>
      <protection locked="0"/>
    </xf>
    <xf numFmtId="0" fontId="67" fillId="2" borderId="1" xfId="10" applyFont="1" applyFill="1" applyBorder="1" applyAlignment="1" applyProtection="1">
      <alignment horizontal="center" vertical="center"/>
    </xf>
    <xf numFmtId="0" fontId="98" fillId="2" borderId="10" xfId="10" applyFont="1" applyFill="1" applyBorder="1" applyAlignment="1" applyProtection="1">
      <alignment vertical="center"/>
    </xf>
    <xf numFmtId="0" fontId="98" fillId="2" borderId="12" xfId="10" applyFont="1" applyFill="1" applyBorder="1" applyAlignment="1" applyProtection="1">
      <alignment vertical="center"/>
    </xf>
    <xf numFmtId="0" fontId="53" fillId="2" borderId="76" xfId="10" applyFont="1" applyFill="1" applyBorder="1" applyAlignment="1" applyProtection="1">
      <alignment vertical="center" wrapText="1"/>
    </xf>
    <xf numFmtId="0" fontId="99" fillId="2" borderId="136" xfId="10" applyFont="1" applyFill="1" applyBorder="1" applyAlignment="1" applyProtection="1">
      <alignment horizontal="left" vertical="center" wrapText="1"/>
    </xf>
    <xf numFmtId="0" fontId="99" fillId="0" borderId="8" xfId="10" applyFont="1" applyBorder="1" applyAlignment="1" applyProtection="1">
      <alignment vertical="center" wrapText="1"/>
      <protection locked="0"/>
    </xf>
    <xf numFmtId="0" fontId="99" fillId="2" borderId="8" xfId="10" applyFont="1" applyFill="1" applyBorder="1" applyAlignment="1" applyProtection="1">
      <alignment vertical="center"/>
    </xf>
    <xf numFmtId="0" fontId="99" fillId="2" borderId="79" xfId="10" applyFont="1" applyFill="1" applyBorder="1" applyAlignment="1" applyProtection="1">
      <alignment vertical="center" wrapText="1"/>
    </xf>
    <xf numFmtId="0" fontId="53" fillId="2" borderId="69" xfId="10" applyFont="1" applyFill="1" applyBorder="1" applyAlignment="1" applyProtection="1">
      <alignment vertical="center" wrapText="1"/>
    </xf>
    <xf numFmtId="0" fontId="53" fillId="2" borderId="71" xfId="10" applyFont="1" applyFill="1" applyBorder="1" applyAlignment="1" applyProtection="1">
      <alignment horizontal="left" vertical="center" wrapText="1"/>
    </xf>
    <xf numFmtId="0" fontId="99" fillId="2" borderId="78" xfId="10" applyFont="1" applyFill="1" applyBorder="1" applyAlignment="1" applyProtection="1">
      <alignment vertical="center"/>
    </xf>
    <xf numFmtId="0" fontId="53" fillId="2" borderId="81" xfId="10" applyFont="1" applyFill="1" applyBorder="1" applyAlignment="1" applyProtection="1">
      <alignment vertical="center" wrapText="1"/>
    </xf>
    <xf numFmtId="0" fontId="50" fillId="2" borderId="1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2" borderId="3" xfId="10" applyFont="1" applyFill="1" applyBorder="1" applyAlignment="1" applyProtection="1">
      <alignment horizontal="center" vertical="center" wrapText="1"/>
    </xf>
    <xf numFmtId="0" fontId="98"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3" fillId="2" borderId="68" xfId="10" applyFont="1" applyFill="1" applyBorder="1" applyAlignment="1" applyProtection="1">
      <alignment vertical="center" wrapText="1"/>
    </xf>
    <xf numFmtId="0" fontId="98" fillId="2" borderId="136"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99"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1" fontId="6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9"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89" fillId="2" borderId="0" xfId="10" applyNumberFormat="1" applyFill="1" applyAlignment="1" applyProtection="1">
      <alignment horizontal="center" vertical="center" wrapText="1"/>
    </xf>
    <xf numFmtId="0" fontId="81" fillId="2" borderId="0" xfId="10" applyFont="1" applyFill="1" applyProtection="1">
      <alignment vertical="center"/>
    </xf>
    <xf numFmtId="0" fontId="47" fillId="2" borderId="0" xfId="10" applyFont="1" applyFill="1" applyProtection="1">
      <alignment vertical="center"/>
    </xf>
    <xf numFmtId="0" fontId="47"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1" fillId="2" borderId="55" xfId="10" applyFont="1" applyFill="1" applyBorder="1" applyProtection="1">
      <alignment vertical="center"/>
    </xf>
    <xf numFmtId="0" fontId="115" fillId="2" borderId="78" xfId="10" applyFont="1" applyFill="1" applyBorder="1" applyAlignment="1" applyProtection="1">
      <alignment vertical="center"/>
    </xf>
    <xf numFmtId="0" fontId="115"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5" fillId="2" borderId="1" xfId="10" applyNumberFormat="1" applyFont="1" applyFill="1" applyBorder="1" applyAlignment="1" applyProtection="1">
      <alignment horizontal="center" vertical="center" wrapText="1"/>
    </xf>
    <xf numFmtId="0" fontId="116" fillId="2" borderId="1" xfId="10" applyFont="1" applyFill="1" applyBorder="1" applyAlignment="1" applyProtection="1">
      <alignment horizontal="center" vertical="center" wrapText="1"/>
    </xf>
    <xf numFmtId="0" fontId="67"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5" fillId="2" borderId="1" xfId="10" applyNumberFormat="1" applyFont="1" applyFill="1" applyBorder="1" applyAlignment="1" applyProtection="1">
      <alignment horizontal="center" vertical="center" wrapText="1"/>
    </xf>
    <xf numFmtId="0" fontId="116" fillId="3" borderId="1" xfId="10" applyFont="1" applyFill="1" applyBorder="1" applyAlignment="1" applyProtection="1">
      <alignment horizontal="center" vertical="center" wrapText="1"/>
      <protection locked="0"/>
    </xf>
    <xf numFmtId="10" fontId="67"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7" fillId="0" borderId="1" xfId="10" applyNumberFormat="1" applyFont="1" applyBorder="1" applyAlignment="1" applyProtection="1">
      <alignment horizontal="center" vertical="center"/>
      <protection locked="0"/>
    </xf>
    <xf numFmtId="10" fontId="47"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17" fillId="0" borderId="1" xfId="0" applyNumberFormat="1" applyFont="1" applyFill="1" applyBorder="1" applyAlignment="1" applyProtection="1">
      <alignment horizontal="center" vertical="center" wrapText="1"/>
      <protection locked="0"/>
    </xf>
    <xf numFmtId="0" fontId="117" fillId="0" borderId="9" xfId="0" applyNumberFormat="1" applyFont="1" applyFill="1" applyBorder="1" applyAlignment="1" applyProtection="1">
      <alignment horizontal="center" vertical="center" wrapText="1"/>
      <protection locked="0"/>
    </xf>
    <xf numFmtId="0" fontId="105" fillId="2" borderId="64" xfId="10" applyFont="1" applyFill="1" applyBorder="1" applyAlignment="1" applyProtection="1">
      <alignment horizontal="center" vertical="center" wrapText="1"/>
    </xf>
    <xf numFmtId="0" fontId="105" fillId="2" borderId="9" xfId="10" applyNumberFormat="1"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wrapText="1"/>
    </xf>
    <xf numFmtId="49" fontId="105"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18" fillId="2" borderId="78" xfId="10" applyFont="1" applyFill="1" applyBorder="1" applyAlignment="1" applyProtection="1">
      <alignment vertical="center"/>
    </xf>
    <xf numFmtId="186" fontId="47" fillId="2" borderId="1" xfId="10" applyNumberFormat="1" applyFont="1" applyFill="1" applyBorder="1" applyAlignment="1" applyProtection="1">
      <alignment horizontal="center" vertical="center"/>
    </xf>
    <xf numFmtId="0" fontId="99" fillId="2" borderId="0" xfId="10"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99" fillId="2" borderId="0" xfId="10" applyNumberFormat="1" applyFont="1" applyFill="1" applyAlignment="1" applyProtection="1">
      <alignment vertical="center" wrapText="1"/>
    </xf>
    <xf numFmtId="0" fontId="99" fillId="2" borderId="0" xfId="10"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2" fillId="0" borderId="1" xfId="10" applyNumberFormat="1" applyFont="1" applyFill="1" applyBorder="1" applyAlignment="1" applyProtection="1">
      <alignment horizontal="center" vertical="center" wrapText="1"/>
      <protection locked="0"/>
    </xf>
    <xf numFmtId="0" fontId="49" fillId="2" borderId="11"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8" fillId="2" borderId="58" xfId="10" applyFont="1" applyFill="1" applyBorder="1" applyAlignment="1" applyProtection="1">
      <alignment vertical="center" wrapText="1"/>
    </xf>
    <xf numFmtId="0" fontId="48" fillId="2" borderId="0" xfId="10" applyFont="1" applyFill="1" applyBorder="1" applyAlignment="1" applyProtection="1">
      <alignment vertical="center" wrapText="1"/>
      <protection locked="0"/>
    </xf>
    <xf numFmtId="0" fontId="48" fillId="2" borderId="0" xfId="10" applyFont="1" applyFill="1" applyAlignment="1" applyProtection="1">
      <alignment vertical="center"/>
      <protection locked="0"/>
    </xf>
    <xf numFmtId="0" fontId="99" fillId="2" borderId="100" xfId="10" applyFont="1" applyFill="1" applyBorder="1" applyAlignment="1" applyProtection="1">
      <alignment vertical="center" wrapText="1"/>
    </xf>
    <xf numFmtId="0" fontId="99" fillId="2" borderId="0" xfId="10" applyFont="1" applyFill="1" applyBorder="1" applyAlignment="1" applyProtection="1">
      <alignment vertical="center" wrapText="1"/>
      <protection locked="0"/>
    </xf>
    <xf numFmtId="0" fontId="99" fillId="2" borderId="0" xfId="10" applyFont="1" applyFill="1" applyAlignment="1" applyProtection="1">
      <alignment vertical="center"/>
      <protection locked="0"/>
    </xf>
    <xf numFmtId="0" fontId="99" fillId="2" borderId="45" xfId="10" applyFont="1" applyFill="1" applyBorder="1" applyAlignment="1" applyProtection="1">
      <alignment vertical="center" wrapText="1"/>
    </xf>
    <xf numFmtId="0" fontId="99" fillId="2" borderId="46" xfId="10" applyFont="1" applyFill="1" applyBorder="1" applyAlignment="1" applyProtection="1">
      <alignment vertical="center" wrapText="1"/>
    </xf>
    <xf numFmtId="0" fontId="99" fillId="2" borderId="47" xfId="10" applyFont="1" applyFill="1" applyBorder="1" applyAlignment="1" applyProtection="1">
      <alignment vertical="center" wrapText="1"/>
    </xf>
    <xf numFmtId="0" fontId="99" fillId="2" borderId="44" xfId="10"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99" fillId="0" borderId="1" xfId="10" applyFont="1" applyFill="1" applyBorder="1" applyAlignment="1" applyProtection="1">
      <alignment horizontal="center" vertical="center" wrapText="1"/>
      <protection locked="0"/>
    </xf>
    <xf numFmtId="0" fontId="99" fillId="0" borderId="14" xfId="10" applyFont="1" applyFill="1" applyBorder="1" applyAlignment="1" applyProtection="1">
      <alignment horizontal="center" vertical="center" wrapText="1"/>
      <protection locked="0"/>
    </xf>
    <xf numFmtId="0" fontId="99" fillId="2" borderId="0" xfId="10" applyFont="1" applyFill="1" applyBorder="1" applyAlignment="1" applyProtection="1">
      <alignment horizontal="center" vertical="center" wrapText="1"/>
      <protection locked="0"/>
    </xf>
    <xf numFmtId="0" fontId="111" fillId="2" borderId="89" xfId="10" applyFont="1" applyFill="1" applyBorder="1" applyAlignment="1" applyProtection="1">
      <alignment vertical="center"/>
    </xf>
    <xf numFmtId="0" fontId="111" fillId="2" borderId="66" xfId="10" applyFont="1" applyFill="1" applyBorder="1" applyAlignment="1" applyProtection="1">
      <alignment vertical="center"/>
    </xf>
    <xf numFmtId="0" fontId="111" fillId="2" borderId="0" xfId="10" applyFont="1" applyFill="1" applyBorder="1" applyAlignment="1" applyProtection="1">
      <alignment vertical="center"/>
      <protection locked="0"/>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99"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8" fillId="2" borderId="48" xfId="10" applyFont="1" applyFill="1" applyBorder="1" applyAlignment="1" applyProtection="1">
      <alignment vertical="center" wrapText="1"/>
    </xf>
    <xf numFmtId="0" fontId="48" fillId="2" borderId="0" xfId="10" applyFont="1" applyFill="1" applyAlignment="1" applyProtection="1">
      <alignment vertical="center" wrapText="1"/>
      <protection locked="0"/>
    </xf>
    <xf numFmtId="10" fontId="32" fillId="2" borderId="103" xfId="10" applyNumberFormat="1" applyFont="1" applyFill="1" applyBorder="1" applyAlignment="1" applyProtection="1">
      <alignment horizontal="center" vertical="center" wrapText="1"/>
    </xf>
    <xf numFmtId="0" fontId="48" fillId="2" borderId="100" xfId="10" applyFont="1" applyFill="1" applyBorder="1" applyAlignment="1" applyProtection="1">
      <alignment vertical="center" wrapText="1"/>
    </xf>
    <xf numFmtId="0" fontId="113"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99" fillId="2" borderId="19" xfId="10" applyFont="1" applyFill="1" applyBorder="1" applyAlignment="1" applyProtection="1">
      <alignment horizontal="center" vertical="center" wrapText="1"/>
    </xf>
    <xf numFmtId="0" fontId="67"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protection locked="0"/>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13"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119" fillId="2" borderId="19" xfId="10" applyFont="1" applyFill="1" applyBorder="1" applyAlignment="1" applyProtection="1">
      <alignment horizontal="center" vertical="center" wrapText="1"/>
      <protection locked="0"/>
    </xf>
    <xf numFmtId="0" fontId="119" fillId="2" borderId="5" xfId="10" applyFont="1" applyFill="1" applyBorder="1" applyAlignment="1" applyProtection="1">
      <alignment vertical="center" wrapText="1"/>
      <protection locked="0"/>
    </xf>
    <xf numFmtId="0" fontId="119" fillId="2" borderId="45" xfId="10" applyFont="1" applyFill="1" applyBorder="1" applyAlignment="1" applyProtection="1">
      <alignment vertical="center"/>
      <protection locked="0"/>
    </xf>
    <xf numFmtId="0" fontId="48" fillId="2" borderId="3" xfId="10" applyFont="1" applyFill="1" applyBorder="1" applyAlignment="1" applyProtection="1">
      <alignment vertical="center" wrapText="1"/>
    </xf>
    <xf numFmtId="0" fontId="48" fillId="2" borderId="6" xfId="10" applyFont="1" applyFill="1" applyBorder="1" applyAlignment="1" applyProtection="1">
      <alignment horizontal="center" vertical="center" wrapText="1"/>
    </xf>
    <xf numFmtId="10" fontId="32"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wrapText="1"/>
      <protection locked="0"/>
    </xf>
    <xf numFmtId="0" fontId="32" fillId="2" borderId="1" xfId="10" applyFont="1" applyFill="1" applyBorder="1" applyAlignment="1" applyProtection="1">
      <alignment vertical="center" wrapText="1"/>
    </xf>
    <xf numFmtId="0" fontId="32" fillId="2" borderId="0" xfId="10" applyFont="1" applyFill="1" applyBorder="1" applyAlignment="1" applyProtection="1">
      <alignment vertical="center" wrapText="1"/>
      <protection locked="0"/>
    </xf>
    <xf numFmtId="10" fontId="32" fillId="0" borderId="1" xfId="10" applyNumberFormat="1" applyFont="1" applyFill="1" applyBorder="1" applyAlignment="1" applyProtection="1">
      <alignment horizontal="center" vertical="center" wrapText="1"/>
      <protection locked="0"/>
    </xf>
    <xf numFmtId="0" fontId="32" fillId="2" borderId="0" xfId="10" applyFont="1" applyFill="1" applyAlignment="1" applyProtection="1">
      <alignment vertical="center" wrapText="1"/>
      <protection locked="0"/>
    </xf>
    <xf numFmtId="0" fontId="119" fillId="2" borderId="7" xfId="10" applyFont="1" applyFill="1" applyBorder="1" applyAlignment="1" applyProtection="1">
      <alignment horizontal="center" vertical="center" wrapText="1"/>
      <protection locked="0"/>
    </xf>
    <xf numFmtId="0" fontId="32"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99" fillId="2" borderId="48" xfId="10" applyFont="1" applyFill="1" applyBorder="1" applyAlignment="1" applyProtection="1">
      <alignment vertical="center" wrapText="1"/>
    </xf>
    <xf numFmtId="0" fontId="99" fillId="2" borderId="4" xfId="10" applyFont="1" applyFill="1" applyBorder="1" applyAlignment="1" applyProtection="1">
      <alignment horizontal="center" vertical="center" wrapText="1"/>
    </xf>
    <xf numFmtId="0" fontId="99" fillId="2" borderId="13" xfId="10" applyFont="1" applyFill="1" applyBorder="1" applyAlignment="1" applyProtection="1">
      <alignment horizontal="center" vertical="center" wrapText="1"/>
    </xf>
    <xf numFmtId="0" fontId="99" fillId="2" borderId="67" xfId="10" applyFont="1" applyFill="1" applyBorder="1" applyAlignment="1" applyProtection="1">
      <alignment vertical="center" wrapText="1"/>
    </xf>
    <xf numFmtId="0" fontId="99"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99"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98" fillId="2" borderId="46" xfId="10" applyFont="1" applyFill="1" applyBorder="1" applyAlignment="1" applyProtection="1">
      <alignment vertical="center"/>
    </xf>
    <xf numFmtId="0" fontId="98" fillId="2" borderId="0" xfId="10" applyFont="1" applyFill="1" applyBorder="1" applyAlignment="1" applyProtection="1">
      <alignment vertical="center"/>
      <protection locked="0"/>
    </xf>
    <xf numFmtId="0" fontId="99" fillId="2" borderId="53" xfId="10" applyFont="1" applyFill="1" applyBorder="1" applyAlignment="1" applyProtection="1">
      <alignment vertical="center" wrapText="1"/>
    </xf>
    <xf numFmtId="0" fontId="99" fillId="2" borderId="56" xfId="10" applyFont="1" applyFill="1" applyBorder="1" applyAlignment="1" applyProtection="1">
      <alignment vertical="center"/>
    </xf>
    <xf numFmtId="0" fontId="99" fillId="2" borderId="72" xfId="10" applyFont="1" applyFill="1" applyBorder="1" applyAlignment="1" applyProtection="1">
      <alignment vertical="center"/>
    </xf>
    <xf numFmtId="0" fontId="99" fillId="2" borderId="0" xfId="10" applyFont="1" applyFill="1" applyBorder="1" applyAlignment="1" applyProtection="1">
      <alignment vertical="center"/>
      <protection locked="0"/>
    </xf>
    <xf numFmtId="0" fontId="99"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99"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8" fillId="2" borderId="1" xfId="10" applyNumberFormat="1" applyFont="1" applyFill="1" applyBorder="1" applyAlignment="1" applyProtection="1">
      <alignment horizontal="center" vertical="center" wrapText="1"/>
    </xf>
    <xf numFmtId="9" fontId="67" fillId="2" borderId="1" xfId="10" applyNumberFormat="1" applyFont="1" applyFill="1" applyBorder="1" applyAlignment="1" applyProtection="1">
      <alignment horizontal="center" vertical="center" wrapText="1"/>
    </xf>
    <xf numFmtId="10" fontId="32" fillId="2" borderId="1" xfId="10" applyNumberFormat="1" applyFont="1" applyFill="1" applyBorder="1" applyAlignment="1" applyProtection="1">
      <alignment horizontal="center" vertical="center" wrapText="1"/>
    </xf>
    <xf numFmtId="9" fontId="67" fillId="2" borderId="8" xfId="10" applyNumberFormat="1" applyFont="1" applyFill="1" applyBorder="1" applyAlignment="1" applyProtection="1">
      <alignment horizontal="center" vertical="center" wrapText="1"/>
    </xf>
    <xf numFmtId="0" fontId="120" fillId="2" borderId="1" xfId="10" applyFont="1" applyFill="1" applyBorder="1" applyAlignment="1" applyProtection="1">
      <alignment horizontal="center" vertical="center" wrapText="1"/>
    </xf>
    <xf numFmtId="0" fontId="46" fillId="2" borderId="1" xfId="10" applyFont="1" applyFill="1" applyBorder="1" applyAlignment="1" applyProtection="1">
      <alignment horizontal="center" vertical="center" wrapText="1"/>
    </xf>
    <xf numFmtId="0" fontId="46"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2" fontId="67" fillId="2" borderId="1" xfId="10" applyNumberFormat="1" applyFont="1" applyFill="1" applyBorder="1" applyAlignment="1" applyProtection="1">
      <alignment horizontal="center" vertical="center"/>
    </xf>
    <xf numFmtId="0" fontId="67"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10" fontId="17" fillId="2" borderId="0" xfId="10" applyNumberFormat="1" applyFont="1" applyFill="1" applyAlignment="1" applyProtection="1">
      <alignment horizontal="center" vertical="center" wrapText="1"/>
      <protection locked="0"/>
    </xf>
    <xf numFmtId="0" fontId="32" fillId="2" borderId="0" xfId="10" applyFont="1" applyFill="1" applyAlignment="1" applyProtection="1">
      <alignment horizontal="center" vertical="center" wrapText="1"/>
      <protection locked="0"/>
    </xf>
    <xf numFmtId="0" fontId="99" fillId="2" borderId="0" xfId="10" applyFont="1" applyFill="1" applyAlignment="1" applyProtection="1">
      <alignment horizontal="center" vertical="center" wrapText="1"/>
      <protection locked="0"/>
    </xf>
    <xf numFmtId="0" fontId="99" fillId="6" borderId="0" xfId="10" applyFont="1" applyFill="1" applyAlignment="1" applyProtection="1">
      <alignment horizontal="center" vertical="center" wrapText="1"/>
      <protection locked="0"/>
    </xf>
    <xf numFmtId="0" fontId="48" fillId="2" borderId="0" xfId="10" applyFont="1" applyFill="1" applyAlignment="1" applyProtection="1">
      <alignment horizontal="center" vertical="center" wrapText="1"/>
      <protection locked="0"/>
    </xf>
    <xf numFmtId="0" fontId="48" fillId="6" borderId="0" xfId="10" applyFont="1" applyFill="1" applyAlignment="1" applyProtection="1">
      <alignment horizontal="center" vertical="center" wrapText="1"/>
    </xf>
    <xf numFmtId="179"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2" fillId="0" borderId="1" xfId="10" applyNumberFormat="1" applyFont="1" applyFill="1" applyBorder="1" applyAlignment="1" applyProtection="1">
      <alignment horizontal="center" vertical="center"/>
      <protection locked="0"/>
    </xf>
    <xf numFmtId="177" fontId="82" fillId="2" borderId="1" xfId="10" applyNumberFormat="1" applyFont="1" applyFill="1" applyBorder="1" applyAlignment="1" applyProtection="1">
      <alignment horizontal="center" vertical="center"/>
    </xf>
    <xf numFmtId="192" fontId="82" fillId="2" borderId="1" xfId="10" applyNumberFormat="1" applyFont="1" applyFill="1" applyBorder="1" applyAlignment="1" applyProtection="1">
      <alignment horizontal="center" vertical="center" wrapText="1"/>
    </xf>
    <xf numFmtId="0" fontId="48" fillId="6" borderId="0" xfId="10" applyFont="1" applyFill="1" applyAlignment="1" applyProtection="1">
      <alignment vertical="center" wrapText="1"/>
    </xf>
    <xf numFmtId="10" fontId="99" fillId="6" borderId="0" xfId="10" applyNumberFormat="1" applyFont="1" applyFill="1" applyAlignment="1" applyProtection="1">
      <alignment horizontal="center" vertical="center" wrapText="1"/>
    </xf>
    <xf numFmtId="10" fontId="99" fillId="0" borderId="0" xfId="10" applyNumberFormat="1" applyFont="1" applyAlignment="1" applyProtection="1">
      <alignment horizontal="center" vertical="center" wrapText="1"/>
    </xf>
    <xf numFmtId="0" fontId="48"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5" fillId="2" borderId="8" xfId="10" applyNumberFormat="1" applyFont="1" applyFill="1" applyBorder="1" applyAlignment="1" applyProtection="1">
      <alignment horizontal="center" vertical="center" wrapText="1"/>
    </xf>
    <xf numFmtId="0" fontId="116"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5" fillId="0" borderId="8" xfId="10" applyNumberFormat="1" applyFont="1" applyFill="1" applyBorder="1" applyAlignment="1" applyProtection="1">
      <alignment horizontal="center" vertical="center" wrapText="1"/>
      <protection locked="0"/>
    </xf>
    <xf numFmtId="0" fontId="105" fillId="2" borderId="8" xfId="10" applyNumberFormat="1" applyFont="1" applyFill="1" applyBorder="1" applyAlignment="1" applyProtection="1">
      <alignment horizontal="center" vertical="center" wrapText="1"/>
    </xf>
    <xf numFmtId="0" fontId="105" fillId="2" borderId="10" xfId="10" applyFont="1" applyFill="1" applyBorder="1" applyAlignment="1" applyProtection="1">
      <alignment vertical="center"/>
    </xf>
    <xf numFmtId="0" fontId="105" fillId="2" borderId="12" xfId="10" applyFont="1" applyFill="1" applyBorder="1" applyAlignment="1" applyProtection="1">
      <alignment vertical="center"/>
    </xf>
    <xf numFmtId="182" fontId="105" fillId="2" borderId="1" xfId="10" applyNumberFormat="1" applyFont="1" applyFill="1" applyBorder="1" applyAlignment="1" applyProtection="1">
      <alignment horizontal="center" vertical="center"/>
    </xf>
    <xf numFmtId="192" fontId="105" fillId="2" borderId="1" xfId="10" applyNumberFormat="1" applyFont="1" applyFill="1" applyBorder="1" applyAlignment="1" applyProtection="1">
      <alignment horizontal="center" vertical="center"/>
    </xf>
    <xf numFmtId="177" fontId="121" fillId="2" borderId="1" xfId="10" applyNumberFormat="1" applyFont="1" applyFill="1" applyBorder="1" applyAlignment="1" applyProtection="1">
      <alignment horizontal="center" vertical="center"/>
    </xf>
    <xf numFmtId="192" fontId="121" fillId="2" borderId="1" xfId="10" applyNumberFormat="1" applyFont="1" applyFill="1" applyBorder="1" applyAlignment="1" applyProtection="1">
      <alignment horizontal="center" vertical="center" wrapText="1"/>
    </xf>
    <xf numFmtId="182" fontId="105" fillId="2" borderId="3" xfId="10" applyNumberFormat="1" applyFont="1" applyFill="1" applyBorder="1" applyAlignment="1" applyProtection="1">
      <alignment horizontal="center" vertical="center" wrapText="1"/>
    </xf>
    <xf numFmtId="179" fontId="121" fillId="2" borderId="1" xfId="10" applyNumberFormat="1" applyFont="1" applyFill="1" applyBorder="1" applyAlignment="1" applyProtection="1">
      <alignment horizontal="center" vertical="center"/>
    </xf>
    <xf numFmtId="0" fontId="105"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79" fontId="82"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2" fillId="2" borderId="55" xfId="9" applyNumberFormat="1" applyFont="1" applyFill="1" applyBorder="1" applyAlignment="1" applyProtection="1">
      <alignment horizontal="center" vertical="center" wrapText="1"/>
    </xf>
    <xf numFmtId="0" fontId="63" fillId="2" borderId="1" xfId="9" applyNumberFormat="1" applyFont="1" applyFill="1" applyBorder="1" applyAlignment="1" applyProtection="1">
      <alignment horizontal="center" vertical="center" wrapText="1"/>
    </xf>
    <xf numFmtId="0" fontId="88"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99" fillId="2" borderId="5" xfId="9" applyNumberFormat="1" applyFont="1" applyFill="1" applyBorder="1" applyAlignment="1" applyProtection="1">
      <alignment horizontal="center" vertical="center"/>
    </xf>
    <xf numFmtId="0" fontId="99" fillId="2" borderId="3" xfId="9" applyNumberFormat="1" applyFont="1" applyFill="1" applyBorder="1" applyAlignment="1" applyProtection="1">
      <alignment horizontal="center" vertical="center"/>
    </xf>
    <xf numFmtId="0" fontId="99"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2" fillId="2" borderId="1" xfId="9" applyNumberFormat="1" applyFont="1" applyFill="1" applyBorder="1" applyAlignment="1" applyProtection="1">
      <alignment horizontal="center" vertical="center" wrapText="1"/>
    </xf>
    <xf numFmtId="0" fontId="63"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2" fillId="2" borderId="8" xfId="9" applyNumberFormat="1" applyFont="1" applyFill="1" applyBorder="1" applyAlignment="1" applyProtection="1">
      <alignment horizontal="center" vertical="center" wrapText="1"/>
    </xf>
    <xf numFmtId="0" fontId="99" fillId="0" borderId="0" xfId="10" applyFont="1" applyAlignment="1" applyProtection="1">
      <alignment vertical="center" wrapText="1"/>
      <protection locked="0"/>
    </xf>
    <xf numFmtId="0" fontId="105" fillId="2" borderId="11" xfId="10" applyFont="1" applyFill="1" applyBorder="1" applyAlignment="1" applyProtection="1">
      <alignment vertical="center"/>
    </xf>
    <xf numFmtId="0" fontId="99" fillId="2" borderId="41" xfId="9" applyNumberFormat="1" applyFont="1" applyFill="1" applyBorder="1" applyAlignment="1" applyProtection="1">
      <alignment horizontal="center" vertical="center"/>
    </xf>
    <xf numFmtId="0" fontId="99" fillId="2" borderId="70" xfId="9" applyNumberFormat="1" applyFont="1" applyFill="1" applyBorder="1" applyAlignment="1" applyProtection="1">
      <alignment horizontal="center" vertical="center"/>
    </xf>
    <xf numFmtId="0" fontId="82" fillId="2" borderId="14" xfId="9" applyNumberFormat="1" applyFont="1" applyFill="1" applyBorder="1" applyAlignment="1" applyProtection="1">
      <alignment horizontal="center" vertical="center" wrapText="1"/>
    </xf>
    <xf numFmtId="0" fontId="82" fillId="2" borderId="15" xfId="9" applyNumberFormat="1" applyFont="1" applyFill="1" applyBorder="1" applyAlignment="1" applyProtection="1">
      <alignment horizontal="center" vertical="center" wrapText="1"/>
    </xf>
    <xf numFmtId="0" fontId="99" fillId="0" borderId="0" xfId="10" applyFont="1" applyAlignment="1" applyProtection="1">
      <alignment horizontal="center" vertical="center" wrapText="1"/>
      <protection locked="0"/>
    </xf>
    <xf numFmtId="0" fontId="122" fillId="0" borderId="0" xfId="0" applyFont="1" applyFill="1" applyAlignment="1" applyProtection="1">
      <alignment horizontal="center" vertical="center"/>
    </xf>
    <xf numFmtId="0" fontId="123" fillId="2" borderId="54" xfId="0" applyFont="1" applyFill="1" applyBorder="1" applyAlignment="1" applyProtection="1">
      <alignment vertical="center"/>
    </xf>
    <xf numFmtId="0" fontId="124" fillId="2" borderId="54" xfId="0" applyFont="1" applyFill="1" applyBorder="1" applyAlignment="1" applyProtection="1">
      <alignment vertical="center"/>
    </xf>
    <xf numFmtId="177"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36"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2" fontId="37" fillId="2" borderId="79" xfId="0" applyNumberFormat="1" applyFont="1" applyFill="1" applyBorder="1" applyAlignment="1" applyProtection="1">
      <alignment vertical="center" wrapText="1"/>
    </xf>
    <xf numFmtId="182" fontId="37" fillId="2" borderId="77" xfId="0" applyNumberFormat="1" applyFont="1" applyFill="1" applyBorder="1" applyAlignment="1" applyProtection="1">
      <alignment vertical="center" wrapText="1"/>
    </xf>
    <xf numFmtId="182"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76" fontId="32" fillId="2" borderId="5" xfId="0" applyNumberFormat="1" applyFont="1" applyFill="1" applyBorder="1" applyAlignment="1" applyProtection="1">
      <alignment horizontal="center" vertical="center"/>
    </xf>
    <xf numFmtId="0" fontId="113" fillId="3" borderId="5" xfId="0" applyFont="1" applyFill="1" applyBorder="1" applyAlignment="1" applyProtection="1">
      <alignment horizontal="center" vertical="center"/>
      <protection locked="0"/>
    </xf>
    <xf numFmtId="0" fontId="119"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2"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2" fillId="2" borderId="1" xfId="0" applyFont="1" applyFill="1" applyBorder="1" applyAlignment="1" applyProtection="1">
      <alignment horizontal="center" vertical="center"/>
      <protection locked="0"/>
    </xf>
    <xf numFmtId="177"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9" fontId="122" fillId="3" borderId="1" xfId="0" applyNumberFormat="1" applyFont="1" applyFill="1" applyBorder="1" applyAlignment="1" applyProtection="1">
      <alignment horizontal="center" vertical="center"/>
      <protection locked="0"/>
    </xf>
    <xf numFmtId="179" fontId="17" fillId="0" borderId="1" xfId="11"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99" fillId="2" borderId="6" xfId="11" applyFont="1" applyFill="1" applyBorder="1" applyAlignment="1" applyProtection="1"/>
    <xf numFmtId="179" fontId="17" fillId="2" borderId="1" xfId="11" applyNumberFormat="1" applyFont="1" applyFill="1" applyBorder="1" applyAlignment="1" applyProtection="1">
      <alignment horizontal="center"/>
    </xf>
    <xf numFmtId="0" fontId="122"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0" fontId="124" fillId="2" borderId="54" xfId="0" applyNumberFormat="1" applyFont="1" applyFill="1" applyBorder="1" applyAlignment="1" applyProtection="1">
      <alignment horizontal="center" vertical="center"/>
    </xf>
    <xf numFmtId="180" fontId="34" fillId="9" borderId="0" xfId="0" applyNumberFormat="1" applyFont="1" applyFill="1" applyBorder="1" applyAlignment="1" applyProtection="1">
      <alignment horizontal="center" vertical="center"/>
      <protection locked="0"/>
    </xf>
    <xf numFmtId="0" fontId="73" fillId="2" borderId="11" xfId="0" applyNumberFormat="1" applyFont="1" applyFill="1" applyBorder="1" applyAlignment="1" applyProtection="1">
      <alignment horizontal="center" vertical="center" wrapText="1"/>
    </xf>
    <xf numFmtId="0" fontId="73" fillId="0" borderId="1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horizontal="center" vertical="center" wrapText="1"/>
    </xf>
    <xf numFmtId="0" fontId="125" fillId="2" borderId="11" xfId="0" applyNumberFormat="1" applyFont="1" applyFill="1" applyBorder="1" applyAlignment="1" applyProtection="1">
      <alignment horizontal="center" vertical="center" wrapText="1"/>
    </xf>
    <xf numFmtId="180" fontId="32" fillId="7" borderId="11" xfId="0" applyNumberFormat="1" applyFont="1" applyFill="1" applyBorder="1" applyAlignment="1" applyProtection="1">
      <alignment horizontal="center" vertical="center"/>
    </xf>
    <xf numFmtId="176" fontId="32" fillId="2" borderId="46" xfId="0" applyNumberFormat="1" applyFont="1" applyFill="1" applyBorder="1" applyAlignment="1" applyProtection="1">
      <alignment horizontal="left" vertical="center" wrapText="1"/>
    </xf>
    <xf numFmtId="180" fontId="32" fillId="7" borderId="1" xfId="0" applyNumberFormat="1" applyFont="1" applyFill="1" applyBorder="1" applyAlignment="1" applyProtection="1">
      <alignment horizontal="center" vertical="center" wrapText="1"/>
    </xf>
    <xf numFmtId="0" fontId="81" fillId="2" borderId="11"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126"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22" fillId="9" borderId="0" xfId="0" applyFont="1" applyFill="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7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27"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27"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7" fontId="28" fillId="0" borderId="43" xfId="0" applyNumberFormat="1" applyFont="1" applyFill="1" applyBorder="1" applyAlignment="1" applyProtection="1">
      <alignment horizontal="center" vertical="center" wrapText="1"/>
      <protection locked="0"/>
    </xf>
    <xf numFmtId="190" fontId="28" fillId="0" borderId="8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73"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2" fontId="16" fillId="7" borderId="0" xfId="0" applyNumberFormat="1" applyFont="1" applyFill="1" applyAlignment="1" applyProtection="1">
      <alignment horizont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177" fontId="36"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2"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2"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2" fontId="16" fillId="0" borderId="1" xfId="0" applyNumberFormat="1" applyFont="1" applyFill="1" applyBorder="1" applyAlignment="1" applyProtection="1">
      <alignment horizontal="center"/>
      <protection locked="0"/>
    </xf>
    <xf numFmtId="176"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2" fontId="67" fillId="0" borderId="8" xfId="0" applyNumberFormat="1" applyFont="1" applyFill="1" applyBorder="1" applyAlignment="1" applyProtection="1">
      <alignment horizontal="center"/>
      <protection locked="0"/>
    </xf>
    <xf numFmtId="182"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2"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77" fontId="16" fillId="2" borderId="1" xfId="0" applyNumberFormat="1" applyFont="1" applyFill="1" applyBorder="1" applyAlignment="1" applyProtection="1">
      <alignment horizontal="center" vertical="center"/>
    </xf>
    <xf numFmtId="179" fontId="16" fillId="2" borderId="1" xfId="11" applyNumberFormat="1" applyFont="1" applyFill="1" applyBorder="1" applyAlignment="1" applyProtection="1">
      <alignment horizontal="center"/>
    </xf>
    <xf numFmtId="181"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9" fillId="2" borderId="6" xfId="11" applyNumberFormat="1" applyFont="1" applyFill="1" applyBorder="1" applyAlignment="1" applyProtection="1">
      <alignment horizontal="left"/>
    </xf>
    <xf numFmtId="0" fontId="39" fillId="2" borderId="10" xfId="11" applyFont="1" applyFill="1" applyBorder="1" applyAlignment="1" applyProtection="1"/>
    <xf numFmtId="177" fontId="39" fillId="2" borderId="1" xfId="11" applyNumberFormat="1" applyFont="1" applyFill="1" applyBorder="1" applyAlignment="1" applyProtection="1">
      <alignment horizontal="center"/>
    </xf>
    <xf numFmtId="0" fontId="39" fillId="2" borderId="1" xfId="11" applyFont="1" applyFill="1" applyBorder="1" applyAlignment="1" applyProtection="1"/>
    <xf numFmtId="177" fontId="39" fillId="2" borderId="1" xfId="11" applyNumberFormat="1" applyFont="1" applyFill="1" applyBorder="1" applyAlignment="1" applyProtection="1"/>
    <xf numFmtId="0" fontId="20" fillId="2" borderId="1" xfId="11" applyFont="1" applyFill="1" applyBorder="1" applyAlignment="1" applyProtection="1">
      <alignment horizontal="left"/>
    </xf>
    <xf numFmtId="10" fontId="39" fillId="2" borderId="1" xfId="11" applyNumberFormat="1" applyFont="1" applyFill="1" applyBorder="1" applyAlignment="1" applyProtection="1">
      <alignment horizontal="center"/>
    </xf>
    <xf numFmtId="0" fontId="39" fillId="2" borderId="1" xfId="0" applyNumberFormat="1" applyFont="1" applyFill="1" applyBorder="1" applyAlignment="1" applyProtection="1">
      <alignment horizontal="center"/>
    </xf>
    <xf numFmtId="177" fontId="39" fillId="15" borderId="12" xfId="11" applyNumberFormat="1" applyFont="1" applyFill="1" applyBorder="1" applyAlignment="1" applyProtection="1">
      <alignment vertical="center"/>
    </xf>
    <xf numFmtId="177" fontId="39" fillId="2" borderId="12" xfId="11"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0" fontId="53" fillId="2" borderId="1" xfId="11" applyFont="1" applyFill="1" applyBorder="1" applyAlignment="1" applyProtection="1">
      <alignment horizontal="left"/>
    </xf>
    <xf numFmtId="177" fontId="39" fillId="2" borderId="0" xfId="0" applyNumberFormat="1" applyFont="1" applyFill="1" applyBorder="1" applyAlignment="1" applyProtection="1">
      <alignment horizontal="center"/>
    </xf>
    <xf numFmtId="0" fontId="39" fillId="15"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192" fontId="16" fillId="2" borderId="1" xfId="0" applyNumberFormat="1" applyFont="1" applyFill="1" applyBorder="1" applyAlignment="1" applyProtection="1">
      <alignment horizontal="center" vertical="center"/>
    </xf>
    <xf numFmtId="177" fontId="16" fillId="2" borderId="12" xfId="11"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99" fillId="2" borderId="1" xfId="11" applyFont="1" applyFill="1" applyBorder="1" applyAlignment="1" applyProtection="1">
      <alignment horizontal="left"/>
    </xf>
    <xf numFmtId="49" fontId="16" fillId="15" borderId="6" xfId="11" applyNumberFormat="1" applyFont="1" applyFill="1" applyBorder="1" applyAlignment="1" applyProtection="1">
      <alignment horizontal="left"/>
    </xf>
    <xf numFmtId="0" fontId="17" fillId="15" borderId="1" xfId="11" applyFont="1" applyFill="1" applyBorder="1" applyAlignment="1" applyProtection="1"/>
    <xf numFmtId="0" fontId="16" fillId="15" borderId="0" xfId="0" applyNumberFormat="1" applyFont="1" applyFill="1" applyBorder="1" applyAlignment="1" applyProtection="1">
      <alignment horizontal="center"/>
    </xf>
    <xf numFmtId="192" fontId="16" fillId="15" borderId="1" xfId="0" applyNumberFormat="1" applyFont="1" applyFill="1" applyBorder="1" applyAlignment="1" applyProtection="1">
      <alignment horizontal="center" vertical="center"/>
    </xf>
    <xf numFmtId="177" fontId="16" fillId="15" borderId="12" xfId="11" applyNumberFormat="1" applyFont="1" applyFill="1" applyBorder="1" applyAlignment="1" applyProtection="1">
      <alignment vertical="center"/>
    </xf>
    <xf numFmtId="10" fontId="16" fillId="15" borderId="9" xfId="0" applyNumberFormat="1" applyFont="1" applyFill="1" applyBorder="1" applyAlignment="1" applyProtection="1">
      <alignment horizontal="center" vertical="center"/>
    </xf>
    <xf numFmtId="0" fontId="99" fillId="15" borderId="1" xfId="11" applyFont="1" applyFill="1" applyBorder="1" applyAlignment="1" applyProtection="1">
      <alignment horizontal="left"/>
    </xf>
    <xf numFmtId="0" fontId="16" fillId="15" borderId="12" xfId="0" applyFont="1" applyFill="1" applyBorder="1" applyAlignment="1" applyProtection="1"/>
    <xf numFmtId="0" fontId="127" fillId="2" borderId="1" xfId="11" applyFont="1" applyFill="1" applyBorder="1" applyAlignment="1" applyProtection="1">
      <alignment vertical="center" wrapText="1"/>
    </xf>
    <xf numFmtId="177" fontId="39" fillId="2" borderId="11" xfId="0" applyNumberFormat="1" applyFont="1" applyFill="1" applyBorder="1" applyAlignment="1" applyProtection="1">
      <alignment horizontal="center" vertical="center" wrapText="1"/>
    </xf>
    <xf numFmtId="0" fontId="39" fillId="15"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1" applyFont="1" applyFill="1" applyBorder="1" applyAlignment="1" applyProtection="1">
      <alignment horizontal="left"/>
    </xf>
    <xf numFmtId="0" fontId="16" fillId="15" borderId="1" xfId="0" applyNumberFormat="1" applyFont="1" applyFill="1" applyBorder="1" applyAlignment="1" applyProtection="1">
      <alignment horizontal="center" vertical="center" wrapText="1"/>
    </xf>
    <xf numFmtId="177" fontId="16" fillId="15" borderId="12" xfId="11" applyNumberFormat="1" applyFont="1" applyFill="1" applyBorder="1" applyAlignment="1" applyProtection="1"/>
    <xf numFmtId="10" fontId="16" fillId="15" borderId="1" xfId="0" applyNumberFormat="1" applyFont="1" applyFill="1" applyBorder="1" applyAlignment="1" applyProtection="1">
      <alignment horizontal="center" vertical="center" wrapText="1"/>
    </xf>
    <xf numFmtId="0" fontId="17" fillId="15" borderId="1" xfId="11" applyFont="1" applyFill="1" applyBorder="1" applyAlignment="1" applyProtection="1">
      <alignment horizontal="left"/>
    </xf>
    <xf numFmtId="49" fontId="128" fillId="15" borderId="6" xfId="11" applyNumberFormat="1" applyFont="1" applyFill="1" applyBorder="1" applyAlignment="1" applyProtection="1">
      <alignment horizontal="left"/>
    </xf>
    <xf numFmtId="0" fontId="39" fillId="15" borderId="10" xfId="11" applyFont="1" applyFill="1" applyBorder="1" applyAlignment="1" applyProtection="1"/>
    <xf numFmtId="0" fontId="39" fillId="15" borderId="1" xfId="11" applyNumberFormat="1" applyFont="1" applyFill="1" applyBorder="1" applyAlignment="1" applyProtection="1">
      <alignment horizontal="right"/>
    </xf>
    <xf numFmtId="177" fontId="39" fillId="15" borderId="1" xfId="11" applyNumberFormat="1" applyFont="1" applyFill="1" applyBorder="1" applyAlignment="1" applyProtection="1"/>
    <xf numFmtId="10" fontId="39" fillId="15" borderId="1" xfId="11" applyNumberFormat="1" applyFont="1" applyFill="1" applyBorder="1" applyAlignment="1" applyProtection="1">
      <alignment horizontal="center"/>
    </xf>
    <xf numFmtId="0" fontId="53" fillId="15" borderId="1" xfId="11" applyFont="1" applyFill="1" applyBorder="1" applyAlignment="1" applyProtection="1">
      <alignment horizontal="left"/>
    </xf>
    <xf numFmtId="0" fontId="39" fillId="15" borderId="12" xfId="0" applyFont="1" applyFill="1" applyBorder="1" applyAlignment="1" applyProtection="1"/>
    <xf numFmtId="0" fontId="39" fillId="15" borderId="1" xfId="11" applyFont="1" applyFill="1" applyBorder="1" applyAlignment="1" applyProtection="1">
      <alignment horizontal="left"/>
    </xf>
    <xf numFmtId="177" fontId="39" fillId="15" borderId="0" xfId="0" applyNumberFormat="1" applyFont="1" applyFill="1" applyBorder="1" applyAlignment="1" applyProtection="1">
      <alignment horizontal="center"/>
    </xf>
    <xf numFmtId="192" fontId="39" fillId="15" borderId="1" xfId="0" applyNumberFormat="1" applyFont="1" applyFill="1" applyBorder="1" applyAlignment="1" applyProtection="1">
      <alignment horizontal="right" vertical="center"/>
    </xf>
    <xf numFmtId="10" fontId="39" fillId="15" borderId="9" xfId="0" applyNumberFormat="1" applyFont="1" applyFill="1" applyBorder="1" applyAlignment="1" applyProtection="1">
      <alignment horizontal="center" vertical="center"/>
    </xf>
    <xf numFmtId="0" fontId="20" fillId="15" borderId="1" xfId="11" applyFont="1" applyFill="1" applyBorder="1" applyAlignment="1" applyProtection="1">
      <alignment horizontal="left"/>
    </xf>
    <xf numFmtId="49" fontId="128" fillId="2" borderId="6" xfId="11" applyNumberFormat="1" applyFont="1" applyFill="1" applyBorder="1" applyAlignment="1" applyProtection="1">
      <alignment horizontal="left"/>
    </xf>
    <xf numFmtId="0" fontId="39" fillId="2" borderId="1" xfId="11" applyFont="1" applyFill="1" applyBorder="1" applyAlignment="1" applyProtection="1">
      <alignment horizontal="left"/>
    </xf>
    <xf numFmtId="181" fontId="129" fillId="2" borderId="1" xfId="0" applyNumberFormat="1" applyFont="1" applyFill="1" applyBorder="1" applyAlignment="1" applyProtection="1">
      <alignment horizontal="center"/>
    </xf>
    <xf numFmtId="192" fontId="129" fillId="2" borderId="1" xfId="0" applyNumberFormat="1" applyFont="1" applyFill="1" applyBorder="1" applyAlignment="1" applyProtection="1">
      <alignment horizontal="center" vertical="center"/>
    </xf>
    <xf numFmtId="177" fontId="129" fillId="2" borderId="12" xfId="11" applyNumberFormat="1" applyFont="1" applyFill="1" applyBorder="1" applyAlignment="1" applyProtection="1">
      <alignment vertical="center"/>
    </xf>
    <xf numFmtId="10" fontId="129" fillId="2" borderId="9" xfId="0" applyNumberFormat="1" applyFont="1" applyFill="1" applyBorder="1" applyAlignment="1" applyProtection="1">
      <alignment horizontal="center" vertical="center"/>
    </xf>
    <xf numFmtId="0" fontId="39" fillId="15" borderId="6" xfId="0" applyFont="1" applyFill="1" applyBorder="1" applyAlignment="1" applyProtection="1">
      <alignment horizontal="left"/>
    </xf>
    <xf numFmtId="0" fontId="129" fillId="15" borderId="10" xfId="0" applyFont="1" applyFill="1" applyBorder="1" applyAlignment="1" applyProtection="1">
      <alignment horizontal="center" vertical="center"/>
    </xf>
    <xf numFmtId="192" fontId="129" fillId="15" borderId="1" xfId="0" applyNumberFormat="1" applyFont="1" applyFill="1" applyBorder="1" applyAlignment="1" applyProtection="1">
      <alignment horizontal="center" vertical="center"/>
    </xf>
    <xf numFmtId="177" fontId="129" fillId="15" borderId="1" xfId="11" applyNumberFormat="1" applyFont="1" applyFill="1" applyBorder="1" applyAlignment="1" applyProtection="1">
      <alignment vertical="center"/>
    </xf>
    <xf numFmtId="10" fontId="129" fillId="15" borderId="1" xfId="0" applyNumberFormat="1" applyFont="1" applyFill="1" applyBorder="1" applyAlignment="1" applyProtection="1">
      <alignment horizontal="center" vertical="center"/>
    </xf>
    <xf numFmtId="0" fontId="129" fillId="15" borderId="11" xfId="11" applyFont="1" applyFill="1" applyBorder="1" applyAlignment="1" applyProtection="1">
      <alignment horizontal="left"/>
    </xf>
    <xf numFmtId="0" fontId="129" fillId="15" borderId="12" xfId="0" applyFont="1" applyFill="1" applyBorder="1" applyAlignment="1" applyProtection="1"/>
    <xf numFmtId="0" fontId="129"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29" fillId="2" borderId="0" xfId="0" applyFont="1" applyFill="1" applyBorder="1" applyAlignment="1" applyProtection="1">
      <alignment horizontal="center" vertical="center" wrapText="1"/>
    </xf>
    <xf numFmtId="0" fontId="129" fillId="2" borderId="1" xfId="0" applyFont="1" applyFill="1" applyBorder="1" applyAlignment="1" applyProtection="1">
      <alignment vertical="center" wrapText="1"/>
    </xf>
    <xf numFmtId="10" fontId="129" fillId="2" borderId="1" xfId="0" applyNumberFormat="1" applyFont="1" applyFill="1" applyBorder="1" applyAlignment="1" applyProtection="1">
      <alignment vertical="center" wrapText="1"/>
    </xf>
    <xf numFmtId="0" fontId="104" fillId="2" borderId="0" xfId="0" applyFont="1" applyFill="1" applyBorder="1" applyAlignment="1" applyProtection="1">
      <alignment vertical="center"/>
    </xf>
    <xf numFmtId="0" fontId="129" fillId="2" borderId="0" xfId="0" applyFont="1" applyFill="1" applyBorder="1" applyAlignment="1" applyProtection="1">
      <alignment vertical="center" wrapText="1"/>
    </xf>
    <xf numFmtId="0" fontId="39" fillId="15" borderId="77" xfId="0" applyFont="1" applyFill="1" applyBorder="1" applyAlignment="1" applyProtection="1"/>
    <xf numFmtId="0" fontId="39" fillId="15" borderId="79" xfId="0" applyFont="1" applyFill="1" applyBorder="1" applyAlignment="1" applyProtection="1"/>
    <xf numFmtId="182" fontId="25" fillId="15" borderId="8" xfId="0" applyNumberFormat="1" applyFont="1" applyFill="1" applyBorder="1" applyAlignment="1" applyProtection="1">
      <alignment horizontal="center"/>
    </xf>
    <xf numFmtId="0" fontId="127" fillId="15" borderId="42" xfId="0" applyFont="1" applyFill="1" applyBorder="1" applyAlignment="1" applyProtection="1"/>
    <xf numFmtId="0" fontId="16" fillId="0" borderId="0" xfId="0" applyFont="1" applyFill="1" applyAlignment="1" applyProtection="1">
      <alignment horizontal="center"/>
      <protection locked="0"/>
    </xf>
    <xf numFmtId="182" fontId="16" fillId="0" borderId="0" xfId="0" applyNumberFormat="1" applyFont="1" applyFill="1" applyAlignment="1" applyProtection="1">
      <alignment horizontal="center"/>
      <protection locked="0"/>
    </xf>
    <xf numFmtId="0" fontId="16" fillId="2" borderId="4" xfId="0" applyFont="1" applyFill="1" applyBorder="1" applyAlignment="1" applyProtection="1">
      <alignment horizontal="center"/>
    </xf>
    <xf numFmtId="0" fontId="68" fillId="2" borderId="5" xfId="0" applyFont="1" applyFill="1" applyBorder="1" applyAlignment="1" applyProtection="1"/>
    <xf numFmtId="182" fontId="16" fillId="2" borderId="5" xfId="0" applyNumberFormat="1" applyFont="1" applyFill="1" applyBorder="1" applyAlignment="1" applyProtection="1">
      <alignment horizontal="center"/>
    </xf>
    <xf numFmtId="0" fontId="16" fillId="2" borderId="5" xfId="0" applyFont="1" applyFill="1" applyBorder="1" applyAlignment="1" applyProtection="1"/>
    <xf numFmtId="0" fontId="16" fillId="2" borderId="5" xfId="0" applyFont="1" applyFill="1" applyBorder="1" applyAlignment="1" applyProtection="1">
      <alignment horizontal="center"/>
    </xf>
    <xf numFmtId="0" fontId="16" fillId="2" borderId="5" xfId="0" applyFont="1" applyFill="1" applyBorder="1" applyAlignment="1" applyProtection="1">
      <protection locked="0"/>
    </xf>
    <xf numFmtId="0" fontId="16" fillId="2" borderId="6" xfId="0" applyFont="1" applyFill="1" applyBorder="1" applyAlignment="1" applyProtection="1">
      <alignment horizontal="center"/>
    </xf>
    <xf numFmtId="0" fontId="68" fillId="2" borderId="1" xfId="0" applyFont="1" applyFill="1" applyBorder="1" applyAlignment="1" applyProtection="1"/>
    <xf numFmtId="182" fontId="16" fillId="2" borderId="1" xfId="0" applyNumberFormat="1" applyFont="1" applyFill="1" applyBorder="1" applyAlignment="1" applyProtection="1">
      <alignment horizontal="center"/>
    </xf>
    <xf numFmtId="0" fontId="16" fillId="2" borderId="1" xfId="0" applyFont="1" applyFill="1" applyBorder="1" applyAlignment="1" applyProtection="1">
      <alignment horizontal="center"/>
    </xf>
    <xf numFmtId="0" fontId="16" fillId="2" borderId="1" xfId="0" applyFont="1" applyFill="1" applyBorder="1" applyAlignment="1" applyProtection="1">
      <protection locked="0"/>
    </xf>
    <xf numFmtId="0" fontId="21" fillId="2" borderId="1" xfId="0" applyFont="1" applyFill="1" applyBorder="1" applyAlignment="1" applyProtection="1"/>
    <xf numFmtId="0" fontId="68" fillId="2" borderId="1" xfId="0" applyFont="1" applyFill="1" applyBorder="1" applyAlignment="1" applyProtection="1">
      <alignment horizontal="left"/>
    </xf>
    <xf numFmtId="182" fontId="21" fillId="2" borderId="1" xfId="0" applyNumberFormat="1" applyFont="1" applyFill="1" applyBorder="1" applyAlignment="1" applyProtection="1">
      <alignment horizontal="center"/>
    </xf>
    <xf numFmtId="10" fontId="21" fillId="2" borderId="1" xfId="0" applyNumberFormat="1" applyFont="1" applyFill="1" applyBorder="1" applyAlignment="1" applyProtection="1"/>
    <xf numFmtId="0" fontId="21" fillId="2" borderId="7" xfId="0" applyFont="1" applyFill="1" applyBorder="1" applyAlignment="1" applyProtection="1">
      <alignment horizontal="center"/>
    </xf>
    <xf numFmtId="0" fontId="23" fillId="2" borderId="8" xfId="0" applyFont="1" applyFill="1" applyBorder="1" applyAlignment="1" applyProtection="1"/>
    <xf numFmtId="182" fontId="21" fillId="2" borderId="8" xfId="0" applyNumberFormat="1" applyFont="1" applyFill="1" applyBorder="1" applyAlignment="1" applyProtection="1">
      <alignment horizontal="center"/>
    </xf>
    <xf numFmtId="0" fontId="16" fillId="2" borderId="8" xfId="0" applyFont="1" applyFill="1" applyBorder="1" applyAlignment="1" applyProtection="1"/>
    <xf numFmtId="0" fontId="16" fillId="2" borderId="8" xfId="0" applyFont="1" applyFill="1" applyBorder="1" applyAlignment="1" applyProtection="1">
      <alignment horizontal="center"/>
    </xf>
    <xf numFmtId="0" fontId="16" fillId="2" borderId="8" xfId="0" applyFont="1" applyFill="1" applyBorder="1" applyAlignment="1" applyProtection="1">
      <protection locked="0"/>
    </xf>
    <xf numFmtId="0" fontId="25" fillId="2" borderId="0" xfId="11"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73" fillId="0" borderId="0" xfId="0" applyFont="1" applyFill="1" applyAlignment="1" applyProtection="1">
      <protection locked="0"/>
    </xf>
    <xf numFmtId="182" fontId="16" fillId="3" borderId="14" xfId="0" applyNumberFormat="1" applyFont="1" applyFill="1" applyBorder="1" applyAlignment="1" applyProtection="1">
      <alignment horizontal="center" vertical="center" wrapText="1"/>
      <protection locked="0"/>
    </xf>
    <xf numFmtId="182" fontId="16" fillId="0" borderId="14" xfId="0" applyNumberFormat="1" applyFont="1" applyFill="1" applyBorder="1" applyAlignment="1" applyProtection="1">
      <alignment horizontal="center"/>
      <protection locked="0"/>
    </xf>
    <xf numFmtId="176" fontId="67" fillId="2" borderId="14" xfId="0" applyNumberFormat="1" applyFont="1" applyFill="1" applyBorder="1" applyAlignment="1" applyProtection="1">
      <alignment horizontal="center" vertical="center"/>
    </xf>
    <xf numFmtId="182"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16" fillId="15" borderId="46" xfId="0" applyFont="1" applyFill="1" applyBorder="1" applyAlignment="1" applyProtection="1"/>
    <xf numFmtId="0" fontId="39" fillId="15" borderId="46" xfId="0" applyFont="1" applyFill="1" applyBorder="1" applyAlignment="1" applyProtection="1"/>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15" borderId="53" xfId="0" applyFont="1" applyFill="1" applyBorder="1" applyAlignment="1" applyProtection="1"/>
    <xf numFmtId="0" fontId="16" fillId="2" borderId="13" xfId="0" applyFont="1" applyFill="1" applyBorder="1" applyAlignment="1" applyProtection="1">
      <protection locked="0"/>
    </xf>
    <xf numFmtId="0" fontId="16" fillId="2" borderId="14" xfId="0" applyFont="1" applyFill="1" applyBorder="1" applyAlignment="1" applyProtection="1">
      <protection locked="0"/>
    </xf>
    <xf numFmtId="0" fontId="16" fillId="2" borderId="15" xfId="0" applyFont="1" applyFill="1" applyBorder="1" applyAlignment="1" applyProtection="1">
      <protection locked="0"/>
    </xf>
    <xf numFmtId="0" fontId="39" fillId="6" borderId="0" xfId="0" applyFont="1" applyFill="1" applyAlignment="1" applyProtection="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130"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132"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0" fontId="36" fillId="2" borderId="0" xfId="0" applyNumberFormat="1" applyFont="1" applyFill="1" applyBorder="1" applyAlignment="1" applyProtection="1">
      <alignment horizontal="center" vertical="center"/>
      <protection locked="0"/>
    </xf>
    <xf numFmtId="181"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0" fontId="28" fillId="2" borderId="44" xfId="0" applyNumberFormat="1" applyFont="1" applyFill="1" applyBorder="1" applyAlignment="1" applyProtection="1">
      <alignment horizontal="center" vertical="center" wrapText="1"/>
    </xf>
    <xf numFmtId="180"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37" xfId="0" applyNumberFormat="1" applyFont="1" applyFill="1" applyBorder="1" applyAlignment="1" applyProtection="1">
      <alignment horizontal="center" vertical="center" wrapText="1"/>
      <protection locked="0"/>
    </xf>
    <xf numFmtId="0" fontId="46" fillId="2" borderId="138" xfId="0" applyNumberFormat="1" applyFont="1" applyFill="1" applyBorder="1" applyAlignment="1" applyProtection="1">
      <alignment horizontal="center" vertical="center" wrapText="1"/>
    </xf>
    <xf numFmtId="0" fontId="46" fillId="2" borderId="139" xfId="0" applyNumberFormat="1" applyFont="1" applyFill="1" applyBorder="1" applyAlignment="1" applyProtection="1">
      <alignment horizontal="center" vertical="center" wrapText="1"/>
    </xf>
    <xf numFmtId="180" fontId="32" fillId="2" borderId="46" xfId="0" applyNumberFormat="1" applyFont="1" applyFill="1" applyBorder="1" applyAlignment="1" applyProtection="1">
      <alignment horizontal="center" vertical="center"/>
    </xf>
    <xf numFmtId="180"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133"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101" fillId="2" borderId="19" xfId="0" applyFont="1" applyFill="1" applyBorder="1" applyAlignment="1" applyProtection="1">
      <alignment horizontal="center" vertical="center"/>
    </xf>
    <xf numFmtId="0" fontId="120"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20" fillId="2" borderId="65" xfId="0" applyFont="1" applyFill="1" applyBorder="1" applyProtection="1">
      <alignment vertical="center"/>
    </xf>
    <xf numFmtId="0" fontId="101" fillId="2" borderId="1" xfId="0" applyFont="1" applyFill="1" applyBorder="1" applyAlignment="1" applyProtection="1">
      <alignment horizontal="center" vertical="center"/>
    </xf>
    <xf numFmtId="0" fontId="101" fillId="2" borderId="10" xfId="0" applyFont="1" applyFill="1" applyBorder="1" applyAlignment="1" applyProtection="1">
      <alignment horizontal="center" vertical="center"/>
    </xf>
    <xf numFmtId="0" fontId="101" fillId="2" borderId="140" xfId="0" applyFont="1" applyFill="1" applyBorder="1" applyAlignment="1" applyProtection="1">
      <alignment horizontal="center" vertical="center"/>
    </xf>
    <xf numFmtId="0" fontId="101"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101"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41"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120"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40"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101" fillId="0" borderId="1" xfId="0" applyFont="1" applyBorder="1" applyAlignment="1" applyProtection="1">
      <alignment horizontal="center" vertical="center"/>
      <protection locked="0"/>
    </xf>
    <xf numFmtId="0" fontId="47" fillId="0" borderId="140" xfId="0" applyFont="1" applyFill="1" applyBorder="1" applyAlignment="1" applyProtection="1">
      <alignment horizontal="center" vertical="center"/>
      <protection locked="0"/>
    </xf>
    <xf numFmtId="0" fontId="101"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120" fillId="2" borderId="17" xfId="0" applyFont="1" applyFill="1" applyBorder="1" applyAlignment="1" applyProtection="1">
      <alignment horizontal="center" vertical="center"/>
    </xf>
    <xf numFmtId="0" fontId="120" fillId="2" borderId="142"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134" fillId="0" borderId="0" xfId="0" applyFont="1" applyFill="1" applyAlignment="1" applyProtection="1">
      <alignment horizontal="left" vertical="center"/>
      <protection locked="0"/>
    </xf>
    <xf numFmtId="180" fontId="48" fillId="0" borderId="0" xfId="0" applyNumberFormat="1" applyFont="1" applyFill="1" applyAlignment="1" applyProtection="1">
      <alignment horizontal="center" vertical="center"/>
      <protection locked="0"/>
    </xf>
    <xf numFmtId="0" fontId="101" fillId="2" borderId="55" xfId="0" applyFont="1" applyFill="1" applyBorder="1" applyAlignment="1" applyProtection="1">
      <alignment horizontal="center" vertical="center"/>
    </xf>
    <xf numFmtId="0" fontId="120" fillId="2" borderId="45" xfId="0" applyFont="1" applyFill="1" applyBorder="1" applyAlignment="1" applyProtection="1">
      <alignment horizontal="center" vertical="center"/>
    </xf>
    <xf numFmtId="0" fontId="120" fillId="2" borderId="89" xfId="0" applyFont="1" applyFill="1" applyBorder="1" applyAlignment="1" applyProtection="1">
      <alignment horizontal="center" vertical="center"/>
    </xf>
    <xf numFmtId="0" fontId="101" fillId="2" borderId="81" xfId="0" applyFont="1" applyFill="1" applyBorder="1" applyAlignment="1" applyProtection="1">
      <alignment horizontal="center" vertical="center"/>
    </xf>
    <xf numFmtId="192" fontId="46" fillId="2" borderId="72" xfId="0" applyNumberFormat="1" applyFont="1" applyFill="1" applyBorder="1" applyAlignment="1" applyProtection="1">
      <alignment horizontal="center" vertical="center"/>
    </xf>
    <xf numFmtId="0" fontId="101" fillId="2" borderId="11" xfId="0" applyFont="1" applyFill="1" applyBorder="1" applyAlignment="1" applyProtection="1">
      <alignment horizontal="center" vertical="center"/>
    </xf>
    <xf numFmtId="190" fontId="46" fillId="2" borderId="14" xfId="0" applyNumberFormat="1" applyFont="1" applyFill="1" applyBorder="1" applyAlignment="1" applyProtection="1">
      <alignment horizontal="center" vertical="center"/>
    </xf>
    <xf numFmtId="190" fontId="46" fillId="0" borderId="14" xfId="0" applyNumberFormat="1" applyFont="1" applyBorder="1" applyAlignment="1" applyProtection="1">
      <alignment horizontal="center" vertical="center"/>
      <protection locked="0"/>
    </xf>
    <xf numFmtId="0" fontId="101" fillId="2" borderId="136"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0" fontId="46"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11" applyFont="1" applyFill="1" applyBorder="1" applyAlignment="1" applyProtection="1">
      <alignment vertical="center"/>
      <protection locked="0"/>
    </xf>
    <xf numFmtId="0" fontId="36" fillId="2" borderId="1" xfId="11" applyFont="1" applyFill="1" applyBorder="1" applyAlignment="1" applyProtection="1">
      <alignment vertical="center"/>
      <protection locked="0"/>
    </xf>
    <xf numFmtId="177" fontId="36" fillId="2" borderId="1" xfId="11" applyNumberFormat="1" applyFont="1" applyFill="1" applyBorder="1" applyAlignment="1" applyProtection="1">
      <alignment horizontal="right" vertical="center"/>
      <protection locked="0"/>
    </xf>
    <xf numFmtId="0" fontId="50" fillId="2" borderId="9" xfId="11" applyFont="1" applyFill="1" applyBorder="1" applyAlignment="1" applyProtection="1">
      <alignment vertical="center"/>
      <protection locked="0"/>
    </xf>
    <xf numFmtId="0" fontId="36" fillId="2" borderId="9" xfId="11"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2"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2"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2" fontId="67" fillId="0" borderId="9" xfId="0" applyNumberFormat="1" applyFont="1" applyFill="1" applyBorder="1" applyAlignment="1" applyProtection="1">
      <alignment horizontal="center" vertical="center"/>
      <protection locked="0"/>
    </xf>
    <xf numFmtId="182"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2"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79"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1"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1" applyNumberFormat="1" applyFont="1" applyFill="1" applyBorder="1" applyAlignment="1" applyProtection="1">
      <alignment horizontal="left" vertical="center"/>
    </xf>
    <xf numFmtId="0" fontId="39" fillId="2" borderId="10" xfId="11" applyFont="1" applyFill="1" applyBorder="1" applyAlignment="1" applyProtection="1">
      <alignment vertical="center"/>
    </xf>
    <xf numFmtId="177" fontId="39" fillId="2" borderId="1" xfId="11" applyNumberFormat="1" applyFont="1" applyFill="1" applyBorder="1" applyAlignment="1" applyProtection="1">
      <alignment horizontal="center" vertical="center"/>
    </xf>
    <xf numFmtId="0" fontId="39" fillId="2" borderId="1" xfId="11" applyFont="1" applyFill="1" applyBorder="1" applyAlignment="1" applyProtection="1">
      <alignment vertical="center"/>
    </xf>
    <xf numFmtId="177" fontId="39" fillId="2" borderId="1" xfId="11"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79" fontId="39" fillId="2" borderId="1" xfId="11" applyNumberFormat="1" applyFont="1" applyFill="1" applyBorder="1" applyAlignment="1" applyProtection="1">
      <alignment horizontal="center" vertical="center"/>
    </xf>
    <xf numFmtId="9" fontId="39"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5" fillId="2" borderId="10" xfId="11" applyFont="1" applyFill="1" applyBorder="1" applyAlignment="1" applyProtection="1">
      <alignment vertical="center"/>
    </xf>
    <xf numFmtId="10" fontId="39" fillId="2" borderId="1" xfId="11"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0" fontId="127" fillId="2" borderId="10" xfId="0" applyFont="1" applyFill="1" applyBorder="1" applyAlignment="1" applyProtection="1">
      <alignment vertical="center"/>
    </xf>
    <xf numFmtId="0" fontId="135" fillId="2" borderId="1" xfId="11" applyFont="1" applyFill="1" applyBorder="1" applyAlignment="1" applyProtection="1">
      <alignment vertical="center"/>
    </xf>
    <xf numFmtId="177"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0" fontId="16" fillId="2" borderId="1" xfId="11"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1" applyFont="1" applyFill="1" applyBorder="1" applyAlignment="1" applyProtection="1">
      <alignment horizontal="left" vertical="center"/>
    </xf>
    <xf numFmtId="192" fontId="39" fillId="2" borderId="1" xfId="0" applyNumberFormat="1" applyFont="1" applyFill="1" applyBorder="1" applyAlignment="1" applyProtection="1">
      <alignment horizontal="right" vertical="center"/>
    </xf>
    <xf numFmtId="49" fontId="128"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99"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77"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2"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2" fontId="16" fillId="0" borderId="14" xfId="0" applyNumberFormat="1" applyFont="1" applyFill="1" applyBorder="1" applyAlignment="1" applyProtection="1">
      <alignment horizontal="center" vertical="center"/>
      <protection locked="0"/>
    </xf>
    <xf numFmtId="182"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3"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77"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2" fillId="2" borderId="1" xfId="0" applyNumberFormat="1" applyFont="1" applyFill="1" applyBorder="1" applyAlignment="1" applyProtection="1">
      <alignment horizontal="center" vertical="center"/>
    </xf>
    <xf numFmtId="0" fontId="122"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2"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120" fillId="2" borderId="3" xfId="1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protection locked="0"/>
    </xf>
    <xf numFmtId="181" fontId="32" fillId="6" borderId="0" xfId="0" applyNumberFormat="1"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xf>
    <xf numFmtId="181"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7" fillId="2" borderId="0" xfId="0" applyFont="1" applyFill="1" applyProtection="1">
      <alignment vertical="center"/>
    </xf>
    <xf numFmtId="0" fontId="24"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79"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1" fontId="140"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136"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6" fillId="2" borderId="139"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9"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6"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6"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6"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6"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9" fillId="2" borderId="45" xfId="0" applyFont="1" applyFill="1" applyBorder="1" applyAlignment="1" applyProtection="1">
      <alignment horizontal="center" vertical="center" wrapText="1"/>
    </xf>
    <xf numFmtId="0" fontId="82" fillId="2" borderId="0" xfId="0" applyFont="1" applyFill="1" applyBorder="1" applyAlignment="1" applyProtection="1">
      <alignment horizontal="center" vertical="center"/>
      <protection locked="0"/>
    </xf>
    <xf numFmtId="0" fontId="149"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49" fillId="2" borderId="101"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0" fillId="2" borderId="69" xfId="0" applyFont="1" applyFill="1" applyBorder="1" applyAlignment="1" applyProtection="1">
      <alignment horizontal="justify" vertical="center" wrapText="1"/>
    </xf>
    <xf numFmtId="0" fontId="80" fillId="3" borderId="41" xfId="0" applyFont="1" applyFill="1" applyBorder="1" applyAlignment="1" applyProtection="1">
      <alignment horizontal="center" vertical="center" wrapText="1"/>
    </xf>
    <xf numFmtId="0" fontId="80" fillId="2" borderId="41" xfId="0" applyFont="1" applyFill="1" applyBorder="1" applyAlignment="1" applyProtection="1">
      <alignment horizontal="center" vertical="center" wrapText="1"/>
    </xf>
    <xf numFmtId="0" fontId="80" fillId="3" borderId="5" xfId="0" applyFont="1" applyFill="1" applyBorder="1" applyAlignment="1" applyProtection="1">
      <alignment horizontal="justify" vertical="center" wrapText="1"/>
    </xf>
    <xf numFmtId="0" fontId="80"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79" fontId="86"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79" fontId="86"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6"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2"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8"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2"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2" fillId="0" borderId="15" xfId="0" applyFont="1" applyFill="1" applyBorder="1" applyAlignment="1" applyProtection="1">
      <alignment vertical="center" wrapText="1"/>
      <protection locked="0"/>
    </xf>
    <xf numFmtId="0" fontId="68"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2"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2" applyFont="1" applyFill="1" applyBorder="1" applyAlignment="1" applyProtection="1">
      <alignment horizontal="left" vertical="center" wrapText="1"/>
    </xf>
    <xf numFmtId="0" fontId="28"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2" applyFont="1" applyFill="1" applyBorder="1" applyAlignment="1" applyProtection="1">
      <alignment horizontal="left" vertical="center" wrapText="1"/>
    </xf>
    <xf numFmtId="0" fontId="28" fillId="5" borderId="1" xfId="12"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9"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1"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2"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9"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6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2"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193"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97" fillId="2" borderId="10"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97" fillId="2" borderId="11" xfId="0" applyFont="1" applyFill="1" applyBorder="1" applyAlignment="1" applyProtection="1">
      <alignment horizontal="center" vertical="center" wrapText="1"/>
    </xf>
    <xf numFmtId="0" fontId="97"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8" fillId="8" borderId="0" xfId="0" applyFont="1" applyFill="1" applyProtection="1">
      <alignment vertical="center"/>
    </xf>
    <xf numFmtId="0" fontId="98"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56" fillId="2" borderId="96" xfId="0" applyFont="1" applyFill="1" applyBorder="1" applyAlignment="1" applyProtection="1">
      <alignment vertical="center" wrapText="1"/>
    </xf>
    <xf numFmtId="0" fontId="156" fillId="2" borderId="97" xfId="0" applyFont="1" applyFill="1" applyBorder="1" applyAlignment="1" applyProtection="1">
      <alignment horizontal="center" vertical="center" wrapText="1"/>
    </xf>
    <xf numFmtId="0" fontId="156" fillId="2" borderId="93" xfId="0" applyFont="1" applyFill="1" applyBorder="1" applyAlignment="1" applyProtection="1">
      <alignment vertical="center" wrapText="1"/>
    </xf>
    <xf numFmtId="0" fontId="100"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2" applyFont="1" applyFill="1" applyAlignment="1" applyProtection="1">
      <alignment vertical="center" wrapText="1"/>
    </xf>
    <xf numFmtId="0" fontId="47" fillId="2" borderId="0" xfId="12" applyFont="1" applyFill="1" applyAlignment="1" applyProtection="1">
      <alignment vertical="center" wrapText="1"/>
      <protection locked="0"/>
    </xf>
    <xf numFmtId="0" fontId="158" fillId="2" borderId="1" xfId="0" applyFont="1" applyFill="1" applyBorder="1" applyAlignment="1">
      <alignment vertical="center" wrapText="1"/>
    </xf>
    <xf numFmtId="181" fontId="16" fillId="2" borderId="0" xfId="0" applyNumberFormat="1" applyFont="1" applyFill="1" applyAlignment="1" applyProtection="1">
      <alignment horizontal="left" vertical="center"/>
    </xf>
    <xf numFmtId="0" fontId="47" fillId="2" borderId="0" xfId="12" applyFont="1" applyFill="1" applyProtection="1"/>
    <xf numFmtId="0" fontId="47" fillId="2" borderId="0" xfId="12" applyFont="1" applyFill="1" applyProtection="1">
      <protection locked="0"/>
    </xf>
    <xf numFmtId="0" fontId="126" fillId="6" borderId="0" xfId="0" applyFont="1" applyFill="1" applyProtection="1">
      <alignment vertical="center"/>
    </xf>
    <xf numFmtId="0" fontId="103" fillId="2" borderId="0" xfId="0" applyFont="1" applyFill="1" applyProtection="1">
      <alignment vertical="center"/>
    </xf>
    <xf numFmtId="0" fontId="81" fillId="0" borderId="6" xfId="0" applyFont="1" applyFill="1" applyBorder="1" applyProtection="1">
      <alignment vertical="center"/>
      <protection locked="0"/>
    </xf>
    <xf numFmtId="0" fontId="139"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1"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9" fillId="2" borderId="1" xfId="5" applyFont="1" applyFill="1" applyBorder="1" applyAlignment="1" applyProtection="1">
      <alignment horizontal="left" vertical="center" wrapText="1"/>
    </xf>
    <xf numFmtId="0" fontId="159" fillId="9" borderId="0" xfId="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9" fillId="2" borderId="1" xfId="5" applyNumberFormat="1" applyFont="1" applyFill="1" applyBorder="1" applyAlignment="1" applyProtection="1">
      <alignment horizontal="left" vertical="center" wrapText="1"/>
    </xf>
    <xf numFmtId="0" fontId="159" fillId="0" borderId="1" xfId="5" applyFont="1" applyFill="1" applyBorder="1" applyAlignment="1" applyProtection="1">
      <alignment horizontal="left" vertical="center" wrapText="1"/>
      <protection locked="0"/>
    </xf>
    <xf numFmtId="0" fontId="160" fillId="2" borderId="1" xfId="5" applyFill="1" applyBorder="1" applyAlignment="1" applyProtection="1">
      <alignment horizontal="left" vertical="center"/>
    </xf>
    <xf numFmtId="0" fontId="159" fillId="2" borderId="9" xfId="5" applyFont="1" applyFill="1" applyBorder="1" applyAlignment="1" applyProtection="1">
      <alignment horizontal="left" vertical="center" wrapText="1"/>
    </xf>
    <xf numFmtId="0" fontId="89" fillId="0" borderId="1" xfId="5" applyFont="1" applyFill="1" applyBorder="1" applyAlignment="1" applyProtection="1">
      <alignment horizontal="left" vertical="center"/>
      <protection locked="0"/>
    </xf>
    <xf numFmtId="0" fontId="159" fillId="0" borderId="9" xfId="5" applyFont="1" applyFill="1" applyBorder="1" applyAlignment="1" applyProtection="1">
      <alignment horizontal="left" vertical="center" wrapText="1"/>
      <protection locked="0"/>
    </xf>
    <xf numFmtId="0" fontId="160" fillId="0" borderId="1" xfId="5" applyBorder="1" applyAlignment="1" applyProtection="1">
      <alignment horizontal="left" vertical="center"/>
      <protection locked="0"/>
    </xf>
    <xf numFmtId="0" fontId="159" fillId="0" borderId="1" xfId="5"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3" fillId="0" borderId="145" xfId="0" applyFont="1" applyBorder="1" applyAlignment="1" applyProtection="1">
      <alignment horizontal="left" vertical="center" wrapText="1"/>
      <protection locked="0"/>
    </xf>
    <xf numFmtId="0" fontId="127" fillId="2" borderId="98" xfId="0" applyFont="1" applyFill="1" applyBorder="1" applyAlignment="1" applyProtection="1">
      <alignment horizontal="left" vertical="center" wrapText="1"/>
    </xf>
    <xf numFmtId="0" fontId="127" fillId="2" borderId="63" xfId="0" applyFont="1" applyFill="1" applyBorder="1" applyAlignment="1" applyProtection="1">
      <alignment horizontal="left" vertical="center" wrapText="1"/>
    </xf>
    <xf numFmtId="0" fontId="127" fillId="2" borderId="100" xfId="0" applyFont="1" applyFill="1" applyBorder="1" applyAlignment="1" applyProtection="1">
      <alignment horizontal="left" vertical="center"/>
    </xf>
    <xf numFmtId="0" fontId="127"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127"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42" fillId="2" borderId="0" xfId="0" applyNumberFormat="1" applyFont="1" applyFill="1" applyBorder="1" applyAlignment="1" applyProtection="1">
      <alignment horizontal="left" vertical="center" wrapText="1"/>
      <protection locked="0"/>
    </xf>
    <xf numFmtId="0" fontId="127"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36"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27"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protection locked="0"/>
    </xf>
    <xf numFmtId="0" fontId="127"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3" fillId="0" borderId="0" xfId="0" applyFont="1" applyBorder="1" applyAlignment="1" applyProtection="1">
      <alignment horizontal="left" vertical="center" wrapText="1"/>
      <protection locked="0"/>
    </xf>
    <xf numFmtId="0" fontId="162" fillId="2" borderId="146" xfId="0" applyFont="1" applyFill="1" applyBorder="1" applyAlignment="1" applyProtection="1">
      <alignment horizontal="left" vertical="center"/>
    </xf>
    <xf numFmtId="0" fontId="127" fillId="2" borderId="19" xfId="0" applyFont="1" applyFill="1" applyBorder="1" applyAlignment="1" applyProtection="1">
      <alignment horizontal="left" vertical="center" wrapText="1"/>
    </xf>
    <xf numFmtId="0" fontId="127" fillId="2" borderId="45" xfId="0" applyFont="1" applyFill="1" applyBorder="1" applyAlignment="1" applyProtection="1">
      <alignment horizontal="left" vertical="center" wrapText="1"/>
    </xf>
    <xf numFmtId="0" fontId="127" fillId="2" borderId="101" xfId="0" applyFont="1" applyFill="1" applyBorder="1" applyAlignment="1" applyProtection="1">
      <alignment horizontal="left" vertical="center" wrapText="1"/>
    </xf>
    <xf numFmtId="0" fontId="127"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27"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27" fillId="2" borderId="13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27" fillId="2" borderId="139"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27"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27"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3" fillId="0" borderId="145" xfId="0" applyNumberFormat="1" applyFont="1" applyFill="1" applyBorder="1" applyAlignment="1" applyProtection="1">
      <alignment horizontal="left" vertical="center" wrapText="1"/>
      <protection locked="0"/>
    </xf>
    <xf numFmtId="0" fontId="163"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4"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7"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9" fontId="16" fillId="0" borderId="0" xfId="0" applyNumberFormat="1" applyFont="1" applyAlignment="1" applyProtection="1">
      <alignment vertical="center"/>
    </xf>
    <xf numFmtId="0" fontId="143" fillId="2" borderId="0" xfId="0" applyFont="1" applyFill="1" applyAlignment="1" applyProtection="1">
      <alignment vertical="center" wrapText="1"/>
    </xf>
    <xf numFmtId="0" fontId="16" fillId="2" borderId="0" xfId="0" applyFont="1" applyFill="1" applyAlignment="1" applyProtection="1">
      <alignment vertical="center"/>
    </xf>
    <xf numFmtId="179"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79"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79" fontId="28" fillId="2" borderId="99" xfId="0" applyNumberFormat="1" applyFont="1" applyFill="1" applyBorder="1" applyAlignment="1" applyProtection="1">
      <alignment vertical="center"/>
    </xf>
    <xf numFmtId="0" fontId="136" fillId="2" borderId="99" xfId="0" applyFont="1" applyFill="1" applyBorder="1" applyAlignment="1" applyProtection="1">
      <alignment vertical="center"/>
    </xf>
    <xf numFmtId="0" fontId="94" fillId="2" borderId="4" xfId="11" applyFont="1" applyFill="1" applyBorder="1" applyAlignment="1" applyProtection="1">
      <alignment vertical="center" wrapText="1"/>
    </xf>
    <xf numFmtId="0" fontId="28" fillId="2" borderId="5" xfId="11" applyFont="1" applyFill="1" applyBorder="1" applyAlignment="1" applyProtection="1">
      <alignment vertical="center" wrapText="1"/>
    </xf>
    <xf numFmtId="0" fontId="28" fillId="2" borderId="39" xfId="11" applyFont="1" applyFill="1" applyBorder="1" applyAlignment="1" applyProtection="1">
      <alignment vertical="center" wrapText="1"/>
    </xf>
    <xf numFmtId="191" fontId="32" fillId="2" borderId="4" xfId="11"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79" fontId="28" fillId="2" borderId="5" xfId="0" applyNumberFormat="1" applyFont="1" applyFill="1" applyBorder="1" applyAlignment="1" applyProtection="1">
      <alignment horizontal="center" vertical="center" wrapText="1"/>
    </xf>
    <xf numFmtId="177" fontId="136" fillId="2" borderId="6" xfId="11" applyNumberFormat="1" applyFont="1" applyFill="1" applyBorder="1" applyAlignment="1" applyProtection="1">
      <alignment horizontal="left" vertical="center"/>
    </xf>
    <xf numFmtId="177" fontId="42" fillId="2" borderId="1" xfId="11" applyNumberFormat="1" applyFont="1" applyFill="1" applyBorder="1" applyAlignment="1" applyProtection="1">
      <alignment vertical="center"/>
    </xf>
    <xf numFmtId="177" fontId="28" fillId="5" borderId="10" xfId="11" applyNumberFormat="1" applyFont="1" applyFill="1" applyBorder="1" applyAlignment="1" applyProtection="1">
      <alignment vertical="center"/>
      <protection locked="0"/>
    </xf>
    <xf numFmtId="177" fontId="28" fillId="2" borderId="6" xfId="11" applyNumberFormat="1" applyFont="1" applyFill="1" applyBorder="1" applyAlignment="1" applyProtection="1">
      <alignment horizontal="center" vertical="center"/>
    </xf>
    <xf numFmtId="183" fontId="28" fillId="2" borderId="1" xfId="0" applyNumberFormat="1" applyFont="1" applyFill="1" applyBorder="1" applyAlignment="1" applyProtection="1">
      <alignment horizontal="center" vertical="center"/>
    </xf>
    <xf numFmtId="179" fontId="32" fillId="2" borderId="1" xfId="11" applyNumberFormat="1" applyFont="1" applyFill="1" applyBorder="1" applyAlignment="1" applyProtection="1">
      <alignment horizontal="center" vertical="center"/>
    </xf>
    <xf numFmtId="191" fontId="32" fillId="2" borderId="1" xfId="11" applyNumberFormat="1" applyFont="1" applyFill="1" applyBorder="1" applyAlignment="1" applyProtection="1">
      <alignment horizontal="center" vertical="center"/>
    </xf>
    <xf numFmtId="181" fontId="67" fillId="0" borderId="1" xfId="0" applyNumberFormat="1" applyFont="1" applyFill="1" applyBorder="1" applyAlignment="1" applyProtection="1">
      <alignment horizontal="center" vertical="center"/>
      <protection locked="0"/>
    </xf>
    <xf numFmtId="181" fontId="28" fillId="0" borderId="1" xfId="0" applyNumberFormat="1" applyFont="1" applyFill="1" applyBorder="1" applyAlignment="1" applyProtection="1">
      <alignment horizontal="center" vertical="center"/>
      <protection locked="0"/>
    </xf>
    <xf numFmtId="177" fontId="28" fillId="2" borderId="6" xfId="11" applyNumberFormat="1" applyFont="1" applyFill="1" applyBorder="1" applyAlignment="1" applyProtection="1">
      <alignment horizontal="left" vertical="center" wrapText="1"/>
    </xf>
    <xf numFmtId="177" fontId="28" fillId="2" borderId="1" xfId="11" applyNumberFormat="1" applyFont="1" applyFill="1" applyBorder="1" applyAlignment="1" applyProtection="1">
      <alignment vertical="center"/>
    </xf>
    <xf numFmtId="177" fontId="28" fillId="2" borderId="10" xfId="11" applyNumberFormat="1" applyFont="1" applyFill="1" applyBorder="1" applyAlignment="1" applyProtection="1">
      <alignment vertical="center"/>
    </xf>
    <xf numFmtId="181" fontId="30" fillId="2" borderId="1" xfId="0" applyNumberFormat="1" applyFont="1" applyFill="1" applyBorder="1" applyAlignment="1" applyProtection="1">
      <alignment horizontal="center" vertical="center"/>
    </xf>
    <xf numFmtId="177" fontId="136" fillId="2" borderId="6" xfId="11" applyNumberFormat="1" applyFont="1" applyFill="1" applyBorder="1" applyAlignment="1" applyProtection="1">
      <alignment horizontal="left" vertical="center" wrapText="1"/>
    </xf>
    <xf numFmtId="0" fontId="39" fillId="2" borderId="7" xfId="11" applyFont="1" applyFill="1" applyBorder="1" applyAlignment="1" applyProtection="1">
      <alignment vertical="center" wrapText="1"/>
    </xf>
    <xf numFmtId="0" fontId="39" fillId="2" borderId="8" xfId="11" applyFont="1" applyFill="1" applyBorder="1" applyAlignment="1" applyProtection="1">
      <alignment vertical="center"/>
    </xf>
    <xf numFmtId="0" fontId="39" fillId="2" borderId="42" xfId="11" applyFont="1" applyFill="1" applyBorder="1" applyAlignment="1" applyProtection="1">
      <alignment vertical="center"/>
    </xf>
    <xf numFmtId="0" fontId="39" fillId="2" borderId="7" xfId="11" applyFont="1" applyFill="1" applyBorder="1" applyAlignment="1" applyProtection="1">
      <alignment vertical="center"/>
    </xf>
    <xf numFmtId="0" fontId="39" fillId="2" borderId="8" xfId="11" applyFont="1" applyFill="1" applyBorder="1" applyAlignment="1" applyProtection="1">
      <alignment horizontal="center" vertical="center"/>
    </xf>
    <xf numFmtId="181" fontId="39"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79"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79" fontId="28" fillId="9" borderId="0" xfId="0" applyNumberFormat="1" applyFont="1" applyFill="1" applyAlignment="1" applyProtection="1">
      <alignment vertical="center"/>
      <protection locked="0"/>
    </xf>
    <xf numFmtId="176" fontId="32" fillId="2" borderId="4" xfId="11" applyNumberFormat="1" applyFont="1" applyFill="1" applyBorder="1" applyAlignment="1" applyProtection="1">
      <alignment vertical="center" wrapText="1"/>
    </xf>
    <xf numFmtId="176" fontId="32" fillId="0" borderId="13" xfId="11" applyNumberFormat="1" applyFont="1" applyFill="1" applyBorder="1" applyAlignment="1" applyProtection="1">
      <alignment horizontal="center" vertical="center"/>
      <protection locked="0"/>
    </xf>
    <xf numFmtId="0" fontId="126" fillId="9" borderId="0" xfId="0" applyFont="1" applyFill="1" applyAlignment="1" applyProtection="1">
      <alignment vertical="center"/>
    </xf>
    <xf numFmtId="176" fontId="32" fillId="2" borderId="6" xfId="11" applyNumberFormat="1" applyFont="1" applyFill="1" applyBorder="1" applyAlignment="1" applyProtection="1">
      <alignment vertical="center" wrapText="1"/>
    </xf>
    <xf numFmtId="176" fontId="28" fillId="0" borderId="14" xfId="11" applyNumberFormat="1" applyFont="1" applyFill="1" applyBorder="1" applyAlignment="1" applyProtection="1">
      <alignment horizontal="center" vertical="center"/>
      <protection locked="0"/>
    </xf>
    <xf numFmtId="176" fontId="28" fillId="2" borderId="6" xfId="11" applyNumberFormat="1" applyFont="1" applyFill="1" applyBorder="1" applyAlignment="1" applyProtection="1">
      <alignment vertical="center" wrapText="1"/>
    </xf>
    <xf numFmtId="176" fontId="32" fillId="2" borderId="14" xfId="11" applyNumberFormat="1" applyFont="1" applyFill="1" applyBorder="1" applyAlignment="1" applyProtection="1">
      <alignment horizontal="center" vertical="center"/>
    </xf>
    <xf numFmtId="176" fontId="32" fillId="2" borderId="7" xfId="11" applyNumberFormat="1" applyFont="1" applyFill="1" applyBorder="1" applyAlignment="1" applyProtection="1">
      <alignment vertical="center" wrapText="1"/>
    </xf>
    <xf numFmtId="176" fontId="32" fillId="2" borderId="15" xfId="11"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134" fillId="9" borderId="0" xfId="0" applyFont="1" applyFill="1" applyAlignment="1" applyProtection="1">
      <alignment horizontal="left" vertical="center"/>
    </xf>
    <xf numFmtId="179"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26"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2" fillId="2" borderId="14" xfId="11"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181" fontId="16" fillId="0" borderId="13" xfId="0" applyNumberFormat="1" applyFont="1" applyFill="1" applyBorder="1" applyAlignment="1" applyProtection="1">
      <alignment horizontal="center" vertical="center"/>
      <protection locked="0"/>
    </xf>
    <xf numFmtId="0" fontId="82" fillId="9" borderId="0" xfId="0" applyFont="1" applyFill="1" applyAlignment="1" applyProtection="1">
      <alignment vertical="center"/>
    </xf>
    <xf numFmtId="181" fontId="16" fillId="0" borderId="14" xfId="0" applyNumberFormat="1" applyFont="1" applyFill="1" applyBorder="1" applyAlignment="1" applyProtection="1">
      <alignment horizontal="center" vertical="center"/>
      <protection locked="0"/>
    </xf>
    <xf numFmtId="179" fontId="139" fillId="9" borderId="0" xfId="0" applyNumberFormat="1" applyFont="1" applyFill="1" applyAlignment="1" applyProtection="1">
      <alignment vertical="center"/>
    </xf>
    <xf numFmtId="181" fontId="16" fillId="0" borderId="15" xfId="0" applyNumberFormat="1" applyFont="1" applyFill="1" applyBorder="1" applyAlignment="1" applyProtection="1">
      <alignment horizontal="center" vertical="center"/>
      <protection locked="0"/>
    </xf>
    <xf numFmtId="181" fontId="16" fillId="0" borderId="72" xfId="0" applyNumberFormat="1" applyFont="1" applyFill="1" applyBorder="1" applyAlignment="1" applyProtection="1">
      <alignment horizontal="center" vertical="center"/>
      <protection locked="0"/>
    </xf>
    <xf numFmtId="0" fontId="94"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1" fontId="47" fillId="9" borderId="0" xfId="0" applyNumberFormat="1" applyFont="1" applyFill="1" applyAlignment="1" applyProtection="1">
      <alignment horizontal="center" vertical="center"/>
    </xf>
    <xf numFmtId="186"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0"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94" fillId="9" borderId="0" xfId="0" applyFont="1" applyFill="1" applyAlignment="1" applyProtection="1">
      <alignment horizontal="center" vertical="center"/>
      <protection locked="0"/>
    </xf>
    <xf numFmtId="0" fontId="164" fillId="9" borderId="0" xfId="0" applyFont="1" applyFill="1" applyAlignment="1" applyProtection="1">
      <alignment vertical="center"/>
    </xf>
    <xf numFmtId="0" fontId="94"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79" fontId="94" fillId="9" borderId="0" xfId="0" applyNumberFormat="1" applyFont="1" applyFill="1" applyAlignment="1" applyProtection="1">
      <alignment vertical="center"/>
      <protection locked="0"/>
    </xf>
    <xf numFmtId="0" fontId="94"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79"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7" fontId="28" fillId="2" borderId="4" xfId="11" applyNumberFormat="1" applyFont="1" applyFill="1" applyBorder="1" applyAlignment="1" applyProtection="1">
      <alignment horizontal="center" vertical="center" wrapText="1"/>
    </xf>
    <xf numFmtId="0" fontId="28" fillId="2" borderId="5" xfId="11" applyFont="1" applyFill="1" applyBorder="1" applyAlignment="1" applyProtection="1">
      <alignment horizontal="center" vertical="center" wrapText="1"/>
    </xf>
    <xf numFmtId="179" fontId="28" fillId="2" borderId="5" xfId="11" applyNumberFormat="1" applyFont="1" applyFill="1" applyBorder="1" applyAlignment="1" applyProtection="1">
      <alignment horizontal="center" vertical="center" wrapText="1"/>
    </xf>
    <xf numFmtId="0" fontId="28" fillId="3" borderId="5" xfId="11" applyFont="1" applyFill="1" applyBorder="1" applyAlignment="1" applyProtection="1">
      <alignment horizontal="center" vertical="center" wrapText="1"/>
      <protection locked="0"/>
    </xf>
    <xf numFmtId="0" fontId="28" fillId="2" borderId="39" xfId="11" applyFont="1" applyFill="1" applyBorder="1" applyAlignment="1" applyProtection="1">
      <alignment horizontal="center" vertical="center" wrapText="1"/>
    </xf>
    <xf numFmtId="179" fontId="28" fillId="2" borderId="6" xfId="11" applyNumberFormat="1" applyFont="1" applyFill="1" applyBorder="1" applyAlignment="1" applyProtection="1">
      <alignment horizontal="center" vertical="center"/>
    </xf>
    <xf numFmtId="177" fontId="16" fillId="0" borderId="1" xfId="11" applyNumberFormat="1" applyFont="1" applyFill="1" applyBorder="1" applyAlignment="1" applyProtection="1">
      <alignment horizontal="center" vertical="center"/>
      <protection locked="0"/>
    </xf>
    <xf numFmtId="0" fontId="28"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7" fontId="28" fillId="0" borderId="1" xfId="11" applyNumberFormat="1" applyFont="1" applyFill="1" applyBorder="1" applyAlignment="1" applyProtection="1">
      <alignment horizontal="center" vertical="center"/>
      <protection locked="0"/>
    </xf>
    <xf numFmtId="10" fontId="28" fillId="0" borderId="1" xfId="11" applyNumberFormat="1" applyFont="1" applyFill="1" applyBorder="1" applyAlignment="1" applyProtection="1">
      <alignment horizontal="center" vertical="center"/>
      <protection locked="0"/>
    </xf>
    <xf numFmtId="177" fontId="28" fillId="2" borderId="1" xfId="11" applyNumberFormat="1" applyFont="1" applyFill="1" applyBorder="1" applyAlignment="1" applyProtection="1">
      <alignment horizontal="center" vertical="center"/>
    </xf>
    <xf numFmtId="10" fontId="28" fillId="2" borderId="1" xfId="11" applyNumberFormat="1" applyFont="1" applyFill="1" applyBorder="1" applyAlignment="1" applyProtection="1">
      <alignment horizontal="center" vertical="center"/>
    </xf>
    <xf numFmtId="0" fontId="39" fillId="2" borderId="15" xfId="11" applyFont="1" applyFill="1" applyBorder="1" applyAlignment="1" applyProtection="1">
      <alignment vertical="center"/>
    </xf>
    <xf numFmtId="176" fontId="28" fillId="2" borderId="7" xfId="0" applyNumberFormat="1" applyFont="1" applyFill="1" applyBorder="1" applyAlignment="1" applyProtection="1">
      <alignment horizontal="center" vertical="center"/>
    </xf>
    <xf numFmtId="0" fontId="28" fillId="2" borderId="8" xfId="11" applyNumberFormat="1" applyFont="1" applyFill="1" applyBorder="1" applyAlignment="1" applyProtection="1">
      <alignment horizontal="center" vertical="center"/>
    </xf>
    <xf numFmtId="10" fontId="28" fillId="2" borderId="8" xfId="11"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11" applyFont="1" applyFill="1" applyBorder="1" applyAlignment="1" applyProtection="1">
      <alignment horizontal="center" vertical="center" wrapText="1"/>
    </xf>
    <xf numFmtId="0" fontId="94" fillId="2" borderId="55" xfId="11" applyFont="1" applyFill="1" applyBorder="1" applyAlignment="1" applyProtection="1">
      <alignment horizontal="center" vertical="center" wrapText="1"/>
    </xf>
    <xf numFmtId="0" fontId="28" fillId="2" borderId="70" xfId="1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94"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9" fontId="28" fillId="2" borderId="1"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1" fontId="28" fillId="0" borderId="1" xfId="0" applyNumberFormat="1" applyFont="1" applyBorder="1" applyAlignment="1" applyProtection="1">
      <alignment vertical="center"/>
      <protection locked="0"/>
    </xf>
    <xf numFmtId="181"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1"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1"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79" fontId="28" fillId="2" borderId="7" xfId="11" applyNumberFormat="1" applyFont="1" applyFill="1" applyBorder="1" applyAlignment="1" applyProtection="1">
      <alignment horizontal="center" vertical="center"/>
    </xf>
    <xf numFmtId="179" fontId="28" fillId="2" borderId="136" xfId="11" applyNumberFormat="1" applyFont="1" applyFill="1" applyBorder="1" applyAlignment="1" applyProtection="1">
      <alignment horizontal="center" vertical="center"/>
    </xf>
    <xf numFmtId="0" fontId="28" fillId="2" borderId="53" xfId="11"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94" fillId="2" borderId="5" xfId="0" applyFont="1" applyFill="1" applyBorder="1" applyAlignment="1" applyProtection="1">
      <alignment horizontal="center" vertical="center" wrapText="1"/>
    </xf>
    <xf numFmtId="0" fontId="94" fillId="2" borderId="4" xfId="0" applyFont="1" applyFill="1" applyBorder="1" applyAlignment="1" applyProtection="1">
      <alignment horizontal="center" vertical="center" wrapText="1"/>
    </xf>
    <xf numFmtId="181"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1"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1"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1"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36" xfId="0" applyFont="1" applyFill="1" applyBorder="1" applyAlignment="1" applyProtection="1">
      <alignment vertical="center"/>
    </xf>
    <xf numFmtId="0" fontId="28" fillId="2" borderId="45" xfId="0" applyFont="1" applyFill="1" applyBorder="1" applyAlignment="1" applyProtection="1">
      <alignment vertical="center"/>
    </xf>
    <xf numFmtId="0" fontId="94"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6" fontId="28" fillId="0" borderId="1" xfId="0" applyNumberFormat="1" applyFont="1" applyBorder="1" applyAlignment="1" applyProtection="1">
      <alignment horizontal="center" vertical="center"/>
      <protection locked="0"/>
    </xf>
    <xf numFmtId="181"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1"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6" fontId="28" fillId="0" borderId="1" xfId="0" applyNumberFormat="1" applyFont="1" applyFill="1" applyBorder="1" applyAlignment="1" applyProtection="1">
      <alignment horizontal="center" vertical="center"/>
      <protection locked="0"/>
    </xf>
    <xf numFmtId="181"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6" fontId="28" fillId="2" borderId="1" xfId="0" applyNumberFormat="1" applyFont="1" applyFill="1" applyBorder="1" applyAlignment="1" applyProtection="1">
      <alignment horizontal="center" vertical="center"/>
    </xf>
    <xf numFmtId="181"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6"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76" fontId="37" fillId="2" borderId="1" xfId="11"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76" fontId="37" fillId="2" borderId="13" xfId="11"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7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76" fontId="39" fillId="2" borderId="13" xfId="11" applyNumberFormat="1" applyFont="1" applyFill="1" applyBorder="1" applyAlignment="1" applyProtection="1">
      <alignment horizontal="center" vertical="center"/>
    </xf>
    <xf numFmtId="0" fontId="94" fillId="2" borderId="10" xfId="0" applyFont="1" applyFill="1" applyBorder="1" applyProtection="1">
      <alignment vertical="center"/>
    </xf>
    <xf numFmtId="0" fontId="94"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76" fontId="37" fillId="2" borderId="39" xfId="11" applyNumberFormat="1" applyFont="1" applyFill="1" applyBorder="1" applyAlignment="1" applyProtection="1">
      <alignment horizontal="center" vertical="center"/>
    </xf>
    <xf numFmtId="176" fontId="37" fillId="2" borderId="78" xfId="11" applyNumberFormat="1" applyFont="1" applyFill="1" applyBorder="1" applyAlignment="1" applyProtection="1">
      <alignment horizontal="center" vertical="center"/>
    </xf>
    <xf numFmtId="176" fontId="37" fillId="2" borderId="44" xfId="11"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76" fontId="32" fillId="2" borderId="1" xfId="11"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7" fontId="24" fillId="0" borderId="1" xfId="11" applyNumberFormat="1" applyFont="1" applyFill="1" applyBorder="1" applyAlignment="1" applyProtection="1">
      <alignment vertical="center"/>
      <protection locked="0" hidden="1"/>
    </xf>
    <xf numFmtId="17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7" fontId="136" fillId="0" borderId="1" xfId="11"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7" fontId="28" fillId="0" borderId="1" xfId="11" applyNumberFormat="1" applyFont="1" applyFill="1" applyBorder="1" applyAlignment="1" applyProtection="1">
      <alignment vertical="center"/>
      <protection locked="0"/>
    </xf>
    <xf numFmtId="177" fontId="28" fillId="0" borderId="11" xfId="11" applyNumberFormat="1" applyFont="1" applyFill="1" applyBorder="1" applyAlignment="1" applyProtection="1">
      <alignment vertical="center"/>
      <protection locked="0"/>
    </xf>
    <xf numFmtId="176" fontId="28" fillId="2" borderId="1" xfId="0" applyNumberFormat="1" applyFont="1" applyFill="1" applyBorder="1" applyAlignment="1" applyProtection="1">
      <alignment horizontal="center" vertical="center"/>
    </xf>
    <xf numFmtId="176"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28" fillId="2" borderId="136" xfId="0" applyFont="1" applyFill="1" applyBorder="1" applyAlignment="1" applyProtection="1">
      <alignment vertical="center"/>
    </xf>
    <xf numFmtId="179" fontId="39" fillId="2" borderId="136" xfId="0" applyNumberFormat="1" applyFont="1" applyFill="1" applyBorder="1" applyAlignment="1" applyProtection="1">
      <alignment vertical="center"/>
    </xf>
    <xf numFmtId="179" fontId="39" fillId="2" borderId="8" xfId="0" applyNumberFormat="1" applyFont="1" applyFill="1" applyBorder="1" applyAlignment="1" applyProtection="1">
      <alignment vertical="center"/>
    </xf>
    <xf numFmtId="179" fontId="39" fillId="2" borderId="15" xfId="0" applyNumberFormat="1" applyFont="1" applyFill="1" applyBorder="1" applyAlignment="1" applyProtection="1">
      <alignment vertical="center"/>
    </xf>
    <xf numFmtId="0" fontId="136" fillId="2" borderId="3" xfId="0" applyFont="1" applyFill="1" applyBorder="1" applyProtection="1">
      <alignment vertical="center"/>
    </xf>
    <xf numFmtId="0" fontId="28" fillId="2" borderId="81" xfId="0" applyFont="1" applyFill="1" applyBorder="1" applyProtection="1">
      <alignment vertical="center"/>
      <protection locked="0"/>
    </xf>
    <xf numFmtId="17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79" fontId="39" fillId="5" borderId="14" xfId="0" applyNumberFormat="1" applyFont="1" applyFill="1" applyBorder="1" applyAlignment="1" applyProtection="1">
      <alignment horizontal="center" vertical="center"/>
      <protection locked="0"/>
    </xf>
    <xf numFmtId="179" fontId="28" fillId="2" borderId="14" xfId="0" applyNumberFormat="1" applyFont="1" applyFill="1" applyBorder="1" applyAlignment="1" applyProtection="1">
      <alignment horizontal="center" vertical="center"/>
    </xf>
    <xf numFmtId="0" fontId="94" fillId="2" borderId="6" xfId="0" applyFont="1" applyFill="1" applyBorder="1" applyAlignment="1" applyProtection="1">
      <alignment horizontal="center" vertical="center"/>
    </xf>
    <xf numFmtId="0" fontId="94" fillId="2" borderId="1" xfId="0" applyFont="1" applyFill="1" applyBorder="1" applyAlignment="1" applyProtection="1">
      <alignment horizontal="left" vertical="center"/>
    </xf>
    <xf numFmtId="0" fontId="94"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94" fillId="0" borderId="6" xfId="0" applyFont="1" applyBorder="1" applyProtection="1">
      <alignment vertical="center"/>
      <protection locked="0"/>
    </xf>
    <xf numFmtId="0" fontId="94" fillId="0" borderId="1" xfId="0" applyFont="1" applyBorder="1" applyProtection="1">
      <alignment vertical="center"/>
      <protection locked="0"/>
    </xf>
    <xf numFmtId="0" fontId="94" fillId="2" borderId="14" xfId="0" applyFont="1" applyFill="1" applyBorder="1" applyProtection="1">
      <alignment vertical="center"/>
    </xf>
    <xf numFmtId="0" fontId="28" fillId="2" borderId="22" xfId="0" applyFont="1" applyFill="1" applyBorder="1" applyProtection="1">
      <alignment vertical="center"/>
    </xf>
    <xf numFmtId="0" fontId="94" fillId="0" borderId="22" xfId="0" applyFont="1" applyBorder="1" applyProtection="1">
      <alignment vertical="center"/>
      <protection locked="0"/>
    </xf>
    <xf numFmtId="0" fontId="94" fillId="0" borderId="9" xfId="0" applyFont="1" applyBorder="1" applyProtection="1">
      <alignment vertical="center"/>
      <protection locked="0"/>
    </xf>
    <xf numFmtId="0" fontId="94" fillId="2" borderId="57" xfId="0" applyFont="1" applyFill="1" applyBorder="1" applyProtection="1">
      <alignment vertical="center"/>
    </xf>
    <xf numFmtId="17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6" fillId="2" borderId="10" xfId="0" applyFont="1" applyFill="1" applyBorder="1" applyProtection="1">
      <alignment vertical="center"/>
    </xf>
    <xf numFmtId="0" fontId="136" fillId="2" borderId="1" xfId="0" applyFont="1" applyFill="1" applyBorder="1" applyProtection="1">
      <alignment vertical="center"/>
    </xf>
    <xf numFmtId="17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9" fontId="16" fillId="0" borderId="1" xfId="0" applyNumberFormat="1" applyFont="1" applyBorder="1" applyAlignment="1" applyProtection="1">
      <alignment horizontal="center" vertical="center" wrapText="1"/>
      <protection locked="0"/>
    </xf>
    <xf numFmtId="179"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wrapText="1"/>
    </xf>
    <xf numFmtId="179" fontId="18" fillId="2" borderId="0" xfId="0" applyNumberFormat="1" applyFont="1" applyFill="1" applyBorder="1" applyAlignment="1" applyProtection="1">
      <alignment horizontal="center" vertical="center" wrapText="1"/>
    </xf>
    <xf numFmtId="176" fontId="16" fillId="2" borderId="1" xfId="0" applyNumberFormat="1" applyFont="1" applyFill="1" applyBorder="1" applyAlignment="1" applyProtection="1">
      <alignment horizontal="center" vertical="center" wrapText="1"/>
    </xf>
    <xf numFmtId="176" fontId="16" fillId="2" borderId="12" xfId="0" applyNumberFormat="1" applyFont="1" applyFill="1" applyBorder="1" applyAlignment="1" applyProtection="1">
      <alignment horizontal="center" vertical="center" wrapText="1"/>
    </xf>
    <xf numFmtId="176" fontId="16" fillId="2" borderId="11" xfId="0" applyNumberFormat="1" applyFont="1" applyFill="1" applyBorder="1" applyAlignment="1" applyProtection="1">
      <alignment horizontal="center" vertical="center" wrapText="1"/>
    </xf>
    <xf numFmtId="17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9" fontId="16" fillId="2" borderId="10" xfId="0" applyNumberFormat="1"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xf>
    <xf numFmtId="179"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6" fontId="16" fillId="0" borderId="3" xfId="0" applyNumberFormat="1" applyFont="1" applyFill="1" applyBorder="1" applyAlignment="1" applyProtection="1">
      <alignment horizontal="center" vertical="center" wrapText="1"/>
      <protection locked="0"/>
    </xf>
    <xf numFmtId="176"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4" fillId="3" borderId="3" xfId="0" applyFont="1" applyFill="1" applyBorder="1" applyAlignment="1" applyProtection="1">
      <alignment horizontal="center" vertical="center" wrapText="1"/>
      <protection locked="0"/>
    </xf>
    <xf numFmtId="176" fontId="28" fillId="2" borderId="1" xfId="0" applyNumberFormat="1" applyFont="1" applyFill="1" applyBorder="1" applyAlignment="1" applyProtection="1">
      <alignment horizontal="center" vertical="center" wrapText="1"/>
    </xf>
    <xf numFmtId="176" fontId="28" fillId="0" borderId="3" xfId="0" applyNumberFormat="1" applyFont="1" applyFill="1" applyBorder="1" applyAlignment="1" applyProtection="1">
      <alignment horizontal="center" vertical="center" wrapText="1"/>
      <protection locked="0"/>
    </xf>
    <xf numFmtId="176" fontId="28" fillId="2" borderId="3" xfId="0" applyNumberFormat="1" applyFont="1" applyFill="1" applyBorder="1" applyAlignment="1" applyProtection="1">
      <alignment horizontal="center" vertical="center" wrapText="1"/>
    </xf>
    <xf numFmtId="176" fontId="28" fillId="2" borderId="9" xfId="0" applyNumberFormat="1" applyFont="1" applyFill="1" applyBorder="1" applyAlignment="1" applyProtection="1">
      <alignment horizontal="center" vertical="center" wrapText="1"/>
    </xf>
    <xf numFmtId="0" fontId="116" fillId="0" borderId="1" xfId="7" applyFont="1" applyFill="1" applyBorder="1" applyAlignment="1" applyProtection="1">
      <alignment horizontal="center" vertical="center" wrapText="1"/>
      <protection locked="0"/>
    </xf>
    <xf numFmtId="0" fontId="79"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1" fillId="0" borderId="1" xfId="7" applyFont="1" applyBorder="1" applyAlignment="1" applyProtection="1">
      <alignment horizontal="center" vertical="center" wrapText="1"/>
      <protection locked="0"/>
    </xf>
    <xf numFmtId="0" fontId="81" fillId="0" borderId="1" xfId="7" applyFont="1" applyFill="1" applyBorder="1" applyAlignment="1" applyProtection="1">
      <alignment horizontal="center" vertical="center" wrapText="1"/>
      <protection locked="0"/>
    </xf>
    <xf numFmtId="0" fontId="79" fillId="0" borderId="1" xfId="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6" fontId="24" fillId="0" borderId="1" xfId="0" applyNumberFormat="1" applyFont="1" applyBorder="1" applyAlignment="1" applyProtection="1">
      <alignment vertical="center" wrapText="1"/>
      <protection locked="0"/>
    </xf>
    <xf numFmtId="176" fontId="16" fillId="0" borderId="1"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79"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9"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9" fontId="16" fillId="2" borderId="3" xfId="0" applyNumberFormat="1" applyFont="1" applyFill="1" applyBorder="1" applyAlignment="1" applyProtection="1">
      <alignment horizontal="center" vertical="center" wrapText="1"/>
    </xf>
    <xf numFmtId="176" fontId="24" fillId="0" borderId="1" xfId="0" applyNumberFormat="1" applyFont="1" applyBorder="1" applyAlignment="1" applyProtection="1">
      <alignment horizontal="center" vertical="center" wrapText="1"/>
      <protection locked="0"/>
    </xf>
    <xf numFmtId="176" fontId="28" fillId="0" borderId="1" xfId="0" applyNumberFormat="1" applyFont="1" applyBorder="1" applyAlignment="1" applyProtection="1">
      <alignment horizontal="center" vertical="center" wrapText="1"/>
      <protection locked="0"/>
    </xf>
    <xf numFmtId="0" fontId="78" fillId="0" borderId="1" xfId="7"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68"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76" fontId="16" fillId="2" borderId="10" xfId="0" applyNumberFormat="1"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9" fontId="16" fillId="2" borderId="34" xfId="0" applyNumberFormat="1" applyFont="1" applyFill="1" applyBorder="1" applyAlignment="1" applyProtection="1">
      <alignment horizontal="center" vertical="center" wrapText="1"/>
    </xf>
    <xf numFmtId="17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6" fontId="16" fillId="0" borderId="1" xfId="0" applyNumberFormat="1" applyFont="1" applyFill="1" applyBorder="1" applyAlignment="1" applyProtection="1">
      <alignment horizontal="center" vertical="center" wrapText="1"/>
      <protection locked="0"/>
    </xf>
    <xf numFmtId="17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6" fontId="16" fillId="2" borderId="5" xfId="0" applyNumberFormat="1" applyFont="1" applyFill="1" applyBorder="1" applyAlignment="1" applyProtection="1">
      <alignment horizontal="center" vertical="center" wrapText="1"/>
    </xf>
    <xf numFmtId="176" fontId="16" fillId="2" borderId="6" xfId="0" applyNumberFormat="1" applyFont="1" applyFill="1" applyBorder="1" applyAlignment="1" applyProtection="1">
      <alignment horizontal="center" vertical="center" wrapText="1"/>
    </xf>
    <xf numFmtId="179"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9"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xf>
    <xf numFmtId="176" fontId="16" fillId="2" borderId="13" xfId="0" applyNumberFormat="1" applyFont="1" applyFill="1" applyBorder="1" applyAlignment="1" applyProtection="1">
      <alignment horizontal="center" vertical="center" wrapText="1"/>
    </xf>
    <xf numFmtId="17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6" fontId="28" fillId="2" borderId="14" xfId="0" applyNumberFormat="1" applyFont="1" applyFill="1" applyBorder="1" applyAlignment="1" applyProtection="1">
      <alignment horizontal="center" vertical="center" wrapText="1"/>
    </xf>
    <xf numFmtId="17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7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8" fillId="0" borderId="148"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protection locked="0"/>
    </xf>
    <xf numFmtId="49" fontId="168" fillId="0" borderId="0" xfId="0" applyNumberFormat="1" applyFont="1" applyAlignment="1" applyProtection="1">
      <alignment horizontal="center" vertical="center" wrapText="1"/>
      <protection locked="0"/>
    </xf>
    <xf numFmtId="0" fontId="168" fillId="0" borderId="0" xfId="0" applyFont="1" applyAlignment="1" applyProtection="1">
      <alignment vertical="center" wrapText="1"/>
      <protection locked="0"/>
    </xf>
    <xf numFmtId="0" fontId="168" fillId="0" borderId="0" xfId="0" applyFont="1" applyAlignment="1" applyProtection="1">
      <alignment horizontal="center" vertical="center" wrapText="1"/>
      <protection locked="0"/>
    </xf>
    <xf numFmtId="0" fontId="168" fillId="2" borderId="60"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9" borderId="0" xfId="0" applyFont="1" applyFill="1" applyAlignment="1" applyProtection="1">
      <alignment vertical="center" wrapText="1"/>
      <protection locked="0"/>
    </xf>
    <xf numFmtId="0" fontId="168" fillId="9" borderId="0" xfId="0" applyFont="1" applyFill="1" applyBorder="1" applyAlignment="1" applyProtection="1">
      <alignment vertical="center" wrapText="1"/>
      <protection locked="0"/>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16" borderId="9" xfId="0" applyFont="1" applyFill="1" applyBorder="1" applyAlignment="1" applyProtection="1">
      <alignment vertical="center" wrapText="1"/>
    </xf>
    <xf numFmtId="0" fontId="168" fillId="2" borderId="83" xfId="0" applyFont="1" applyFill="1" applyBorder="1" applyAlignment="1" applyProtection="1">
      <alignment horizontal="left" vertical="center"/>
    </xf>
    <xf numFmtId="0" fontId="168" fillId="3" borderId="83" xfId="0" applyFont="1" applyFill="1" applyBorder="1" applyAlignment="1" applyProtection="1">
      <alignment vertical="center" wrapText="1"/>
      <protection locked="0"/>
    </xf>
    <xf numFmtId="0" fontId="168" fillId="2" borderId="83"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81" xfId="0" applyFont="1" applyFill="1" applyBorder="1" applyAlignment="1" applyProtection="1">
      <alignment vertical="center" wrapText="1"/>
    </xf>
    <xf numFmtId="0" fontId="168" fillId="2" borderId="9"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58"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16" borderId="18"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16" borderId="96" xfId="0" applyFont="1" applyFill="1" applyBorder="1" applyAlignment="1" applyProtection="1">
      <alignment vertical="center" wrapText="1"/>
    </xf>
    <xf numFmtId="0" fontId="168" fillId="3" borderId="96" xfId="0" applyFont="1" applyFill="1" applyBorder="1" applyAlignment="1" applyProtection="1">
      <alignment horizontal="left" vertical="center"/>
      <protection locked="0"/>
    </xf>
    <xf numFmtId="0" fontId="168" fillId="3" borderId="97" xfId="0" applyFont="1" applyFill="1" applyBorder="1" applyAlignment="1" applyProtection="1">
      <alignment vertical="center" wrapText="1"/>
    </xf>
    <xf numFmtId="0" fontId="168" fillId="3" borderId="93" xfId="0" applyFont="1" applyFill="1" applyBorder="1" applyAlignment="1" applyProtection="1">
      <alignment vertical="center" wrapText="1"/>
    </xf>
    <xf numFmtId="0" fontId="168" fillId="9" borderId="2" xfId="0" applyFont="1" applyFill="1" applyBorder="1" applyAlignment="1" applyProtection="1">
      <alignment vertical="center" wrapText="1"/>
      <protection locked="0"/>
    </xf>
    <xf numFmtId="0" fontId="168" fillId="16" borderId="34" xfId="0" applyFont="1" applyFill="1" applyBorder="1" applyAlignment="1" applyProtection="1">
      <alignment horizontal="left" vertical="center"/>
    </xf>
    <xf numFmtId="0" fontId="168" fillId="5" borderId="81"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wrapText="1"/>
      <protection locked="0"/>
    </xf>
    <xf numFmtId="49" fontId="168" fillId="2" borderId="3"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16" borderId="10" xfId="0" applyFont="1" applyFill="1" applyBorder="1" applyAlignment="1" applyProtection="1">
      <alignment vertical="center"/>
    </xf>
    <xf numFmtId="0" fontId="168" fillId="5" borderId="58"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xf>
    <xf numFmtId="0" fontId="168" fillId="2" borderId="0" xfId="0" applyFont="1" applyFill="1" applyBorder="1" applyAlignment="1" applyProtection="1">
      <alignment vertical="center" wrapText="1"/>
      <protection locked="0"/>
    </xf>
    <xf numFmtId="0" fontId="168" fillId="2" borderId="18" xfId="0" applyFont="1" applyFill="1" applyBorder="1" applyAlignment="1" applyProtection="1">
      <alignment vertical="center"/>
    </xf>
    <xf numFmtId="0" fontId="168" fillId="2" borderId="1" xfId="0" applyFont="1" applyFill="1" applyBorder="1" applyAlignment="1" applyProtection="1">
      <alignment vertical="center" wrapText="1"/>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16"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16" borderId="89" xfId="0" applyFont="1" applyFill="1" applyBorder="1" applyAlignment="1" applyProtection="1">
      <alignment vertical="center" wrapText="1"/>
    </xf>
    <xf numFmtId="183" fontId="66" fillId="0" borderId="1" xfId="0" applyNumberFormat="1" applyFont="1" applyFill="1" applyBorder="1" applyAlignment="1" applyProtection="1">
      <alignment horizontal="center" vertical="center" shrinkToFit="1"/>
      <protection locked="0"/>
    </xf>
    <xf numFmtId="177" fontId="168" fillId="3" borderId="1" xfId="11" applyNumberFormat="1" applyFont="1" applyFill="1" applyBorder="1" applyAlignment="1" applyProtection="1">
      <alignment horizontal="center" vertical="center"/>
      <protection locked="0"/>
    </xf>
    <xf numFmtId="179" fontId="168" fillId="2" borderId="9" xfId="0" applyNumberFormat="1" applyFont="1" applyFill="1" applyBorder="1" applyAlignment="1" applyProtection="1">
      <alignment horizontal="center" vertical="center" wrapText="1"/>
    </xf>
    <xf numFmtId="179"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0" fontId="138"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80" xfId="0" applyFont="1" applyFill="1" applyBorder="1" applyAlignment="1" applyProtection="1">
      <alignment horizontal="center" vertical="center" wrapText="1"/>
    </xf>
    <xf numFmtId="0" fontId="168" fillId="3" borderId="80" xfId="0" applyFont="1" applyFill="1" applyBorder="1" applyAlignment="1" applyProtection="1">
      <alignment horizontal="center" vertical="center" wrapText="1"/>
      <protection locked="0"/>
    </xf>
    <xf numFmtId="0" fontId="170" fillId="2" borderId="80"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91" xfId="0" applyFont="1" applyFill="1" applyBorder="1" applyAlignment="1" applyProtection="1">
      <alignment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50"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9" borderId="48" xfId="0" applyFont="1" applyFill="1" applyBorder="1" applyAlignment="1" applyProtection="1">
      <alignment vertical="center" wrapText="1"/>
      <protection locked="0"/>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83"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83" fontId="169" fillId="0" borderId="44" xfId="0" applyNumberFormat="1" applyFont="1" applyFill="1" applyBorder="1" applyAlignment="1" applyProtection="1">
      <alignment horizontal="left" vertical="center" shrinkToFit="1"/>
      <protection locked="0"/>
    </xf>
    <xf numFmtId="0" fontId="168" fillId="2" borderId="68"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46"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left" vertical="center" wrapText="1"/>
    </xf>
    <xf numFmtId="0" fontId="168" fillId="2" borderId="93"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right" vertical="center" wrapText="1"/>
    </xf>
    <xf numFmtId="0" fontId="169" fillId="0" borderId="95" xfId="0" applyFont="1" applyFill="1" applyBorder="1" applyAlignment="1" applyProtection="1">
      <alignment horizontal="left" vertical="center" wrapText="1"/>
      <protection locked="0"/>
    </xf>
    <xf numFmtId="0" fontId="168" fillId="9" borderId="152" xfId="0" applyFont="1" applyFill="1" applyBorder="1" applyAlignment="1" applyProtection="1">
      <alignment vertical="center" wrapText="1"/>
      <protection locked="0"/>
    </xf>
    <xf numFmtId="0" fontId="168" fillId="0" borderId="3" xfId="0" applyFont="1" applyBorder="1" applyAlignment="1" applyProtection="1">
      <alignment horizontal="left" vertical="center" wrapText="1"/>
      <protection locked="0"/>
    </xf>
    <xf numFmtId="0" fontId="168" fillId="5" borderId="10"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2" borderId="10"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0" borderId="1" xfId="0" applyFont="1" applyBorder="1" applyAlignment="1" applyProtection="1">
      <alignment vertical="center" wrapText="1"/>
      <protection locked="0"/>
    </xf>
    <xf numFmtId="0" fontId="168" fillId="2" borderId="10"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81" xfId="0" applyFont="1" applyFill="1" applyBorder="1" applyAlignment="1" applyProtection="1">
      <alignment vertical="center" wrapText="1"/>
    </xf>
    <xf numFmtId="190" fontId="168" fillId="2" borderId="0" xfId="0" applyNumberFormat="1" applyFont="1" applyFill="1" applyBorder="1" applyAlignment="1" applyProtection="1">
      <alignment vertical="center" wrapText="1"/>
    </xf>
    <xf numFmtId="0" fontId="168" fillId="2" borderId="74" xfId="0" applyFont="1" applyFill="1" applyBorder="1" applyAlignment="1" applyProtection="1">
      <alignment vertical="center"/>
    </xf>
    <xf numFmtId="0" fontId="168" fillId="2" borderId="10" xfId="0" applyFont="1" applyFill="1" applyBorder="1" applyAlignment="1" applyProtection="1">
      <alignment vertical="center"/>
    </xf>
    <xf numFmtId="0" fontId="168" fillId="2" borderId="11" xfId="0" applyFont="1" applyFill="1" applyBorder="1" applyAlignment="1" applyProtection="1">
      <alignment vertical="center" wrapText="1"/>
    </xf>
    <xf numFmtId="0" fontId="120"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3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17"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07" fillId="2" borderId="148" xfId="0" applyFont="1" applyFill="1" applyBorder="1" applyAlignment="1" applyProtection="1">
      <alignment vertical="center"/>
    </xf>
    <xf numFmtId="0" fontId="168" fillId="2" borderId="148" xfId="0" applyFont="1" applyFill="1" applyBorder="1" applyAlignment="1" applyProtection="1">
      <alignment vertical="center" wrapText="1"/>
    </xf>
    <xf numFmtId="0" fontId="168" fillId="2" borderId="148" xfId="0" applyFont="1" applyFill="1" applyBorder="1" applyAlignment="1" applyProtection="1">
      <alignment vertical="center" wrapText="1"/>
      <protection locked="0"/>
    </xf>
    <xf numFmtId="0" fontId="168" fillId="2" borderId="0" xfId="0" applyFont="1" applyFill="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protection locked="0"/>
    </xf>
    <xf numFmtId="0" fontId="168" fillId="2" borderId="0" xfId="0" applyFont="1" applyFill="1" applyAlignment="1" applyProtection="1">
      <alignment vertical="center" wrapText="1"/>
      <protection locked="0"/>
    </xf>
    <xf numFmtId="0" fontId="168" fillId="2" borderId="0" xfId="0" applyFont="1" applyFill="1" applyAlignment="1" applyProtection="1">
      <alignment horizontal="center" vertical="center" wrapText="1"/>
      <protection locked="0"/>
    </xf>
    <xf numFmtId="0" fontId="168" fillId="9" borderId="0" xfId="0" applyFont="1" applyFill="1" applyAlignment="1" applyProtection="1">
      <alignment horizontal="center" vertical="center" wrapText="1"/>
      <protection locked="0"/>
    </xf>
    <xf numFmtId="49" fontId="168" fillId="2" borderId="20" xfId="0" applyNumberFormat="1" applyFont="1" applyFill="1" applyBorder="1" applyAlignment="1" applyProtection="1">
      <alignment horizontal="center" vertical="center" wrapText="1"/>
      <protection locked="0"/>
    </xf>
    <xf numFmtId="0" fontId="168" fillId="2" borderId="20" xfId="0" applyNumberFormat="1" applyFont="1" applyFill="1" applyBorder="1" applyAlignment="1" applyProtection="1">
      <alignment horizontal="center" vertical="center" wrapText="1"/>
      <protection locked="0"/>
    </xf>
    <xf numFmtId="0" fontId="168" fillId="9" borderId="0" xfId="0" applyFont="1" applyFill="1" applyBorder="1" applyAlignment="1" applyProtection="1">
      <alignment horizontal="center" vertical="center" wrapText="1"/>
      <protection locked="0"/>
    </xf>
    <xf numFmtId="0" fontId="168" fillId="9" borderId="2" xfId="0" applyFont="1" applyFill="1" applyBorder="1" applyAlignment="1" applyProtection="1">
      <alignment horizontal="center" vertical="center" wrapText="1"/>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0" fontId="168" fillId="2" borderId="20" xfId="0" applyNumberFormat="1" applyFont="1" applyFill="1" applyBorder="1" applyAlignment="1" applyProtection="1">
      <alignment horizontal="left" vertical="center"/>
      <protection locked="0"/>
    </xf>
    <xf numFmtId="0" fontId="168" fillId="2" borderId="0" xfId="0" applyFont="1" applyFill="1" applyBorder="1" applyAlignment="1" applyProtection="1">
      <alignment vertical="center"/>
    </xf>
    <xf numFmtId="49" fontId="168" fillId="2" borderId="0" xfId="0" applyNumberFormat="1" applyFont="1" applyFill="1" applyAlignment="1" applyProtection="1">
      <alignment horizontal="center" vertical="center" wrapText="1"/>
    </xf>
    <xf numFmtId="0" fontId="168" fillId="2" borderId="20" xfId="0" applyFont="1" applyFill="1" applyBorder="1" applyAlignment="1" applyProtection="1">
      <alignment vertical="center" wrapText="1"/>
      <protection locked="0"/>
    </xf>
    <xf numFmtId="49" fontId="168" fillId="2" borderId="20" xfId="0" applyNumberFormat="1" applyFont="1" applyFill="1" applyBorder="1" applyAlignment="1" applyProtection="1">
      <alignment horizontal="left" vertical="center"/>
      <protection locked="0"/>
    </xf>
    <xf numFmtId="0" fontId="168" fillId="0" borderId="1" xfId="0" applyFont="1" applyBorder="1" applyAlignment="1" applyProtection="1">
      <alignment vertical="center"/>
    </xf>
    <xf numFmtId="0" fontId="168" fillId="2" borderId="148" xfId="0" applyFont="1" applyFill="1" applyBorder="1" applyAlignment="1" applyProtection="1">
      <alignment horizontal="center" vertical="center" wrapText="1"/>
      <protection locked="0"/>
    </xf>
    <xf numFmtId="0" fontId="168" fillId="9" borderId="148" xfId="0" applyFont="1" applyFill="1" applyBorder="1" applyAlignment="1" applyProtection="1">
      <alignment vertical="center" wrapText="1"/>
      <protection locked="0"/>
    </xf>
    <xf numFmtId="49" fontId="168" fillId="2" borderId="153" xfId="0" applyNumberFormat="1" applyFont="1" applyFill="1" applyBorder="1" applyAlignment="1" applyProtection="1">
      <alignment horizontal="center" vertical="center" wrapText="1"/>
      <protection locked="0"/>
    </xf>
    <xf numFmtId="49" fontId="168" fillId="2" borderId="148" xfId="0" applyNumberFormat="1" applyFont="1" applyFill="1" applyBorder="1" applyAlignment="1" applyProtection="1">
      <alignment horizontal="center" vertical="center" wrapText="1"/>
      <protection locked="0"/>
    </xf>
    <xf numFmtId="0" fontId="168" fillId="2" borderId="0" xfId="0" applyFont="1" applyFill="1" applyBorder="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protection locked="0"/>
    </xf>
    <xf numFmtId="0" fontId="168" fillId="2" borderId="1" xfId="0" applyFont="1" applyFill="1" applyBorder="1" applyAlignment="1" applyProtection="1">
      <alignment horizontal="center" vertical="center" wrapText="1"/>
      <protection locked="0"/>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xf>
    <xf numFmtId="194" fontId="168" fillId="2" borderId="1" xfId="0" applyNumberFormat="1" applyFont="1" applyFill="1" applyBorder="1" applyAlignment="1" applyProtection="1">
      <alignment vertical="center" wrapText="1"/>
    </xf>
    <xf numFmtId="0" fontId="168" fillId="0" borderId="148" xfId="0" applyFont="1" applyBorder="1" applyAlignment="1" applyProtection="1">
      <alignment vertical="center" wrapText="1"/>
      <protection locked="0"/>
    </xf>
    <xf numFmtId="0" fontId="168"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03"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03" fillId="0" borderId="1" xfId="0" applyFont="1" applyBorder="1" applyAlignment="1" applyProtection="1">
      <alignment horizontal="center" vertical="center"/>
      <protection locked="0"/>
    </xf>
    <xf numFmtId="0" fontId="98" fillId="2" borderId="0" xfId="0" applyFont="1" applyFill="1" applyBorder="1" applyAlignment="1" applyProtection="1">
      <alignment horizontal="left" vertical="center"/>
    </xf>
    <xf numFmtId="0" fontId="98" fillId="2" borderId="0" xfId="0" applyFont="1" applyFill="1" applyProtection="1">
      <alignment vertical="center"/>
    </xf>
    <xf numFmtId="0" fontId="98" fillId="2" borderId="0" xfId="0" applyFont="1" applyFill="1" applyAlignment="1" applyProtection="1">
      <alignment horizontal="center" vertical="center"/>
    </xf>
    <xf numFmtId="0" fontId="98" fillId="2" borderId="0" xfId="0" applyFont="1" applyFill="1" applyBorder="1" applyAlignment="1" applyProtection="1">
      <alignment horizontal="center" vertical="center"/>
    </xf>
    <xf numFmtId="0" fontId="103" fillId="0" borderId="0" xfId="0" applyFont="1" applyBorder="1" applyAlignment="1" applyProtection="1">
      <alignment horizontal="center" vertical="center"/>
    </xf>
    <xf numFmtId="0" fontId="101"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101"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1" fillId="2" borderId="0" xfId="0" applyFont="1" applyFill="1" applyAlignment="1" applyProtection="1">
      <alignment horizontal="center" vertical="center" wrapText="1"/>
    </xf>
    <xf numFmtId="0" fontId="105" fillId="0" borderId="0" xfId="14" applyFont="1" applyFill="1" applyAlignment="1">
      <alignment horizontal="left" vertical="center"/>
    </xf>
    <xf numFmtId="0" fontId="106" fillId="0" borderId="0" xfId="14" applyFont="1" applyAlignment="1">
      <alignment horizontal="left" vertical="center"/>
    </xf>
    <xf numFmtId="0" fontId="105" fillId="0" borderId="0" xfId="14" applyFont="1" applyAlignment="1">
      <alignment horizontal="left" vertical="center"/>
    </xf>
    <xf numFmtId="0" fontId="165" fillId="0" borderId="0" xfId="14" applyFont="1" applyAlignment="1">
      <alignment horizontal="left" vertical="center"/>
    </xf>
    <xf numFmtId="0" fontId="91" fillId="0" borderId="0" xfId="14" applyFont="1" applyAlignment="1">
      <alignment horizontal="left" vertical="center"/>
    </xf>
    <xf numFmtId="14" fontId="91" fillId="0" borderId="0" xfId="14" applyNumberFormat="1" applyFont="1" applyAlignment="1">
      <alignment horizontal="left" vertical="center"/>
    </xf>
    <xf numFmtId="0" fontId="172" fillId="0" borderId="0" xfId="14" applyFont="1" applyAlignment="1">
      <alignment horizontal="left" vertical="center"/>
    </xf>
    <xf numFmtId="0" fontId="173" fillId="3" borderId="9" xfId="14" applyFont="1" applyFill="1" applyBorder="1" applyAlignment="1">
      <alignment horizontal="left" vertical="center"/>
    </xf>
    <xf numFmtId="0" fontId="174" fillId="0" borderId="1" xfId="14" applyFont="1" applyFill="1" applyBorder="1" applyAlignment="1">
      <alignment horizontal="left" vertical="center"/>
    </xf>
    <xf numFmtId="0" fontId="174" fillId="0" borderId="10" xfId="14" applyFont="1" applyFill="1" applyBorder="1" applyAlignment="1">
      <alignment horizontal="left" vertical="center"/>
    </xf>
    <xf numFmtId="0" fontId="173" fillId="3" borderId="154" xfId="14" applyFont="1" applyFill="1" applyBorder="1" applyAlignment="1">
      <alignment horizontal="left" vertical="center"/>
    </xf>
    <xf numFmtId="193" fontId="174" fillId="0" borderId="10" xfId="14" applyNumberFormat="1" applyFont="1" applyFill="1" applyBorder="1" applyAlignment="1">
      <alignment horizontal="left" vertical="center"/>
    </xf>
    <xf numFmtId="0" fontId="174" fillId="0" borderId="155" xfId="14" applyFont="1" applyFill="1" applyBorder="1" applyAlignment="1">
      <alignment horizontal="left" vertical="center"/>
    </xf>
    <xf numFmtId="183" fontId="174" fillId="0" borderId="1" xfId="14" applyNumberFormat="1" applyFont="1" applyFill="1" applyBorder="1" applyAlignment="1">
      <alignment horizontal="left" vertical="center"/>
    </xf>
    <xf numFmtId="0" fontId="174" fillId="0" borderId="9" xfId="14" applyFont="1" applyFill="1" applyBorder="1" applyAlignment="1">
      <alignment horizontal="left" vertical="center"/>
    </xf>
    <xf numFmtId="193" fontId="174" fillId="0" borderId="155" xfId="14" applyNumberFormat="1" applyFont="1" applyFill="1" applyBorder="1" applyAlignment="1">
      <alignment horizontal="left" vertical="center"/>
    </xf>
    <xf numFmtId="0" fontId="165" fillId="0" borderId="0" xfId="14" applyFont="1" applyFill="1" applyAlignment="1">
      <alignment horizontal="left" vertical="center"/>
    </xf>
    <xf numFmtId="0" fontId="174" fillId="0" borderId="1" xfId="14" applyFont="1" applyBorder="1" applyAlignment="1">
      <alignment horizontal="left" vertical="center"/>
    </xf>
    <xf numFmtId="0" fontId="174" fillId="0" borderId="10" xfId="14" applyFont="1" applyBorder="1" applyAlignment="1">
      <alignment horizontal="left" vertical="center"/>
    </xf>
    <xf numFmtId="0" fontId="173" fillId="0" borderId="1" xfId="14" applyFont="1" applyFill="1" applyBorder="1" applyAlignment="1">
      <alignment horizontal="left" vertical="center"/>
    </xf>
    <xf numFmtId="0" fontId="91" fillId="0" borderId="1" xfId="14" applyFont="1" applyBorder="1" applyAlignment="1">
      <alignment horizontal="left" vertical="center"/>
    </xf>
    <xf numFmtId="183" fontId="174" fillId="0" borderId="10" xfId="14" applyNumberFormat="1" applyFont="1" applyFill="1" applyBorder="1" applyAlignment="1">
      <alignment horizontal="left" vertical="center"/>
    </xf>
    <xf numFmtId="0" fontId="91" fillId="0" borderId="155" xfId="14" applyFont="1" applyBorder="1" applyAlignment="1">
      <alignment horizontal="left" vertical="center"/>
    </xf>
    <xf numFmtId="183" fontId="174" fillId="0" borderId="1" xfId="0" applyNumberFormat="1" applyFont="1" applyFill="1" applyBorder="1" applyAlignment="1">
      <alignment horizontal="left" vertical="center"/>
    </xf>
    <xf numFmtId="14" fontId="91" fillId="0" borderId="10" xfId="14" applyNumberFormat="1" applyFont="1" applyBorder="1" applyAlignment="1">
      <alignment horizontal="left" vertical="center"/>
    </xf>
    <xf numFmtId="14" fontId="165" fillId="0" borderId="0" xfId="14" applyNumberFormat="1" applyFont="1" applyAlignment="1">
      <alignment horizontal="left" vertical="center"/>
    </xf>
    <xf numFmtId="14" fontId="165" fillId="0" borderId="156" xfId="14" applyNumberFormat="1" applyFont="1" applyBorder="1" applyAlignment="1">
      <alignment horizontal="left" vertical="center"/>
    </xf>
    <xf numFmtId="0" fontId="165" fillId="0" borderId="0" xfId="14" applyFont="1" applyBorder="1" applyAlignment="1">
      <alignment horizontal="left" vertical="center"/>
    </xf>
    <xf numFmtId="0" fontId="175" fillId="0" borderId="0" xfId="14" applyFont="1" applyBorder="1" applyAlignment="1">
      <alignment horizontal="left" vertical="center"/>
    </xf>
    <xf numFmtId="0" fontId="86" fillId="0" borderId="0" xfId="0" applyFont="1" applyProtection="1">
      <alignment vertical="center"/>
    </xf>
    <xf numFmtId="0" fontId="25" fillId="0" borderId="0" xfId="0" applyFont="1" applyProtection="1">
      <alignment vertical="center"/>
    </xf>
    <xf numFmtId="0" fontId="143"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8" borderId="1" xfId="0" applyFont="1" applyFill="1" applyBorder="1" applyAlignment="1" applyProtection="1">
      <alignment horizontal="center" vertical="center"/>
    </xf>
    <xf numFmtId="0" fontId="130" fillId="0" borderId="1" xfId="0" applyFont="1" applyFill="1" applyBorder="1" applyAlignment="1" applyProtection="1">
      <alignment horizontal="center" vertical="center"/>
    </xf>
    <xf numFmtId="0" fontId="42" fillId="0" borderId="0" xfId="0" applyFont="1" applyProtection="1">
      <alignment vertical="center"/>
    </xf>
    <xf numFmtId="0" fontId="52"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19"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03" fillId="0" borderId="35" xfId="0" applyFont="1" applyBorder="1" applyAlignment="1" applyProtection="1">
      <alignment vertical="center"/>
    </xf>
    <xf numFmtId="0" fontId="103" fillId="0" borderId="3" xfId="0" applyFont="1" applyBorder="1" applyAlignment="1" applyProtection="1">
      <alignment vertical="center"/>
    </xf>
    <xf numFmtId="0" fontId="84" fillId="0" borderId="0" xfId="0" applyFont="1" applyProtection="1">
      <alignment vertical="center"/>
    </xf>
    <xf numFmtId="0" fontId="28" fillId="0" borderId="0" xfId="0" applyFont="1" applyAlignment="1" applyProtection="1">
      <alignment horizontal="left" vertical="center"/>
    </xf>
    <xf numFmtId="176" fontId="28"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9" fillId="0" borderId="0" xfId="0" applyFont="1" applyAlignment="1">
      <alignment horizontal="center" vertical="center" wrapText="1"/>
    </xf>
    <xf numFmtId="0" fontId="177" fillId="0" borderId="0" xfId="0" applyFont="1" applyAlignment="1">
      <alignment horizontal="right" vertical="center"/>
    </xf>
    <xf numFmtId="193" fontId="178" fillId="0" borderId="0" xfId="0" applyNumberFormat="1" applyFont="1" applyAlignment="1" applyProtection="1">
      <alignment horizontal="right" vertical="center" shrinkToFit="1"/>
      <protection locked="0"/>
    </xf>
    <xf numFmtId="0" fontId="180" fillId="0" borderId="0" xfId="0" applyFont="1">
      <alignment vertical="center"/>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2"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101" fillId="0" borderId="0" xfId="0" applyFont="1" applyProtection="1">
      <alignment vertical="center"/>
    </xf>
    <xf numFmtId="0" fontId="186" fillId="0" borderId="0" xfId="0" applyFont="1" applyBorder="1" applyAlignment="1" applyProtection="1">
      <alignment horizontal="center" vertical="center"/>
    </xf>
    <xf numFmtId="0" fontId="101"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83" fontId="179" fillId="0" borderId="0" xfId="0" applyNumberFormat="1" applyFont="1" applyAlignment="1" applyProtection="1">
      <alignment horizontal="left" vertical="center"/>
    </xf>
    <xf numFmtId="0" fontId="101" fillId="0" borderId="0" xfId="0" applyFont="1" applyAlignment="1" applyProtection="1">
      <alignment vertical="center" wrapText="1"/>
    </xf>
    <xf numFmtId="0" fontId="101"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101"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14" applyFont="1">
      <alignment vertical="center"/>
    </xf>
    <xf numFmtId="0" fontId="89" fillId="0" borderId="0" xfId="14">
      <alignment vertical="center"/>
    </xf>
    <xf numFmtId="0" fontId="191" fillId="0" borderId="0" xfId="14" applyFont="1" applyAlignment="1">
      <alignment vertical="top" wrapText="1"/>
    </xf>
    <xf numFmtId="0" fontId="165" fillId="0" borderId="2" xfId="0" applyFont="1" applyBorder="1">
      <alignment vertical="center"/>
    </xf>
    <xf numFmtId="0" fontId="165" fillId="0" borderId="90"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90"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83" xfId="0" applyFont="1" applyBorder="1" applyAlignment="1">
      <alignment horizontal="left" vertical="center" wrapText="1"/>
    </xf>
    <xf numFmtId="0" fontId="52" fillId="0" borderId="83" xfId="0" applyFont="1" applyBorder="1" applyAlignment="1" applyProtection="1">
      <alignment horizontal="left" vertical="center"/>
      <protection locked="0"/>
    </xf>
    <xf numFmtId="0" fontId="165" fillId="0" borderId="85" xfId="0" applyFont="1" applyBorder="1" applyAlignment="1">
      <alignment vertical="center" wrapText="1"/>
    </xf>
    <xf numFmtId="0" fontId="165" fillId="0" borderId="85"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83" xfId="0" applyFont="1" applyBorder="1" applyAlignment="1">
      <alignment vertical="center" wrapText="1"/>
    </xf>
    <xf numFmtId="0" fontId="165" fillId="0" borderId="83"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85" xfId="0" applyFont="1" applyBorder="1">
      <alignment vertical="center"/>
    </xf>
    <xf numFmtId="0" fontId="165" fillId="0" borderId="1" xfId="0" applyFont="1" applyBorder="1">
      <alignment vertical="center"/>
    </xf>
    <xf numFmtId="49" fontId="165" fillId="0" borderId="90" xfId="0" applyNumberFormat="1" applyFont="1" applyBorder="1" applyProtection="1">
      <alignment vertical="center"/>
      <protection locked="0"/>
    </xf>
    <xf numFmtId="183" fontId="165" fillId="0" borderId="90"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93" fontId="165" fillId="0" borderId="83" xfId="0" applyNumberFormat="1" applyFont="1" applyBorder="1" applyAlignment="1" applyProtection="1">
      <alignment horizontal="left" vertical="center"/>
    </xf>
    <xf numFmtId="0" fontId="165" fillId="0" borderId="83"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83" xfId="0" applyFont="1" applyBorder="1" applyAlignment="1">
      <alignment horizontal="left" vertical="center"/>
    </xf>
    <xf numFmtId="0" fontId="105" fillId="3" borderId="1" xfId="0" applyFont="1" applyFill="1" applyBorder="1" applyAlignment="1">
      <alignment horizontal="center" vertical="center" wrapText="1"/>
    </xf>
    <xf numFmtId="0" fontId="105" fillId="3" borderId="0" xfId="0" applyFont="1" applyFill="1" applyAlignment="1">
      <alignment horizontal="center" vertical="center" wrapText="1"/>
    </xf>
    <xf numFmtId="0" fontId="105" fillId="0" borderId="0" xfId="0" applyFont="1" applyAlignment="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0" fillId="0" borderId="166" xfId="0" applyBorder="1" applyAlignment="1"/>
    <xf numFmtId="0" fontId="232" fillId="21" borderId="169" xfId="0" applyFont="1" applyFill="1" applyBorder="1" applyAlignment="1">
      <alignment horizontal="center" vertical="center" wrapText="1"/>
    </xf>
    <xf numFmtId="0" fontId="234" fillId="21" borderId="170" xfId="0" applyFont="1" applyFill="1" applyBorder="1" applyAlignment="1">
      <alignment horizontal="center" vertical="center" wrapText="1"/>
    </xf>
    <xf numFmtId="0" fontId="232" fillId="21" borderId="170" xfId="0" applyFont="1" applyFill="1" applyBorder="1" applyAlignment="1">
      <alignment horizontal="center" vertical="center" wrapText="1"/>
    </xf>
    <xf numFmtId="14" fontId="232" fillId="21" borderId="170" xfId="0" applyNumberFormat="1" applyFont="1" applyFill="1" applyBorder="1" applyAlignment="1">
      <alignment horizontal="center" vertical="center" wrapText="1"/>
    </xf>
    <xf numFmtId="0" fontId="232" fillId="21" borderId="171" xfId="0" applyFont="1" applyFill="1" applyBorder="1" applyAlignment="1">
      <alignment horizontal="center" vertical="center" wrapText="1"/>
    </xf>
    <xf numFmtId="0" fontId="232" fillId="9" borderId="169" xfId="0" applyFont="1" applyFill="1" applyBorder="1" applyAlignment="1">
      <alignment horizontal="center" vertical="center" wrapText="1"/>
    </xf>
    <xf numFmtId="0" fontId="234" fillId="9" borderId="170" xfId="0" applyFont="1" applyFill="1" applyBorder="1" applyAlignment="1">
      <alignment horizontal="center" vertical="center" wrapText="1"/>
    </xf>
    <xf numFmtId="0" fontId="232" fillId="9" borderId="170" xfId="0" applyFont="1" applyFill="1" applyBorder="1" applyAlignment="1">
      <alignment horizontal="center" vertical="center" wrapText="1"/>
    </xf>
    <xf numFmtId="14" fontId="232" fillId="9" borderId="170" xfId="0" applyNumberFormat="1" applyFont="1" applyFill="1" applyBorder="1" applyAlignment="1">
      <alignment horizontal="center" vertical="center" wrapText="1"/>
    </xf>
    <xf numFmtId="0" fontId="232" fillId="9" borderId="171" xfId="0" applyFont="1" applyFill="1" applyBorder="1" applyAlignment="1">
      <alignment horizontal="center" vertical="center" wrapText="1"/>
    </xf>
    <xf numFmtId="0" fontId="172" fillId="0" borderId="0" xfId="0" applyFont="1">
      <alignment vertical="center"/>
    </xf>
    <xf numFmtId="177" fontId="165" fillId="0" borderId="0" xfId="0" applyNumberFormat="1" applyFont="1">
      <alignment vertical="center"/>
    </xf>
    <xf numFmtId="0" fontId="165" fillId="3" borderId="0" xfId="0" applyFont="1" applyFill="1">
      <alignment vertical="center"/>
    </xf>
    <xf numFmtId="0" fontId="172" fillId="3" borderId="0" xfId="0" applyFont="1" applyFill="1">
      <alignment vertical="center"/>
    </xf>
    <xf numFmtId="1" fontId="165" fillId="3" borderId="0" xfId="0" applyNumberFormat="1" applyFont="1" applyFill="1">
      <alignment vertical="center"/>
    </xf>
    <xf numFmtId="1" fontId="165" fillId="0" borderId="0" xfId="0" applyNumberFormat="1" applyFont="1">
      <alignment vertical="center"/>
    </xf>
    <xf numFmtId="0" fontId="235" fillId="0" borderId="0" xfId="2" applyNumberFormat="1" applyFont="1" applyFill="1" applyBorder="1" applyAlignment="1">
      <alignment horizontal="center" vertical="center" wrapText="1"/>
    </xf>
    <xf numFmtId="0" fontId="236" fillId="0" borderId="0" xfId="16" applyFont="1" applyAlignment="1">
      <alignment horizontal="center" vertical="center" wrapText="1"/>
    </xf>
    <xf numFmtId="14" fontId="235" fillId="0" borderId="0" xfId="16" applyNumberFormat="1" applyFont="1" applyAlignment="1">
      <alignment horizontal="center" vertical="center" wrapText="1"/>
    </xf>
    <xf numFmtId="0" fontId="235" fillId="0" borderId="0" xfId="16" applyFont="1" applyAlignment="1">
      <alignment horizontal="center" vertical="center" wrapText="1"/>
    </xf>
    <xf numFmtId="176" fontId="235" fillId="0" borderId="0" xfId="16" applyNumberFormat="1" applyFont="1" applyAlignment="1">
      <alignment horizontal="center" vertical="center" wrapText="1"/>
    </xf>
    <xf numFmtId="0" fontId="235" fillId="0" borderId="0" xfId="18" applyFont="1" applyAlignment="1">
      <alignment horizontal="center" vertical="center" wrapText="1"/>
    </xf>
    <xf numFmtId="176" fontId="235" fillId="0" borderId="0" xfId="18" applyNumberFormat="1" applyFont="1" applyAlignment="1">
      <alignment horizontal="center" vertical="center" wrapText="1"/>
    </xf>
    <xf numFmtId="14" fontId="235" fillId="0" borderId="0" xfId="18" applyNumberFormat="1" applyFont="1" applyAlignment="1">
      <alignment horizontal="center" vertical="center" wrapText="1"/>
    </xf>
    <xf numFmtId="0" fontId="238" fillId="0" borderId="0" xfId="16" applyFont="1" applyAlignment="1">
      <alignment horizontal="center" vertical="center" wrapText="1"/>
    </xf>
    <xf numFmtId="0" fontId="236" fillId="0" borderId="0" xfId="19" applyFont="1" applyAlignment="1">
      <alignment horizontal="center" vertical="center" wrapText="1"/>
    </xf>
    <xf numFmtId="0" fontId="236" fillId="0" borderId="0" xfId="2" applyNumberFormat="1" applyFont="1" applyFill="1" applyBorder="1" applyAlignment="1">
      <alignment horizontal="center" vertical="center" wrapText="1"/>
    </xf>
    <xf numFmtId="0" fontId="235" fillId="0" borderId="0" xfId="20" applyNumberFormat="1" applyFont="1" applyFill="1" applyBorder="1" applyAlignment="1">
      <alignment horizontal="center" vertical="center" wrapText="1"/>
    </xf>
    <xf numFmtId="0" fontId="235" fillId="0" borderId="0" xfId="21" applyFont="1" applyAlignment="1">
      <alignment horizontal="center" vertical="center" wrapText="1"/>
    </xf>
    <xf numFmtId="0" fontId="241" fillId="0" borderId="0" xfId="18" applyFont="1" applyAlignment="1">
      <alignment horizontal="center" vertical="center" wrapText="1"/>
    </xf>
    <xf numFmtId="0" fontId="242" fillId="0" borderId="0" xfId="2" applyNumberFormat="1" applyFont="1" applyFill="1" applyBorder="1" applyAlignment="1">
      <alignment horizontal="center" vertical="center" wrapText="1"/>
    </xf>
    <xf numFmtId="0" fontId="242" fillId="0" borderId="0" xfId="16" applyFont="1" applyAlignment="1">
      <alignment horizontal="center" vertical="center" wrapText="1"/>
    </xf>
    <xf numFmtId="176" fontId="242" fillId="0" borderId="0" xfId="16" applyNumberFormat="1" applyFont="1" applyAlignment="1">
      <alignment horizontal="center" vertical="center" wrapText="1"/>
    </xf>
    <xf numFmtId="14" fontId="242" fillId="0" borderId="0" xfId="16" applyNumberFormat="1" applyFont="1" applyAlignment="1">
      <alignment horizontal="center" vertical="center" wrapText="1"/>
    </xf>
    <xf numFmtId="0" fontId="237" fillId="23" borderId="0" xfId="22" applyNumberFormat="1" applyFont="1" applyFill="1" applyBorder="1" applyAlignment="1">
      <alignment horizontal="center" vertical="center" wrapText="1"/>
    </xf>
    <xf numFmtId="0" fontId="237" fillId="23" borderId="0" xfId="16" applyFont="1" applyFill="1" applyAlignment="1">
      <alignment horizontal="center" vertical="center" wrapText="1"/>
    </xf>
    <xf numFmtId="176" fontId="237" fillId="23" borderId="0" xfId="16" applyNumberFormat="1" applyFont="1" applyFill="1" applyAlignment="1">
      <alignment horizontal="center" vertical="center" wrapText="1"/>
    </xf>
    <xf numFmtId="0" fontId="243" fillId="23" borderId="0" xfId="16" applyFont="1" applyFill="1" applyAlignment="1">
      <alignment horizontal="center" vertical="center" wrapText="1"/>
    </xf>
    <xf numFmtId="0" fontId="244" fillId="23" borderId="0" xfId="22" applyNumberFormat="1" applyFont="1" applyFill="1" applyBorder="1" applyAlignment="1">
      <alignment horizontal="center" vertical="center" wrapText="1"/>
    </xf>
    <xf numFmtId="0" fontId="244" fillId="23" borderId="0" xfId="16" applyFont="1" applyFill="1" applyAlignment="1">
      <alignment horizontal="center" vertical="center" wrapText="1"/>
    </xf>
    <xf numFmtId="176" fontId="244" fillId="23" borderId="0" xfId="16" applyNumberFormat="1" applyFont="1" applyFill="1" applyAlignment="1">
      <alignment horizontal="center" vertical="center" wrapText="1"/>
    </xf>
    <xf numFmtId="14" fontId="244" fillId="23" borderId="0" xfId="16" applyNumberFormat="1" applyFont="1" applyFill="1" applyAlignment="1">
      <alignment horizontal="center" vertical="center" wrapText="1"/>
    </xf>
    <xf numFmtId="0" fontId="236" fillId="23" borderId="0" xfId="17" applyNumberFormat="1" applyFont="1" applyFill="1" applyBorder="1" applyAlignment="1">
      <alignment horizontal="center" vertical="center" wrapText="1"/>
    </xf>
    <xf numFmtId="0" fontId="235" fillId="23" borderId="0" xfId="18" applyFont="1" applyFill="1" applyAlignment="1">
      <alignment horizontal="center" vertical="center" wrapText="1"/>
    </xf>
    <xf numFmtId="176" fontId="235" fillId="23" borderId="0" xfId="18" applyNumberFormat="1" applyFont="1" applyFill="1" applyAlignment="1">
      <alignment horizontal="center" vertical="center" wrapText="1"/>
    </xf>
    <xf numFmtId="0" fontId="236" fillId="23" borderId="0" xfId="18" applyFont="1" applyFill="1" applyAlignment="1">
      <alignment horizontal="center" vertical="center" wrapText="1"/>
    </xf>
    <xf numFmtId="14" fontId="235" fillId="23" borderId="0" xfId="18" applyNumberFormat="1" applyFont="1" applyFill="1" applyAlignment="1">
      <alignment horizontal="center" vertical="center" wrapText="1"/>
    </xf>
    <xf numFmtId="195" fontId="235" fillId="23" borderId="0" xfId="18" applyNumberFormat="1" applyFont="1" applyFill="1" applyAlignment="1">
      <alignment horizontal="center" vertical="center" wrapText="1"/>
    </xf>
    <xf numFmtId="0" fontId="237" fillId="23" borderId="0" xfId="18" applyFont="1" applyFill="1" applyAlignment="1">
      <alignment horizontal="center" vertical="center" wrapText="1"/>
    </xf>
    <xf numFmtId="49" fontId="235" fillId="23" borderId="0" xfId="18" applyNumberFormat="1" applyFont="1" applyFill="1" applyAlignment="1">
      <alignment horizontal="center" vertical="center" wrapText="1"/>
    </xf>
    <xf numFmtId="176" fontId="236" fillId="23" borderId="0" xfId="18" applyNumberFormat="1" applyFont="1" applyFill="1" applyAlignment="1">
      <alignment horizontal="center" vertical="center" wrapText="1"/>
    </xf>
    <xf numFmtId="14" fontId="236" fillId="23" borderId="0" xfId="18" applyNumberFormat="1" applyFont="1" applyFill="1" applyAlignment="1">
      <alignment horizontal="center" vertical="center" wrapText="1"/>
    </xf>
    <xf numFmtId="195" fontId="236" fillId="23" borderId="0" xfId="18" applyNumberFormat="1" applyFont="1" applyFill="1" applyAlignment="1">
      <alignment horizontal="center" vertical="center" wrapText="1"/>
    </xf>
    <xf numFmtId="0" fontId="238" fillId="23" borderId="0" xfId="18" applyFont="1" applyFill="1" applyAlignment="1">
      <alignment horizontal="center" vertical="center" wrapText="1"/>
    </xf>
    <xf numFmtId="0" fontId="239" fillId="23" borderId="0" xfId="19" applyFont="1" applyFill="1" applyAlignment="1">
      <alignment horizontal="center" vertical="center" wrapText="1"/>
    </xf>
    <xf numFmtId="0" fontId="240" fillId="23" borderId="0" xfId="18" applyFont="1" applyFill="1" applyAlignment="1">
      <alignment horizontal="center" vertical="center" wrapText="1"/>
    </xf>
    <xf numFmtId="176" fontId="238" fillId="23" borderId="0" xfId="18" applyNumberFormat="1" applyFont="1" applyFill="1" applyAlignment="1">
      <alignment horizontal="center" vertical="center" wrapText="1"/>
    </xf>
    <xf numFmtId="0" fontId="232" fillId="23" borderId="169" xfId="0" applyFont="1" applyFill="1" applyBorder="1" applyAlignment="1">
      <alignment horizontal="center" vertical="center" wrapText="1"/>
    </xf>
    <xf numFmtId="0" fontId="232" fillId="23" borderId="170" xfId="0" applyFont="1" applyFill="1" applyBorder="1" applyAlignment="1">
      <alignment horizontal="center" vertical="center" wrapText="1"/>
    </xf>
    <xf numFmtId="14" fontId="232" fillId="23" borderId="170" xfId="0" applyNumberFormat="1" applyFont="1" applyFill="1" applyBorder="1" applyAlignment="1">
      <alignment horizontal="center" vertical="center" wrapText="1"/>
    </xf>
    <xf numFmtId="0" fontId="232" fillId="23" borderId="171" xfId="0" applyFont="1" applyFill="1" applyBorder="1" applyAlignment="1">
      <alignment horizontal="center" vertical="center" wrapText="1"/>
    </xf>
    <xf numFmtId="0" fontId="0" fillId="23" borderId="0" xfId="0" applyFill="1" applyAlignment="1"/>
    <xf numFmtId="0" fontId="68" fillId="2" borderId="0" xfId="0" applyFont="1" applyFill="1" applyAlignment="1" applyProtection="1">
      <alignment horizontal="center" vertical="center"/>
      <protection locked="0"/>
    </xf>
    <xf numFmtId="0" fontId="68" fillId="3" borderId="0" xfId="0" applyFont="1" applyFill="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245" fillId="3" borderId="0" xfId="0" applyFont="1" applyFill="1" applyAlignment="1" applyProtection="1">
      <alignment horizontal="center" vertical="center"/>
      <protection locked="0"/>
    </xf>
    <xf numFmtId="0" fontId="246" fillId="0" borderId="0" xfId="0" applyFont="1" applyAlignment="1"/>
    <xf numFmtId="0" fontId="0" fillId="3" borderId="0" xfId="0" applyFill="1" applyAlignment="1"/>
    <xf numFmtId="0" fontId="105" fillId="2" borderId="0" xfId="10" applyFont="1" applyFill="1" applyAlignment="1" applyProtection="1">
      <alignment horizontal="left" vertical="center"/>
    </xf>
    <xf numFmtId="0" fontId="105" fillId="2" borderId="1" xfId="10" applyFont="1" applyFill="1" applyBorder="1" applyAlignment="1" applyProtection="1">
      <alignment horizontal="center" vertical="center"/>
    </xf>
    <xf numFmtId="0" fontId="17" fillId="2" borderId="11" xfId="10" applyFont="1" applyFill="1" applyBorder="1" applyAlignment="1" applyProtection="1">
      <alignment horizontal="center" vertical="center" wrapText="1"/>
      <protection locked="0"/>
    </xf>
    <xf numFmtId="0" fontId="106" fillId="2" borderId="0" xfId="10" applyFont="1" applyFill="1" applyAlignment="1" applyProtection="1">
      <alignment horizontal="center" vertical="center"/>
    </xf>
    <xf numFmtId="0" fontId="248" fillId="0" borderId="14" xfId="0" applyFont="1" applyBorder="1" applyAlignment="1" applyProtection="1">
      <alignment horizontal="left" vertical="center" wrapText="1"/>
      <protection locked="0"/>
    </xf>
    <xf numFmtId="0" fontId="249" fillId="0" borderId="15" xfId="0" applyFont="1" applyBorder="1" applyAlignment="1" applyProtection="1">
      <alignment horizontal="left" vertical="center"/>
      <protection locked="0"/>
    </xf>
    <xf numFmtId="49" fontId="248" fillId="0" borderId="14" xfId="0" applyNumberFormat="1" applyFont="1" applyFill="1" applyBorder="1" applyAlignment="1" applyProtection="1">
      <alignment horizontal="left" vertical="center" wrapText="1"/>
      <protection locked="0"/>
    </xf>
    <xf numFmtId="0" fontId="250" fillId="0" borderId="67" xfId="0" applyFont="1" applyBorder="1" applyAlignment="1">
      <alignment horizontal="center" vertical="center"/>
    </xf>
    <xf numFmtId="0" fontId="250" fillId="0" borderId="67" xfId="0" applyFont="1" applyBorder="1" applyAlignment="1">
      <alignment horizontal="center" vertical="center" wrapText="1"/>
    </xf>
    <xf numFmtId="0" fontId="250" fillId="3" borderId="67" xfId="0" applyFont="1" applyFill="1" applyBorder="1" applyAlignment="1">
      <alignment horizontal="center" vertical="center" wrapText="1"/>
    </xf>
    <xf numFmtId="0" fontId="251" fillId="0" borderId="29" xfId="0" applyNumberFormat="1" applyFont="1" applyFill="1" applyBorder="1" applyAlignment="1" applyProtection="1">
      <alignment horizontal="center" vertical="center" wrapText="1"/>
      <protection locked="0"/>
    </xf>
    <xf numFmtId="0" fontId="251" fillId="0" borderId="85" xfId="0" applyNumberFormat="1" applyFont="1" applyFill="1" applyBorder="1" applyAlignment="1" applyProtection="1">
      <alignment horizontal="center" vertical="center" wrapText="1"/>
      <protection locked="0"/>
    </xf>
    <xf numFmtId="0" fontId="252" fillId="0" borderId="5" xfId="0" applyNumberFormat="1" applyFont="1" applyFill="1" applyBorder="1" applyAlignment="1" applyProtection="1">
      <alignment horizontal="center" vertical="center" wrapText="1"/>
      <protection locked="0"/>
    </xf>
    <xf numFmtId="0" fontId="252" fillId="0" borderId="85" xfId="0" applyNumberFormat="1" applyFont="1" applyFill="1" applyBorder="1" applyAlignment="1" applyProtection="1">
      <alignment horizontal="center" vertical="center" wrapText="1"/>
      <protection locked="0"/>
    </xf>
    <xf numFmtId="49" fontId="139" fillId="24" borderId="6" xfId="0" applyNumberFormat="1" applyFont="1" applyFill="1" applyBorder="1" applyAlignment="1" applyProtection="1">
      <alignment horizontal="center" vertical="center" wrapText="1"/>
      <protection locked="0"/>
    </xf>
    <xf numFmtId="0" fontId="139" fillId="24" borderId="4" xfId="0" applyFont="1" applyFill="1" applyBorder="1" applyAlignment="1" applyProtection="1">
      <alignment horizontal="center" vertical="center" wrapText="1"/>
      <protection locked="0"/>
    </xf>
    <xf numFmtId="0" fontId="247" fillId="0" borderId="14" xfId="0" applyFont="1" applyBorder="1" applyAlignment="1" applyProtection="1">
      <alignment horizontal="left" vertical="center" wrapText="1"/>
      <protection locked="0"/>
    </xf>
    <xf numFmtId="49" fontId="253" fillId="0" borderId="71" xfId="0" applyNumberFormat="1" applyFont="1" applyFill="1" applyBorder="1" applyAlignment="1" applyProtection="1">
      <alignment horizontal="center" vertical="center" wrapText="1"/>
      <protection locked="0"/>
    </xf>
    <xf numFmtId="49" fontId="254" fillId="0" borderId="74" xfId="0" applyNumberFormat="1" applyFont="1" applyFill="1" applyBorder="1" applyAlignment="1" applyProtection="1">
      <alignment horizontal="center" vertical="center" wrapText="1"/>
      <protection locked="0"/>
    </xf>
    <xf numFmtId="49" fontId="253" fillId="0" borderId="58" xfId="0" applyNumberFormat="1" applyFont="1" applyFill="1" applyBorder="1" applyAlignment="1" applyProtection="1">
      <alignment horizontal="center" vertical="center" wrapText="1"/>
      <protection locked="0"/>
    </xf>
    <xf numFmtId="49" fontId="253" fillId="0" borderId="74" xfId="0" applyNumberFormat="1" applyFont="1" applyFill="1" applyBorder="1" applyAlignment="1" applyProtection="1">
      <alignment horizontal="center" vertical="center" wrapText="1"/>
      <protection locked="0"/>
    </xf>
    <xf numFmtId="49" fontId="251" fillId="0" borderId="81" xfId="0" applyNumberFormat="1" applyFont="1" applyFill="1" applyBorder="1" applyAlignment="1" applyProtection="1">
      <alignment horizontal="center" vertical="center" wrapText="1"/>
      <protection locked="0"/>
    </xf>
    <xf numFmtId="10" fontId="47" fillId="0" borderId="1" xfId="0" applyNumberFormat="1" applyFont="1" applyFill="1" applyBorder="1" applyAlignment="1" applyProtection="1">
      <alignment horizontal="center" vertical="center"/>
      <protection locked="0"/>
    </xf>
    <xf numFmtId="0" fontId="255" fillId="3" borderId="1" xfId="7" applyFont="1" applyFill="1" applyBorder="1" applyAlignment="1">
      <alignment horizontal="center" vertical="center" wrapText="1"/>
    </xf>
    <xf numFmtId="0" fontId="255" fillId="3" borderId="35" xfId="7" applyFont="1" applyFill="1" applyBorder="1" applyAlignment="1">
      <alignment horizontal="center" vertical="center" wrapText="1"/>
    </xf>
    <xf numFmtId="0" fontId="89" fillId="0" borderId="0" xfId="7">
      <alignment vertical="center"/>
    </xf>
    <xf numFmtId="0" fontId="89" fillId="25" borderId="1" xfId="7" applyFill="1" applyBorder="1" applyAlignment="1">
      <alignment horizontal="center" vertical="center" wrapText="1"/>
    </xf>
    <xf numFmtId="0" fontId="89" fillId="3" borderId="1" xfId="7" applyFill="1" applyBorder="1" applyAlignment="1">
      <alignment horizontal="center" vertical="center" wrapText="1"/>
    </xf>
    <xf numFmtId="0" fontId="256" fillId="3" borderId="1" xfId="7" applyFont="1" applyFill="1" applyBorder="1" applyAlignment="1">
      <alignment horizontal="center" vertical="center" wrapText="1"/>
    </xf>
    <xf numFmtId="0" fontId="256" fillId="25" borderId="1" xfId="7" applyFont="1" applyFill="1" applyBorder="1" applyAlignment="1">
      <alignment horizontal="center" vertical="center" wrapText="1"/>
    </xf>
    <xf numFmtId="0" fontId="102" fillId="25" borderId="1" xfId="7" applyFont="1" applyFill="1" applyBorder="1" applyAlignment="1">
      <alignment horizontal="center" vertical="center" wrapText="1"/>
    </xf>
    <xf numFmtId="0" fontId="86" fillId="0" borderId="0" xfId="7" applyFont="1">
      <alignment vertical="center"/>
    </xf>
    <xf numFmtId="0" fontId="102" fillId="25" borderId="1" xfId="7" applyFont="1" applyFill="1" applyBorder="1" applyAlignment="1">
      <alignment horizontal="center" vertical="center"/>
    </xf>
    <xf numFmtId="0" fontId="102" fillId="3" borderId="1" xfId="7" applyFont="1" applyFill="1" applyBorder="1" applyAlignment="1">
      <alignment horizontal="center" vertical="center" wrapText="1"/>
    </xf>
    <xf numFmtId="0" fontId="257" fillId="0" borderId="0" xfId="7" applyFont="1">
      <alignment vertical="center"/>
    </xf>
    <xf numFmtId="0" fontId="259" fillId="0" borderId="45" xfId="7" applyFont="1" applyBorder="1" applyAlignment="1">
      <alignment horizontal="center" vertical="center" wrapText="1"/>
    </xf>
    <xf numFmtId="0" fontId="259" fillId="0" borderId="48" xfId="7" applyFont="1" applyBorder="1" applyAlignment="1">
      <alignment horizontal="center" vertical="center" wrapText="1"/>
    </xf>
    <xf numFmtId="0" fontId="259" fillId="0" borderId="67" xfId="7" applyFont="1" applyBorder="1" applyAlignment="1">
      <alignment horizontal="center" vertical="center" wrapText="1"/>
    </xf>
    <xf numFmtId="0" fontId="89" fillId="0" borderId="67" xfId="7" applyBorder="1" applyAlignment="1">
      <alignment vertical="center" wrapText="1"/>
    </xf>
    <xf numFmtId="0" fontId="262" fillId="0" borderId="48" xfId="7" applyFont="1" applyBorder="1" applyAlignment="1">
      <alignment horizontal="center" vertical="center" wrapText="1"/>
    </xf>
    <xf numFmtId="0" fontId="262" fillId="0" borderId="67" xfId="7" applyFont="1" applyBorder="1" applyAlignment="1">
      <alignment horizontal="center" vertical="center" wrapText="1"/>
    </xf>
    <xf numFmtId="0" fontId="260" fillId="0" borderId="0" xfId="7" applyFont="1" applyAlignment="1">
      <alignment vertical="center" wrapText="1"/>
    </xf>
    <xf numFmtId="0" fontId="262" fillId="0" borderId="174" xfId="7" applyFont="1" applyBorder="1" applyAlignment="1">
      <alignment horizontal="center" vertical="center" wrapText="1"/>
    </xf>
    <xf numFmtId="179" fontId="263" fillId="0" borderId="67" xfId="7" applyNumberFormat="1" applyFont="1" applyBorder="1" applyAlignment="1">
      <alignment horizontal="center" vertical="center" wrapText="1"/>
    </xf>
    <xf numFmtId="0" fontId="263" fillId="0" borderId="67" xfId="7" applyFont="1" applyBorder="1" applyAlignment="1">
      <alignment horizontal="center" vertical="center" wrapText="1"/>
    </xf>
    <xf numFmtId="0" fontId="263" fillId="0" borderId="67" xfId="7" applyFont="1" applyBorder="1" applyAlignment="1">
      <alignment horizontal="right" vertical="center" wrapText="1"/>
    </xf>
    <xf numFmtId="179" fontId="153" fillId="0" borderId="67" xfId="7" applyNumberFormat="1" applyFont="1" applyBorder="1" applyAlignment="1">
      <alignment horizontal="center" vertical="center" wrapText="1"/>
    </xf>
    <xf numFmtId="0" fontId="153" fillId="0" borderId="67" xfId="7" applyFont="1" applyBorder="1" applyAlignment="1">
      <alignment horizontal="center" vertical="center" wrapText="1"/>
    </xf>
    <xf numFmtId="0" fontId="153" fillId="0" borderId="67" xfId="7" applyFont="1" applyBorder="1" applyAlignment="1">
      <alignment horizontal="right" vertical="center" wrapText="1"/>
    </xf>
    <xf numFmtId="2" fontId="153" fillId="0" borderId="67" xfId="7" applyNumberFormat="1" applyFont="1" applyBorder="1" applyAlignment="1">
      <alignment horizontal="center" vertical="center" wrapText="1"/>
    </xf>
    <xf numFmtId="0" fontId="264" fillId="0" borderId="1" xfId="7" applyFont="1" applyBorder="1" applyAlignment="1">
      <alignment horizontal="center" vertical="center" wrapText="1"/>
    </xf>
    <xf numFmtId="0" fontId="89" fillId="0" borderId="0" xfId="7" applyAlignment="1">
      <alignment horizontal="center" vertical="center"/>
    </xf>
    <xf numFmtId="0" fontId="264" fillId="0" borderId="1" xfId="7" applyFont="1" applyBorder="1" applyAlignment="1">
      <alignment horizontal="center" vertical="center"/>
    </xf>
    <xf numFmtId="0" fontId="265" fillId="0" borderId="1" xfId="7" applyFont="1" applyBorder="1" applyAlignment="1">
      <alignment horizontal="center" vertical="center"/>
    </xf>
    <xf numFmtId="2" fontId="259" fillId="0" borderId="1" xfId="7" applyNumberFormat="1" applyFont="1" applyBorder="1" applyAlignment="1">
      <alignment horizontal="center" vertical="center" wrapText="1"/>
    </xf>
    <xf numFmtId="192" fontId="267" fillId="0" borderId="1" xfId="7" applyNumberFormat="1" applyFont="1" applyBorder="1" applyAlignment="1">
      <alignment horizontal="center" vertical="center"/>
    </xf>
    <xf numFmtId="0" fontId="262" fillId="0" borderId="1" xfId="7" applyFont="1" applyBorder="1" applyAlignment="1">
      <alignment horizontal="center" vertical="center" wrapText="1"/>
    </xf>
    <xf numFmtId="2" fontId="265" fillId="0" borderId="1" xfId="7" applyNumberFormat="1" applyFont="1" applyBorder="1" applyAlignment="1">
      <alignment horizontal="center" vertical="center"/>
    </xf>
    <xf numFmtId="192" fontId="265" fillId="0" borderId="1" xfId="7" applyNumberFormat="1" applyFont="1" applyBorder="1" applyAlignment="1">
      <alignment horizontal="center" vertical="center"/>
    </xf>
    <xf numFmtId="179" fontId="259" fillId="0" borderId="1" xfId="7" applyNumberFormat="1" applyFont="1" applyBorder="1" applyAlignment="1">
      <alignment horizontal="center" vertical="center" wrapText="1"/>
    </xf>
    <xf numFmtId="179" fontId="4" fillId="0" borderId="1" xfId="7" applyNumberFormat="1" applyFont="1" applyBorder="1" applyAlignment="1">
      <alignment horizontal="center" vertical="center"/>
    </xf>
    <xf numFmtId="192" fontId="4" fillId="0" borderId="1" xfId="7" applyNumberFormat="1" applyFont="1" applyBorder="1" applyAlignment="1">
      <alignment horizontal="center" vertical="center"/>
    </xf>
    <xf numFmtId="196" fontId="263" fillId="0" borderId="67" xfId="7" applyNumberFormat="1" applyFont="1" applyBorder="1" applyAlignment="1">
      <alignment horizontal="right" vertical="center" wrapText="1"/>
    </xf>
    <xf numFmtId="0" fontId="267" fillId="0" borderId="1" xfId="7" applyFont="1" applyBorder="1" applyAlignment="1">
      <alignment horizontal="center" vertical="center"/>
    </xf>
    <xf numFmtId="0" fontId="4" fillId="0" borderId="1" xfId="7" applyFont="1" applyBorder="1" applyAlignment="1">
      <alignment horizontal="center" vertical="center"/>
    </xf>
    <xf numFmtId="0" fontId="86" fillId="0" borderId="20" xfId="7" applyFont="1" applyBorder="1" applyAlignment="1">
      <alignment vertical="center"/>
    </xf>
    <xf numFmtId="0" fontId="89" fillId="0" borderId="0" xfId="7" applyAlignment="1">
      <alignment vertical="center"/>
    </xf>
    <xf numFmtId="0" fontId="268" fillId="0" borderId="0" xfId="0" applyFont="1">
      <alignment vertical="center"/>
    </xf>
    <xf numFmtId="0" fontId="80" fillId="0" borderId="67" xfId="0" applyFont="1" applyBorder="1" applyAlignment="1">
      <alignment vertical="center" wrapText="1"/>
    </xf>
    <xf numFmtId="0" fontId="80" fillId="0" borderId="100" xfId="0" applyFont="1" applyBorder="1" applyAlignment="1">
      <alignment vertical="center" wrapText="1"/>
    </xf>
    <xf numFmtId="0" fontId="153" fillId="0" borderId="174" xfId="0" applyFont="1" applyBorder="1" applyAlignment="1">
      <alignment vertical="center" wrapText="1"/>
    </xf>
    <xf numFmtId="0" fontId="80" fillId="0" borderId="172" xfId="0" applyFont="1" applyBorder="1" applyAlignment="1">
      <alignment vertical="center" wrapText="1"/>
    </xf>
    <xf numFmtId="0" fontId="134" fillId="2" borderId="104" xfId="7" applyFont="1" applyFill="1" applyBorder="1" applyAlignment="1" applyProtection="1">
      <alignment horizontal="left" vertical="center"/>
    </xf>
    <xf numFmtId="0" fontId="69" fillId="11" borderId="0" xfId="8" applyFont="1" applyFill="1" applyBorder="1" applyAlignment="1" applyProtection="1">
      <alignment horizontal="left" vertical="center"/>
      <protection locked="0"/>
    </xf>
    <xf numFmtId="0" fontId="69" fillId="0" borderId="0" xfId="4" applyFont="1" applyFill="1" applyBorder="1" applyAlignment="1" applyProtection="1">
      <alignment horizontal="left" vertical="center"/>
      <protection locked="0"/>
    </xf>
    <xf numFmtId="0" fontId="69" fillId="12" borderId="0" xfId="4" applyFont="1" applyFill="1" applyBorder="1" applyAlignment="1" applyProtection="1">
      <alignment horizontal="left" vertical="center"/>
      <protection locked="0"/>
    </xf>
    <xf numFmtId="0" fontId="82" fillId="9" borderId="107" xfId="8" applyFont="1" applyFill="1" applyBorder="1" applyAlignment="1" applyProtection="1">
      <alignment horizontal="left" vertical="center" wrapText="1"/>
    </xf>
    <xf numFmtId="0" fontId="82" fillId="9" borderId="107" xfId="4" applyFont="1" applyFill="1" applyBorder="1" applyAlignment="1" applyProtection="1">
      <alignment horizontal="left" vertical="center" wrapText="1"/>
    </xf>
    <xf numFmtId="0" fontId="82" fillId="13" borderId="108" xfId="4" applyFont="1" applyFill="1" applyBorder="1" applyAlignment="1" applyProtection="1">
      <alignment horizontal="left" vertical="center" wrapText="1"/>
    </xf>
    <xf numFmtId="0" fontId="82" fillId="13" borderId="107" xfId="4" applyFont="1" applyFill="1" applyBorder="1" applyAlignment="1" applyProtection="1">
      <alignment horizontal="left" vertical="center" wrapText="1"/>
    </xf>
    <xf numFmtId="0" fontId="82" fillId="13" borderId="115" xfId="4" applyFont="1" applyFill="1" applyBorder="1" applyAlignment="1" applyProtection="1">
      <alignment horizontal="left" vertical="center" wrapText="1"/>
    </xf>
    <xf numFmtId="0" fontId="82" fillId="9" borderId="108" xfId="4" applyFont="1" applyFill="1" applyBorder="1" applyAlignment="1" applyProtection="1">
      <alignment horizontal="left" vertical="center" wrapText="1"/>
    </xf>
    <xf numFmtId="0" fontId="82" fillId="3" borderId="107" xfId="4" applyFont="1" applyFill="1" applyBorder="1" applyAlignment="1" applyProtection="1">
      <alignment horizontal="left" vertical="center" wrapText="1"/>
    </xf>
    <xf numFmtId="0" fontId="82" fillId="9" borderId="118" xfId="4" applyFont="1" applyFill="1" applyBorder="1" applyAlignment="1" applyProtection="1">
      <alignment horizontal="left" vertical="center" wrapText="1"/>
    </xf>
    <xf numFmtId="0" fontId="82" fillId="13" borderId="119" xfId="4" applyFont="1" applyFill="1" applyBorder="1" applyAlignment="1" applyProtection="1">
      <alignment horizontal="left" vertical="center" wrapText="1"/>
    </xf>
    <xf numFmtId="191" fontId="82" fillId="3" borderId="0" xfId="4" applyNumberFormat="1" applyFont="1" applyFill="1" applyAlignment="1">
      <alignment horizontal="left" vertical="center"/>
    </xf>
    <xf numFmtId="49" fontId="269" fillId="0" borderId="13" xfId="0" applyNumberFormat="1" applyFont="1" applyFill="1" applyBorder="1" applyAlignment="1" applyProtection="1">
      <alignment horizontal="left" vertical="center" wrapText="1"/>
      <protection locked="0"/>
    </xf>
    <xf numFmtId="0" fontId="272" fillId="23" borderId="170" xfId="0" applyFont="1" applyFill="1" applyBorder="1" applyAlignment="1">
      <alignment horizontal="center" vertical="center" wrapText="1"/>
    </xf>
    <xf numFmtId="0" fontId="89" fillId="23" borderId="0" xfId="0" applyFont="1" applyFill="1" applyAlignment="1"/>
    <xf numFmtId="0" fontId="273" fillId="0" borderId="0" xfId="20" applyNumberFormat="1" applyFont="1" applyFill="1" applyBorder="1" applyAlignment="1">
      <alignment horizontal="center" vertical="center" wrapText="1"/>
    </xf>
    <xf numFmtId="0" fontId="273" fillId="0" borderId="0" xfId="16" applyFont="1" applyAlignment="1">
      <alignment horizontal="center" vertical="center" wrapText="1"/>
    </xf>
    <xf numFmtId="176" fontId="273" fillId="0" borderId="0" xfId="16" applyNumberFormat="1" applyFont="1" applyAlignment="1">
      <alignment horizontal="center" vertical="center" wrapText="1"/>
    </xf>
    <xf numFmtId="0" fontId="274" fillId="0" borderId="0" xfId="16" applyFont="1" applyAlignment="1">
      <alignment horizontal="center" vertical="center" wrapText="1"/>
    </xf>
    <xf numFmtId="14" fontId="275" fillId="0" borderId="0" xfId="18" applyNumberFormat="1" applyFont="1" applyAlignment="1">
      <alignment horizontal="center" vertical="center" wrapText="1"/>
    </xf>
    <xf numFmtId="0" fontId="275" fillId="0" borderId="0" xfId="16" applyFont="1" applyAlignment="1">
      <alignment horizontal="center" vertical="center" wrapText="1"/>
    </xf>
    <xf numFmtId="0" fontId="239" fillId="0" borderId="0" xfId="19" applyFont="1" applyAlignment="1">
      <alignment horizontal="center" vertical="center" wrapText="1"/>
    </xf>
    <xf numFmtId="0" fontId="240" fillId="0" borderId="0" xfId="16" applyFont="1" applyAlignment="1">
      <alignment horizontal="center" vertical="center" wrapText="1"/>
    </xf>
    <xf numFmtId="0" fontId="235" fillId="26" borderId="0" xfId="2" applyNumberFormat="1" applyFont="1" applyFill="1" applyBorder="1" applyAlignment="1">
      <alignment horizontal="center" vertical="center" wrapText="1"/>
    </xf>
    <xf numFmtId="0" fontId="236" fillId="26" borderId="0" xfId="16" applyFont="1" applyFill="1" applyAlignment="1">
      <alignment horizontal="center" vertical="center" wrapText="1"/>
    </xf>
    <xf numFmtId="176" fontId="236" fillId="26" borderId="0" xfId="16" applyNumberFormat="1" applyFont="1" applyFill="1" applyAlignment="1">
      <alignment horizontal="center" vertical="center" wrapText="1"/>
    </xf>
    <xf numFmtId="0" fontId="235" fillId="26" borderId="0" xfId="16" applyFont="1" applyFill="1" applyAlignment="1">
      <alignment horizontal="center" vertical="center" wrapText="1"/>
    </xf>
    <xf numFmtId="14" fontId="235" fillId="26" borderId="0" xfId="16" applyNumberFormat="1" applyFont="1" applyFill="1" applyAlignment="1">
      <alignment horizontal="center" vertical="center" wrapText="1"/>
    </xf>
    <xf numFmtId="0" fontId="0" fillId="26" borderId="0" xfId="0" applyFill="1">
      <alignment vertical="center"/>
    </xf>
    <xf numFmtId="0" fontId="102" fillId="26" borderId="0" xfId="7" applyFont="1" applyFill="1">
      <alignment vertical="center"/>
    </xf>
    <xf numFmtId="0" fontId="191" fillId="0" borderId="0" xfId="14" applyFont="1" applyAlignment="1" applyProtection="1">
      <alignment horizontal="left" vertical="top"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3" fillId="0" borderId="11" xfId="0" applyFont="1" applyBorder="1" applyAlignment="1">
      <alignment horizontal="center" vertical="center" wrapText="1"/>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1" fillId="0" borderId="1" xfId="0" applyFont="1" applyFill="1" applyBorder="1" applyAlignment="1" applyProtection="1">
      <alignment horizontal="center" vertical="center" wrapText="1"/>
      <protection locked="0"/>
    </xf>
    <xf numFmtId="0" fontId="179" fillId="0" borderId="0" xfId="0" applyFont="1" applyAlignment="1">
      <alignment horizontal="center" vertical="center"/>
    </xf>
    <xf numFmtId="0" fontId="180" fillId="0" borderId="1" xfId="0" applyFont="1" applyBorder="1" applyAlignment="1" applyProtection="1">
      <alignment horizontal="center" vertical="center" wrapText="1"/>
    </xf>
    <xf numFmtId="0" fontId="177" fillId="0" borderId="0" xfId="0" applyFont="1" applyAlignment="1">
      <alignment vertical="center" wrapText="1"/>
    </xf>
    <xf numFmtId="0" fontId="177" fillId="0" borderId="0" xfId="0" applyFont="1" applyAlignment="1" applyProtection="1">
      <alignment vertical="center" wrapText="1"/>
    </xf>
    <xf numFmtId="0" fontId="169" fillId="0" borderId="0" xfId="0" applyFont="1" applyAlignment="1" applyProtection="1">
      <alignment vertical="center" wrapText="1"/>
      <protection locked="0"/>
    </xf>
    <xf numFmtId="49" fontId="169" fillId="0" borderId="0" xfId="0" applyNumberFormat="1" applyFont="1" applyAlignment="1" applyProtection="1">
      <alignment vertical="center" wrapText="1"/>
      <protection locked="0"/>
    </xf>
    <xf numFmtId="0" fontId="177" fillId="0" borderId="0" xfId="0" applyFont="1" applyAlignment="1" applyProtection="1">
      <alignment vertical="center" wrapText="1"/>
      <protection locked="0"/>
    </xf>
    <xf numFmtId="0" fontId="47" fillId="3" borderId="1" xfId="0" applyFont="1" applyFill="1" applyBorder="1" applyAlignment="1" applyProtection="1">
      <alignment horizontal="left" vertical="center"/>
    </xf>
    <xf numFmtId="0" fontId="47" fillId="20"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03" fillId="0" borderId="9" xfId="0" applyFont="1" applyBorder="1" applyAlignment="1" applyProtection="1">
      <alignment horizontal="left" vertical="center" wrapText="1"/>
    </xf>
    <xf numFmtId="0" fontId="103" fillId="0" borderId="35" xfId="0" applyFont="1" applyBorder="1" applyAlignment="1" applyProtection="1">
      <alignment horizontal="left" vertical="center" wrapText="1"/>
    </xf>
    <xf numFmtId="0" fontId="103" fillId="0" borderId="3" xfId="0" applyFont="1" applyBorder="1" applyAlignment="1" applyProtection="1">
      <alignment horizontal="left" vertical="center" wrapText="1"/>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173" fillId="3" borderId="10" xfId="14" applyFont="1" applyFill="1" applyBorder="1" applyAlignment="1">
      <alignment horizontal="left" vertical="center"/>
    </xf>
    <xf numFmtId="0" fontId="173" fillId="3" borderId="12" xfId="14" applyFont="1" applyFill="1" applyBorder="1" applyAlignment="1">
      <alignment horizontal="left" vertical="center"/>
    </xf>
    <xf numFmtId="0" fontId="174" fillId="0" borderId="1" xfId="14" applyFont="1" applyBorder="1" applyAlignment="1">
      <alignment horizontal="left" vertical="center"/>
    </xf>
    <xf numFmtId="0" fontId="174" fillId="0" borderId="10" xfId="14" applyFont="1" applyBorder="1" applyAlignment="1">
      <alignment horizontal="left" vertical="center"/>
    </xf>
    <xf numFmtId="0" fontId="174" fillId="0" borderId="155" xfId="14" applyFont="1" applyBorder="1" applyAlignment="1">
      <alignment horizontal="left" vertical="center"/>
    </xf>
    <xf numFmtId="0" fontId="98" fillId="2" borderId="0" xfId="0" applyFont="1" applyFill="1" applyBorder="1" applyAlignment="1" applyProtection="1">
      <alignment horizontal="center" vertical="center" wrapText="1"/>
    </xf>
    <xf numFmtId="0" fontId="168" fillId="2" borderId="20" xfId="0" applyFont="1" applyFill="1" applyBorder="1" applyAlignment="1" applyProtection="1">
      <alignment horizontal="center" vertical="center" wrapText="1"/>
    </xf>
    <xf numFmtId="0" fontId="168" fillId="0" borderId="1" xfId="0" applyFont="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xf>
    <xf numFmtId="0" fontId="168" fillId="2" borderId="35" xfId="0" applyFont="1" applyFill="1" applyBorder="1" applyAlignment="1" applyProtection="1">
      <alignment horizontal="left" vertical="center"/>
    </xf>
    <xf numFmtId="0" fontId="168" fillId="2" borderId="3" xfId="0" applyFont="1" applyFill="1" applyBorder="1" applyAlignment="1" applyProtection="1">
      <alignment horizontal="left" vertical="center"/>
    </xf>
    <xf numFmtId="0" fontId="168" fillId="2" borderId="9" xfId="0" applyFont="1" applyFill="1" applyBorder="1" applyAlignment="1" applyProtection="1">
      <alignment horizontal="left" vertical="center"/>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horizontal="left" vertical="center" wrapText="1"/>
    </xf>
    <xf numFmtId="0" fontId="168" fillId="2" borderId="34" xfId="0" applyFont="1" applyFill="1" applyBorder="1" applyAlignment="1" applyProtection="1">
      <alignment horizontal="left" vertical="center" wrapText="1"/>
    </xf>
    <xf numFmtId="0" fontId="168" fillId="5" borderId="34" xfId="0" applyFont="1" applyFill="1" applyBorder="1" applyAlignment="1" applyProtection="1">
      <alignment horizontal="left" vertical="center" wrapText="1"/>
      <protection locked="0"/>
    </xf>
    <xf numFmtId="0" fontId="168" fillId="5" borderId="81" xfId="0" applyFont="1" applyFill="1" applyBorder="1" applyAlignment="1" applyProtection="1">
      <alignment horizontal="left" vertical="center" wrapText="1"/>
      <protection locked="0"/>
    </xf>
    <xf numFmtId="0" fontId="168" fillId="0" borderId="10" xfId="0" applyFont="1" applyBorder="1" applyAlignment="1" applyProtection="1">
      <alignment horizontal="left" vertical="center" wrapText="1"/>
      <protection locked="0"/>
    </xf>
    <xf numFmtId="0" fontId="168" fillId="0" borderId="58" xfId="0" applyFont="1" applyBorder="1" applyAlignment="1" applyProtection="1">
      <alignment horizontal="left" vertical="center" wrapText="1"/>
      <protection locked="0"/>
    </xf>
    <xf numFmtId="0" fontId="168" fillId="6" borderId="10" xfId="0" applyFont="1" applyFill="1" applyBorder="1" applyAlignment="1" applyProtection="1">
      <alignment horizontal="left" vertical="center" wrapText="1"/>
      <protection locked="0"/>
    </xf>
    <xf numFmtId="0" fontId="168" fillId="6" borderId="12" xfId="0" applyFont="1" applyFill="1" applyBorder="1" applyAlignment="1" applyProtection="1">
      <alignment horizontal="left" vertical="center" wrapText="1"/>
      <protection locked="0"/>
    </xf>
    <xf numFmtId="0" fontId="168" fillId="6" borderId="11" xfId="0" applyFont="1" applyFill="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2" borderId="11" xfId="0" applyFont="1" applyFill="1" applyBorder="1" applyAlignment="1" applyProtection="1">
      <alignment horizontal="left" vertical="center" wrapText="1"/>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179" fontId="168" fillId="6" borderId="10" xfId="0" applyNumberFormat="1" applyFont="1" applyFill="1" applyBorder="1" applyAlignment="1" applyProtection="1">
      <alignment horizontal="center" vertical="center" wrapText="1"/>
      <protection locked="0"/>
    </xf>
    <xf numFmtId="179" fontId="168" fillId="6" borderId="12" xfId="0" applyNumberFormat="1" applyFont="1" applyFill="1" applyBorder="1" applyAlignment="1" applyProtection="1">
      <alignment horizontal="center" vertical="center" wrapText="1"/>
      <protection locked="0"/>
    </xf>
    <xf numFmtId="179" fontId="168" fillId="6" borderId="11" xfId="0" applyNumberFormat="1" applyFont="1" applyFill="1" applyBorder="1" applyAlignment="1" applyProtection="1">
      <alignment horizontal="center" vertical="center" wrapText="1"/>
      <protection locked="0"/>
    </xf>
    <xf numFmtId="49" fontId="169" fillId="6" borderId="10"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49" fontId="169" fillId="6" borderId="11" xfId="0" applyNumberFormat="1" applyFont="1" applyFill="1" applyBorder="1" applyAlignment="1" applyProtection="1">
      <alignment horizontal="left" vertical="center"/>
      <protection locked="0"/>
    </xf>
    <xf numFmtId="0" fontId="168" fillId="2" borderId="56"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9" xfId="0" applyFont="1" applyFill="1" applyBorder="1" applyAlignment="1" applyProtection="1">
      <alignment horizontal="center" vertical="center"/>
    </xf>
    <xf numFmtId="0" fontId="168" fillId="2" borderId="78" xfId="0" applyFont="1" applyFill="1" applyBorder="1" applyAlignment="1" applyProtection="1">
      <alignment horizontal="center" vertical="center"/>
    </xf>
    <xf numFmtId="0" fontId="168" fillId="2" borderId="63" xfId="0" applyFont="1" applyFill="1" applyBorder="1" applyAlignment="1" applyProtection="1">
      <alignment vertical="center" wrapText="1"/>
    </xf>
    <xf numFmtId="0" fontId="168" fillId="2" borderId="99" xfId="0" applyFont="1" applyFill="1" applyBorder="1" applyAlignment="1" applyProtection="1">
      <alignment vertical="center" wrapText="1"/>
    </xf>
    <xf numFmtId="0" fontId="168" fillId="2" borderId="100" xfId="0" applyFont="1" applyFill="1" applyBorder="1" applyAlignment="1" applyProtection="1">
      <alignment vertical="center" wrapText="1"/>
    </xf>
    <xf numFmtId="0" fontId="169" fillId="6" borderId="10"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9" fillId="6" borderId="10"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9" fillId="6" borderId="11" xfId="0" applyFont="1" applyFill="1" applyBorder="1" applyAlignment="1" applyProtection="1">
      <alignment vertical="center"/>
      <protection locked="0"/>
    </xf>
    <xf numFmtId="0" fontId="168" fillId="16" borderId="9" xfId="0" applyFont="1" applyFill="1" applyBorder="1" applyAlignment="1" applyProtection="1">
      <alignment horizontal="center" vertical="center" wrapText="1"/>
    </xf>
    <xf numFmtId="0" fontId="168" fillId="16" borderId="149" xfId="0" applyFont="1" applyFill="1" applyBorder="1" applyAlignment="1" applyProtection="1">
      <alignment horizontal="center" vertical="center" wrapText="1"/>
    </xf>
    <xf numFmtId="0" fontId="79" fillId="0" borderId="1" xfId="0" applyFont="1" applyBorder="1" applyAlignment="1">
      <alignment horizontal="center" vertical="center" wrapText="1"/>
    </xf>
    <xf numFmtId="0" fontId="138" fillId="0" borderId="1" xfId="0" applyFont="1" applyFill="1" applyBorder="1" applyAlignment="1" applyProtection="1">
      <alignment horizontal="center" vertical="center" wrapText="1"/>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0" fontId="94" fillId="2" borderId="4" xfId="0" applyFont="1" applyFill="1" applyBorder="1" applyAlignment="1" applyProtection="1">
      <alignment horizontal="center" vertical="center"/>
    </xf>
    <xf numFmtId="0" fontId="94" fillId="2" borderId="5" xfId="0" applyFont="1" applyFill="1" applyBorder="1" applyAlignment="1" applyProtection="1">
      <alignment horizontal="center" vertical="center"/>
    </xf>
    <xf numFmtId="0" fontId="94" fillId="2" borderId="1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162" fillId="2" borderId="144" xfId="0" applyFont="1" applyFill="1" applyBorder="1" applyAlignment="1" applyProtection="1">
      <alignment horizontal="left" vertical="center"/>
    </xf>
    <xf numFmtId="0" fontId="162" fillId="2" borderId="145" xfId="0" applyFont="1" applyFill="1" applyBorder="1" applyAlignment="1" applyProtection="1">
      <alignment horizontal="left" vertical="center"/>
    </xf>
    <xf numFmtId="0" fontId="149" fillId="2" borderId="91" xfId="0" applyFont="1" applyFill="1" applyBorder="1" applyAlignment="1" applyProtection="1">
      <alignment horizontal="center" vertical="center" wrapText="1"/>
    </xf>
    <xf numFmtId="0" fontId="149" fillId="2" borderId="139" xfId="0" applyFont="1" applyFill="1" applyBorder="1" applyAlignment="1" applyProtection="1">
      <alignment horizontal="center" vertical="center" wrapText="1"/>
    </xf>
    <xf numFmtId="0" fontId="149" fillId="2" borderId="10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67" fillId="2" borderId="3"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98" fillId="2" borderId="1" xfId="0" applyFont="1" applyFill="1" applyBorder="1" applyAlignment="1" applyProtection="1">
      <alignment horizontal="center" vertical="center" wrapText="1"/>
    </xf>
    <xf numFmtId="0" fontId="66" fillId="2" borderId="10" xfId="0" applyFont="1" applyFill="1" applyBorder="1" applyAlignment="1" applyProtection="1">
      <alignment horizontal="left" vertical="center"/>
    </xf>
    <xf numFmtId="0" fontId="66" fillId="2" borderId="11" xfId="0" applyFont="1" applyFill="1" applyBorder="1" applyAlignment="1" applyProtection="1">
      <alignment horizontal="left" vertical="center"/>
    </xf>
    <xf numFmtId="10" fontId="6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9" fillId="2" borderId="69" xfId="0" applyFont="1" applyFill="1" applyBorder="1" applyAlignment="1" applyProtection="1">
      <alignment horizontal="left" vertical="center" wrapText="1"/>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10" fontId="6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0" fontId="100" fillId="2" borderId="1" xfId="0" applyFont="1" applyFill="1" applyBorder="1" applyAlignment="1">
      <alignment horizontal="center" vertical="center" wrapText="1"/>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98" fillId="2" borderId="83" xfId="0" applyFont="1" applyFill="1" applyBorder="1" applyAlignment="1" applyProtection="1">
      <alignment horizontal="center" vertical="center" wrapText="1"/>
    </xf>
    <xf numFmtId="0" fontId="98" fillId="2" borderId="96"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66" fillId="2" borderId="10" xfId="0"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16" fillId="2" borderId="11" xfId="0" applyFont="1" applyFill="1" applyBorder="1" applyAlignment="1" applyProtection="1">
      <alignment horizontal="left" vertical="center" wrapText="1"/>
    </xf>
    <xf numFmtId="0" fontId="97" fillId="2" borderId="3"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39" fillId="0" borderId="98" xfId="0" applyFont="1" applyBorder="1" applyAlignment="1" applyProtection="1">
      <alignment horizontal="center" vertical="center"/>
      <protection locked="0"/>
    </xf>
    <xf numFmtId="0" fontId="139" fillId="0" borderId="99"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39"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3"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119" fillId="2" borderId="4" xfId="0" applyFont="1" applyFill="1" applyBorder="1" applyAlignment="1" applyProtection="1">
      <alignment horizontal="center" vertical="center" wrapText="1"/>
    </xf>
    <xf numFmtId="0" fontId="119" fillId="2" borderId="5" xfId="0" applyFont="1" applyFill="1" applyBorder="1" applyAlignment="1" applyProtection="1">
      <alignment horizontal="center" vertical="center" wrapText="1"/>
    </xf>
    <xf numFmtId="0" fontId="119" fillId="2" borderId="6"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182"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2" fontId="37" fillId="8" borderId="1" xfId="0" applyNumberFormat="1"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192" fontId="265" fillId="0" borderId="9" xfId="7" applyNumberFormat="1" applyFont="1" applyBorder="1" applyAlignment="1">
      <alignment horizontal="center" vertical="center"/>
    </xf>
    <xf numFmtId="192" fontId="265" fillId="0" borderId="3" xfId="7" applyNumberFormat="1" applyFont="1" applyBorder="1" applyAlignment="1">
      <alignment horizontal="center" vertical="center"/>
    </xf>
    <xf numFmtId="0" fontId="259" fillId="0" borderId="10" xfId="7" applyFont="1" applyBorder="1" applyAlignment="1">
      <alignment horizontal="center" vertical="center" wrapText="1"/>
    </xf>
    <xf numFmtId="0" fontId="259" fillId="0" borderId="12" xfId="7" applyFont="1" applyBorder="1" applyAlignment="1">
      <alignment horizontal="center" vertical="center" wrapText="1"/>
    </xf>
    <xf numFmtId="0" fontId="259" fillId="0" borderId="11" xfId="7" applyFont="1" applyBorder="1" applyAlignment="1">
      <alignment horizontal="center" vertical="center" wrapText="1"/>
    </xf>
    <xf numFmtId="0" fontId="264" fillId="0" borderId="1" xfId="7" applyFont="1" applyBorder="1" applyAlignment="1">
      <alignment horizontal="center" vertical="center"/>
    </xf>
    <xf numFmtId="0" fontId="4" fillId="0" borderId="10" xfId="7" applyFont="1" applyBorder="1" applyAlignment="1">
      <alignment horizontal="center" vertical="center"/>
    </xf>
    <xf numFmtId="0" fontId="4" fillId="0" borderId="12" xfId="7" applyFont="1" applyBorder="1" applyAlignment="1">
      <alignment horizontal="center" vertical="center"/>
    </xf>
    <xf numFmtId="0" fontId="4" fillId="0" borderId="11" xfId="7" applyFont="1" applyBorder="1" applyAlignment="1">
      <alignment horizontal="center" vertical="center"/>
    </xf>
    <xf numFmtId="0" fontId="86" fillId="0" borderId="20" xfId="7" applyFont="1" applyBorder="1" applyAlignment="1">
      <alignment horizontal="center" vertical="center"/>
    </xf>
    <xf numFmtId="197" fontId="89" fillId="0" borderId="0" xfId="7" applyNumberFormat="1" applyAlignment="1">
      <alignment horizontal="center" vertical="center"/>
    </xf>
    <xf numFmtId="0" fontId="89" fillId="0" borderId="0" xfId="7" applyAlignment="1">
      <alignment horizontal="center" vertical="center"/>
    </xf>
    <xf numFmtId="0" fontId="262" fillId="0" borderId="91" xfId="7" applyFont="1" applyBorder="1" applyAlignment="1">
      <alignment horizontal="center" vertical="center" wrapText="1"/>
    </xf>
    <xf numFmtId="0" fontId="262" fillId="0" borderId="102" xfId="7" applyFont="1" applyBorder="1" applyAlignment="1">
      <alignment horizontal="center" vertical="center" wrapText="1"/>
    </xf>
    <xf numFmtId="0" fontId="264" fillId="0" borderId="1" xfId="7" applyFont="1" applyBorder="1" applyAlignment="1">
      <alignment horizontal="center" vertical="center" wrapText="1"/>
    </xf>
    <xf numFmtId="0" fontId="265" fillId="0" borderId="1" xfId="7" applyFont="1" applyBorder="1" applyAlignment="1">
      <alignment horizontal="center" vertical="center"/>
    </xf>
    <xf numFmtId="2" fontId="265" fillId="0" borderId="1" xfId="7" applyNumberFormat="1" applyFont="1" applyBorder="1" applyAlignment="1">
      <alignment horizontal="center" vertical="center"/>
    </xf>
    <xf numFmtId="0" fontId="259" fillId="0" borderId="1" xfId="7" applyFont="1" applyBorder="1" applyAlignment="1">
      <alignment horizontal="center" vertical="center" wrapText="1"/>
    </xf>
    <xf numFmtId="0" fontId="4" fillId="0" borderId="1" xfId="7" applyFont="1" applyBorder="1" applyAlignment="1">
      <alignment horizontal="center" vertical="center"/>
    </xf>
    <xf numFmtId="0" fontId="262" fillId="0" borderId="9" xfId="7" applyFont="1" applyBorder="1" applyAlignment="1">
      <alignment horizontal="center" vertical="center" wrapText="1"/>
    </xf>
    <xf numFmtId="0" fontId="262" fillId="0" borderId="3" xfId="7" applyFont="1" applyBorder="1" applyAlignment="1">
      <alignment horizontal="center" vertical="center" wrapText="1"/>
    </xf>
    <xf numFmtId="0" fontId="259" fillId="0" borderId="98" xfId="7" applyFont="1" applyBorder="1" applyAlignment="1">
      <alignment horizontal="center" vertical="center" wrapText="1"/>
    </xf>
    <xf numFmtId="0" fontId="259" fillId="0" borderId="175" xfId="7" applyFont="1" applyBorder="1" applyAlignment="1">
      <alignment horizontal="center" vertical="center" wrapText="1"/>
    </xf>
    <xf numFmtId="0" fontId="262" fillId="0" borderId="139" xfId="7" applyFont="1" applyBorder="1" applyAlignment="1">
      <alignment horizontal="center" vertical="center" wrapText="1"/>
    </xf>
    <xf numFmtId="2" fontId="153" fillId="0" borderId="91" xfId="7" applyNumberFormat="1" applyFont="1" applyBorder="1" applyAlignment="1">
      <alignment horizontal="center" vertical="center" wrapText="1"/>
    </xf>
    <xf numFmtId="0" fontId="153" fillId="0" borderId="102" xfId="7" applyFont="1" applyBorder="1" applyAlignment="1">
      <alignment horizontal="center" vertical="center" wrapText="1"/>
    </xf>
    <xf numFmtId="0" fontId="153" fillId="0" borderId="91" xfId="7" applyFont="1" applyBorder="1" applyAlignment="1">
      <alignment horizontal="center" vertical="center" wrapText="1"/>
    </xf>
    <xf numFmtId="0" fontId="153" fillId="0" borderId="172" xfId="7" applyFont="1" applyBorder="1" applyAlignment="1">
      <alignment horizontal="center" vertical="center" wrapText="1"/>
    </xf>
    <xf numFmtId="0" fontId="153" fillId="0" borderId="91" xfId="7" applyFont="1" applyBorder="1" applyAlignment="1">
      <alignment horizontal="right" vertical="center" wrapText="1"/>
    </xf>
    <xf numFmtId="0" fontId="153" fillId="0" borderId="102" xfId="7" applyFont="1" applyBorder="1" applyAlignment="1">
      <alignment horizontal="right" vertical="center" wrapText="1"/>
    </xf>
    <xf numFmtId="2" fontId="153" fillId="0" borderId="173" xfId="7" applyNumberFormat="1" applyFont="1" applyBorder="1" applyAlignment="1">
      <alignment horizontal="center" vertical="center" wrapText="1"/>
    </xf>
    <xf numFmtId="196" fontId="153" fillId="0" borderId="91" xfId="7" applyNumberFormat="1" applyFont="1" applyBorder="1" applyAlignment="1">
      <alignment horizontal="right" vertical="center" wrapText="1"/>
    </xf>
    <xf numFmtId="196" fontId="153" fillId="0" borderId="102" xfId="7" applyNumberFormat="1" applyFont="1" applyBorder="1" applyAlignment="1">
      <alignment horizontal="right" vertical="center" wrapText="1"/>
    </xf>
    <xf numFmtId="192" fontId="265" fillId="0" borderId="1" xfId="7" applyNumberFormat="1" applyFont="1" applyBorder="1" applyAlignment="1">
      <alignment horizontal="center" vertical="center"/>
    </xf>
    <xf numFmtId="0" fontId="262" fillId="0" borderId="173" xfId="7" applyFont="1" applyBorder="1" applyAlignment="1">
      <alignment horizontal="center" vertical="center" wrapText="1"/>
    </xf>
    <xf numFmtId="0" fontId="262" fillId="0" borderId="35" xfId="7" applyFont="1" applyBorder="1" applyAlignment="1">
      <alignment horizontal="center" vertical="center" wrapText="1"/>
    </xf>
    <xf numFmtId="0" fontId="259" fillId="0" borderId="91" xfId="7" applyFont="1" applyBorder="1" applyAlignment="1">
      <alignment horizontal="center" vertical="center" wrapText="1"/>
    </xf>
    <xf numFmtId="0" fontId="259" fillId="0" borderId="139" xfId="7" applyFont="1" applyBorder="1" applyAlignment="1">
      <alignment horizontal="center" vertical="center" wrapText="1"/>
    </xf>
    <xf numFmtId="0" fontId="259" fillId="0" borderId="172" xfId="7" applyFont="1" applyBorder="1" applyAlignment="1">
      <alignment horizontal="center" vertical="center" wrapText="1"/>
    </xf>
    <xf numFmtId="0" fontId="259" fillId="0" borderId="102" xfId="7" applyFont="1" applyBorder="1" applyAlignment="1">
      <alignment horizontal="center" vertical="center" wrapText="1"/>
    </xf>
    <xf numFmtId="0" fontId="153" fillId="0" borderId="173" xfId="7" applyFont="1" applyBorder="1" applyAlignment="1">
      <alignment horizontal="center" vertical="center" wrapText="1"/>
    </xf>
    <xf numFmtId="0" fontId="260" fillId="0" borderId="21" xfId="7" applyFont="1" applyBorder="1" applyAlignment="1">
      <alignment vertical="center" wrapText="1"/>
    </xf>
    <xf numFmtId="2" fontId="153" fillId="0" borderId="102" xfId="7" applyNumberFormat="1" applyFont="1" applyBorder="1" applyAlignment="1">
      <alignment horizontal="center" vertical="center" wrapText="1"/>
    </xf>
    <xf numFmtId="0" fontId="102" fillId="3" borderId="1" xfId="7" applyFont="1" applyFill="1" applyBorder="1" applyAlignment="1">
      <alignment horizontal="center" vertical="center" wrapText="1"/>
    </xf>
    <xf numFmtId="0" fontId="102" fillId="3" borderId="9" xfId="7" applyFont="1" applyFill="1" applyBorder="1" applyAlignment="1">
      <alignment horizontal="center" vertical="center" wrapText="1"/>
    </xf>
    <xf numFmtId="0" fontId="102" fillId="3" borderId="35" xfId="7" applyFont="1" applyFill="1" applyBorder="1" applyAlignment="1">
      <alignment horizontal="center" vertical="center" wrapText="1"/>
    </xf>
    <xf numFmtId="0" fontId="102" fillId="3" borderId="3" xfId="7" applyFont="1" applyFill="1" applyBorder="1" applyAlignment="1">
      <alignment horizontal="center" vertical="center" wrapText="1"/>
    </xf>
    <xf numFmtId="0" fontId="257" fillId="0" borderId="17" xfId="7" applyFont="1" applyBorder="1" applyAlignment="1">
      <alignment horizontal="center" vertical="center"/>
    </xf>
    <xf numFmtId="2" fontId="89" fillId="0" borderId="0" xfId="7" applyNumberFormat="1" applyAlignment="1">
      <alignment horizontal="center" vertical="center"/>
    </xf>
    <xf numFmtId="0" fontId="102" fillId="25" borderId="1" xfId="7" applyFont="1" applyFill="1" applyBorder="1" applyAlignment="1">
      <alignment horizontal="center" vertical="center" wrapText="1"/>
    </xf>
    <xf numFmtId="0" fontId="102" fillId="25" borderId="9" xfId="7" applyFont="1" applyFill="1" applyBorder="1" applyAlignment="1">
      <alignment horizontal="center" vertical="center" wrapText="1"/>
    </xf>
    <xf numFmtId="0" fontId="102" fillId="25" borderId="35" xfId="7" applyFont="1" applyFill="1" applyBorder="1" applyAlignment="1">
      <alignment horizontal="center" vertical="center" wrapText="1"/>
    </xf>
    <xf numFmtId="0" fontId="102" fillId="25" borderId="3" xfId="7" applyFont="1" applyFill="1" applyBorder="1" applyAlignment="1">
      <alignment horizontal="center" vertical="center" wrapText="1"/>
    </xf>
    <xf numFmtId="0" fontId="102" fillId="25" borderId="9" xfId="7" applyFont="1" applyFill="1" applyBorder="1" applyAlignment="1">
      <alignment horizontal="center" vertical="center"/>
    </xf>
    <xf numFmtId="0" fontId="102" fillId="25" borderId="35" xfId="7" applyFont="1" applyFill="1" applyBorder="1" applyAlignment="1">
      <alignment horizontal="center" vertical="center"/>
    </xf>
    <xf numFmtId="0" fontId="102" fillId="25" borderId="3" xfId="7" applyFont="1" applyFill="1" applyBorder="1" applyAlignment="1">
      <alignment horizontal="center" vertical="center"/>
    </xf>
    <xf numFmtId="0" fontId="89" fillId="3" borderId="1" xfId="7" applyFill="1" applyBorder="1" applyAlignment="1">
      <alignment horizontal="center" vertical="center" wrapText="1"/>
    </xf>
    <xf numFmtId="0" fontId="89" fillId="3" borderId="9" xfId="7" applyFill="1" applyBorder="1" applyAlignment="1">
      <alignment horizontal="center" vertical="center" wrapText="1"/>
    </xf>
    <xf numFmtId="0" fontId="89" fillId="3" borderId="35" xfId="7" applyFill="1" applyBorder="1" applyAlignment="1">
      <alignment horizontal="center" vertical="center" wrapText="1"/>
    </xf>
    <xf numFmtId="0" fontId="89" fillId="3" borderId="3" xfId="7" applyFill="1" applyBorder="1" applyAlignment="1">
      <alignment horizontal="center" vertical="center" wrapText="1"/>
    </xf>
    <xf numFmtId="0" fontId="89" fillId="25" borderId="1" xfId="7" applyFill="1" applyBorder="1" applyAlignment="1">
      <alignment horizontal="center" vertical="center" wrapText="1"/>
    </xf>
    <xf numFmtId="0" fontId="256" fillId="25" borderId="9" xfId="7" applyFont="1" applyFill="1" applyBorder="1" applyAlignment="1">
      <alignment horizontal="center" vertical="center" wrapText="1"/>
    </xf>
    <xf numFmtId="0" fontId="256" fillId="25" borderId="35" xfId="7" applyFont="1" applyFill="1" applyBorder="1" applyAlignment="1">
      <alignment horizontal="center" vertical="center" wrapText="1"/>
    </xf>
    <xf numFmtId="0" fontId="256" fillId="25" borderId="3" xfId="7" applyFont="1" applyFill="1" applyBorder="1" applyAlignment="1">
      <alignment horizontal="center" vertical="center" wrapText="1"/>
    </xf>
    <xf numFmtId="0" fontId="256" fillId="25" borderId="9" xfId="7" applyFont="1" applyFill="1" applyBorder="1" applyAlignment="1">
      <alignment horizontal="center" vertical="center"/>
    </xf>
    <xf numFmtId="0" fontId="256" fillId="25" borderId="35" xfId="7" applyFont="1" applyFill="1" applyBorder="1" applyAlignment="1">
      <alignment horizontal="center" vertical="center"/>
    </xf>
    <xf numFmtId="0" fontId="256" fillId="25" borderId="3" xfId="7" applyFont="1" applyFill="1" applyBorder="1" applyAlignment="1">
      <alignment horizontal="center" vertical="center"/>
    </xf>
    <xf numFmtId="0" fontId="256" fillId="3" borderId="9" xfId="7" applyFont="1" applyFill="1" applyBorder="1" applyAlignment="1">
      <alignment horizontal="center" vertical="center" wrapText="1"/>
    </xf>
    <xf numFmtId="0" fontId="256" fillId="3" borderId="35" xfId="7" applyFont="1" applyFill="1" applyBorder="1" applyAlignment="1">
      <alignment horizontal="center" vertical="center" wrapText="1"/>
    </xf>
    <xf numFmtId="0" fontId="256" fillId="3" borderId="3" xfId="7" applyFont="1" applyFill="1" applyBorder="1" applyAlignment="1">
      <alignment horizontal="center" vertical="center" wrapText="1"/>
    </xf>
    <xf numFmtId="0" fontId="256" fillId="3" borderId="9" xfId="7" applyFont="1" applyFill="1" applyBorder="1" applyAlignment="1">
      <alignment horizontal="center" vertical="center"/>
    </xf>
    <xf numFmtId="0" fontId="256" fillId="3" borderId="35" xfId="7" applyFont="1" applyFill="1" applyBorder="1" applyAlignment="1">
      <alignment horizontal="center" vertical="center"/>
    </xf>
    <xf numFmtId="0" fontId="256" fillId="3" borderId="3" xfId="7" applyFont="1" applyFill="1" applyBorder="1" applyAlignment="1">
      <alignment horizontal="center" vertical="center"/>
    </xf>
    <xf numFmtId="2" fontId="89" fillId="20" borderId="0" xfId="7" applyNumberFormat="1" applyFill="1" applyAlignment="1">
      <alignment horizontal="center" vertical="center"/>
    </xf>
    <xf numFmtId="0" fontId="256" fillId="3" borderId="1" xfId="7" applyFont="1" applyFill="1" applyBorder="1" applyAlignment="1">
      <alignment horizontal="center" vertical="center" wrapText="1"/>
    </xf>
    <xf numFmtId="0" fontId="89" fillId="25" borderId="9" xfId="7" applyFill="1" applyBorder="1" applyAlignment="1">
      <alignment horizontal="center" vertical="center" wrapText="1"/>
    </xf>
    <xf numFmtId="0" fontId="89" fillId="25" borderId="35" xfId="7" applyFill="1" applyBorder="1" applyAlignment="1">
      <alignment horizontal="center" vertical="center" wrapText="1"/>
    </xf>
    <xf numFmtId="0" fontId="89" fillId="25" borderId="3" xfId="7" applyFill="1" applyBorder="1" applyAlignment="1">
      <alignment horizontal="center" vertical="center" wrapText="1"/>
    </xf>
    <xf numFmtId="0" fontId="89" fillId="25" borderId="9" xfId="7" applyFill="1" applyBorder="1" applyAlignment="1">
      <alignment horizontal="center" vertical="center"/>
    </xf>
    <xf numFmtId="0" fontId="89" fillId="25" borderId="35" xfId="7" applyFill="1" applyBorder="1" applyAlignment="1">
      <alignment horizontal="center" vertical="center"/>
    </xf>
    <xf numFmtId="0" fontId="89" fillId="25" borderId="3" xfId="7" applyFill="1" applyBorder="1" applyAlignment="1">
      <alignment horizontal="center" vertical="center"/>
    </xf>
    <xf numFmtId="0" fontId="89" fillId="0" borderId="20" xfId="7" applyBorder="1" applyAlignment="1">
      <alignment horizontal="center" vertical="center"/>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131"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1" fillId="0" borderId="6" xfId="0" applyFont="1" applyFill="1" applyBorder="1" applyAlignment="1" applyProtection="1">
      <alignment horizontal="center" vertical="center" wrapText="1"/>
      <protection locked="0"/>
    </xf>
    <xf numFmtId="0" fontId="67"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182" fontId="37" fillId="2" borderId="1" xfId="0" applyNumberFormat="1" applyFont="1" applyFill="1" applyBorder="1" applyAlignment="1" applyProtection="1">
      <alignment horizontal="center" vertical="center"/>
    </xf>
    <xf numFmtId="0" fontId="38" fillId="0" borderId="11" xfId="0" applyFont="1" applyFill="1" applyBorder="1" applyAlignment="1" applyProtection="1">
      <alignment horizontal="center" vertical="center" wrapText="1"/>
      <protection locked="0"/>
    </xf>
    <xf numFmtId="0" fontId="105" fillId="3" borderId="1" xfId="0" applyFont="1" applyFill="1" applyBorder="1" applyAlignment="1">
      <alignment horizontal="center" vertical="center" wrapText="1"/>
    </xf>
    <xf numFmtId="0" fontId="106" fillId="0" borderId="1" xfId="0" applyFont="1" applyBorder="1" applyAlignment="1">
      <alignment horizontal="center" vertical="center" wrapText="1"/>
    </xf>
    <xf numFmtId="0" fontId="17" fillId="2" borderId="11" xfId="10" applyFont="1" applyFill="1" applyBorder="1" applyAlignment="1" applyProtection="1">
      <alignment horizontal="center" vertical="center" wrapText="1"/>
      <protection locked="0"/>
    </xf>
    <xf numFmtId="0" fontId="99"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99" fillId="2" borderId="40" xfId="10" applyFont="1" applyFill="1" applyBorder="1" applyAlignment="1" applyProtection="1">
      <alignment horizontal="center" vertical="center" wrapText="1"/>
    </xf>
    <xf numFmtId="0" fontId="99" fillId="2" borderId="71" xfId="10" applyFont="1" applyFill="1" applyBorder="1" applyAlignment="1" applyProtection="1">
      <alignment horizontal="center" vertical="center" wrapText="1"/>
    </xf>
    <xf numFmtId="0" fontId="106" fillId="2" borderId="0" xfId="10" applyFont="1" applyFill="1" applyAlignment="1" applyProtection="1">
      <alignment horizontal="center" vertical="center"/>
    </xf>
    <xf numFmtId="0" fontId="105" fillId="2" borderId="0" xfId="10" applyFont="1" applyFill="1" applyAlignment="1" applyProtection="1">
      <alignment horizontal="left" vertical="center"/>
    </xf>
    <xf numFmtId="49" fontId="63" fillId="2" borderId="69" xfId="0" applyNumberFormat="1" applyFont="1" applyFill="1" applyBorder="1" applyAlignment="1" applyProtection="1">
      <alignment horizontal="center" vertical="center" wrapText="1"/>
    </xf>
    <xf numFmtId="49" fontId="63" fillId="2" borderId="68" xfId="0" applyNumberFormat="1" applyFont="1" applyFill="1" applyBorder="1" applyAlignment="1" applyProtection="1">
      <alignment horizontal="center" vertical="center" wrapText="1"/>
    </xf>
    <xf numFmtId="49" fontId="81" fillId="2" borderId="21" xfId="0" applyNumberFormat="1" applyFont="1" applyFill="1" applyBorder="1" applyAlignment="1" applyProtection="1">
      <alignment horizontal="center" vertical="center" wrapText="1"/>
    </xf>
    <xf numFmtId="49" fontId="81" fillId="2" borderId="68" xfId="0" applyNumberFormat="1" applyFont="1" applyFill="1" applyBorder="1" applyAlignment="1" applyProtection="1">
      <alignment horizontal="center" vertical="center" wrapText="1"/>
    </xf>
    <xf numFmtId="49" fontId="63" fillId="2" borderId="76" xfId="0" applyNumberFormat="1" applyFont="1" applyFill="1" applyBorder="1" applyAlignment="1" applyProtection="1">
      <alignment horizontal="center" vertical="center" wrapText="1"/>
    </xf>
    <xf numFmtId="0" fontId="114" fillId="2" borderId="9" xfId="0" applyFont="1" applyFill="1" applyBorder="1" applyAlignment="1" applyProtection="1">
      <alignment vertical="center" wrapText="1"/>
    </xf>
    <xf numFmtId="0" fontId="114" fillId="2" borderId="35" xfId="0" applyFont="1" applyFill="1" applyBorder="1" applyAlignment="1" applyProtection="1">
      <alignment vertical="center" wrapText="1"/>
    </xf>
    <xf numFmtId="0" fontId="114" fillId="2" borderId="3" xfId="0" applyFont="1" applyFill="1" applyBorder="1" applyAlignment="1" applyProtection="1">
      <alignment vertical="center" wrapText="1"/>
    </xf>
    <xf numFmtId="0" fontId="105" fillId="2" borderId="1" xfId="10" applyFont="1" applyFill="1" applyBorder="1" applyAlignment="1" applyProtection="1">
      <alignment horizontal="center" vertical="center"/>
    </xf>
    <xf numFmtId="0" fontId="105" fillId="2" borderId="9" xfId="10" applyFont="1" applyFill="1" applyBorder="1" applyAlignment="1" applyProtection="1">
      <alignment horizontal="center" vertical="center"/>
    </xf>
    <xf numFmtId="0" fontId="105" fillId="2" borderId="35" xfId="10" applyFont="1" applyFill="1" applyBorder="1" applyAlignment="1" applyProtection="1">
      <alignment horizontal="center" vertical="center"/>
    </xf>
    <xf numFmtId="0" fontId="105" fillId="2" borderId="3" xfId="10" applyFont="1" applyFill="1" applyBorder="1" applyAlignment="1" applyProtection="1">
      <alignment horizontal="center" vertical="center"/>
    </xf>
    <xf numFmtId="0" fontId="105" fillId="2" borderId="9" xfId="10" applyFont="1" applyFill="1" applyBorder="1" applyAlignment="1" applyProtection="1">
      <alignment horizontal="center" vertical="center" wrapText="1"/>
    </xf>
    <xf numFmtId="0" fontId="105" fillId="2" borderId="3" xfId="10" applyFont="1" applyFill="1" applyBorder="1" applyAlignment="1" applyProtection="1">
      <alignment horizontal="center" vertical="center" wrapText="1"/>
    </xf>
    <xf numFmtId="0" fontId="96" fillId="2" borderId="0" xfId="10" applyFont="1" applyFill="1" applyAlignment="1" applyProtection="1">
      <alignment horizontal="center" vertical="center"/>
    </xf>
    <xf numFmtId="0" fontId="101" fillId="2" borderId="0" xfId="10" applyFont="1" applyFill="1" applyBorder="1" applyAlignment="1" applyProtection="1">
      <alignment horizontal="left" vertical="center"/>
    </xf>
    <xf numFmtId="0" fontId="97" fillId="2" borderId="4" xfId="10" applyFont="1" applyFill="1" applyBorder="1" applyAlignment="1" applyProtection="1">
      <alignment horizontal="center" vertical="center" wrapText="1"/>
    </xf>
    <xf numFmtId="0" fontId="97" fillId="2" borderId="7" xfId="10" applyFont="1" applyFill="1" applyBorder="1" applyAlignment="1" applyProtection="1">
      <alignment horizontal="center" vertical="center" wrapText="1"/>
    </xf>
    <xf numFmtId="0" fontId="96" fillId="2" borderId="0" xfId="0" applyFont="1" applyFill="1" applyAlignment="1" applyProtection="1">
      <alignment horizontal="center" vertical="center"/>
    </xf>
    <xf numFmtId="0" fontId="95" fillId="13" borderId="114" xfId="4" applyFont="1" applyFill="1" applyBorder="1" applyAlignment="1" applyProtection="1">
      <alignment horizontal="left" vertical="center" wrapText="1"/>
    </xf>
    <xf numFmtId="0" fontId="95" fillId="13" borderId="110" xfId="4" applyFont="1" applyFill="1" applyBorder="1" applyAlignment="1" applyProtection="1">
      <alignment horizontal="left" vertical="center" wrapText="1"/>
    </xf>
    <xf numFmtId="0" fontId="95" fillId="13" borderId="113" xfId="4" applyFont="1" applyFill="1" applyBorder="1" applyAlignment="1" applyProtection="1">
      <alignment horizontal="left" vertical="center" wrapText="1"/>
    </xf>
    <xf numFmtId="0" fontId="67" fillId="13" borderId="114" xfId="4" applyFont="1" applyFill="1" applyBorder="1" applyAlignment="1" applyProtection="1">
      <alignment horizontal="left" vertical="center" wrapText="1"/>
    </xf>
    <xf numFmtId="0" fontId="67" fillId="13" borderId="110" xfId="4" applyFont="1" applyFill="1" applyBorder="1" applyAlignment="1" applyProtection="1">
      <alignment horizontal="left" vertical="center" wrapText="1"/>
    </xf>
    <xf numFmtId="0" fontId="67" fillId="13" borderId="113" xfId="4" applyFont="1" applyFill="1" applyBorder="1" applyAlignment="1" applyProtection="1">
      <alignment horizontal="left" vertical="center" wrapText="1"/>
    </xf>
    <xf numFmtId="0" fontId="11" fillId="0" borderId="0" xfId="4" applyFont="1" applyAlignment="1">
      <alignment horizontal="left" vertical="center"/>
    </xf>
    <xf numFmtId="0" fontId="26" fillId="0" borderId="0" xfId="4" applyFont="1" applyAlignment="1">
      <alignment horizontal="left" vertical="center"/>
    </xf>
    <xf numFmtId="0" fontId="95" fillId="13" borderId="111" xfId="4" applyFont="1" applyFill="1" applyBorder="1" applyAlignment="1" applyProtection="1">
      <alignment horizontal="left" vertical="center" wrapText="1"/>
    </xf>
    <xf numFmtId="0" fontId="95" fillId="13" borderId="112" xfId="4" applyFont="1" applyFill="1" applyBorder="1" applyAlignment="1" applyProtection="1">
      <alignment horizontal="left" vertical="center" wrapText="1"/>
    </xf>
    <xf numFmtId="0" fontId="93" fillId="0" borderId="0" xfId="4" applyFont="1" applyAlignment="1">
      <alignment horizontal="left" vertical="center"/>
    </xf>
    <xf numFmtId="0" fontId="88" fillId="2" borderId="63" xfId="0" applyFont="1" applyFill="1" applyBorder="1" applyAlignment="1" applyProtection="1">
      <alignment horizontal="left" vertical="center" wrapText="1"/>
    </xf>
    <xf numFmtId="0" fontId="88" fillId="2" borderId="100" xfId="0" applyFont="1" applyFill="1" applyBorder="1" applyAlignment="1" applyProtection="1">
      <alignment horizontal="left" vertical="center" wrapText="1"/>
    </xf>
    <xf numFmtId="0" fontId="64" fillId="2" borderId="9" xfId="0" applyFont="1" applyFill="1" applyBorder="1" applyAlignment="1" applyProtection="1">
      <alignment vertical="top" wrapText="1"/>
    </xf>
    <xf numFmtId="0" fontId="64" fillId="2" borderId="74" xfId="0" applyFont="1" applyFill="1" applyBorder="1" applyAlignment="1" applyProtection="1">
      <alignment vertical="top" wrapText="1"/>
    </xf>
    <xf numFmtId="0" fontId="64" fillId="2" borderId="35" xfId="0" applyFont="1" applyFill="1" applyBorder="1" applyAlignment="1" applyProtection="1">
      <alignment vertical="top" wrapText="1"/>
    </xf>
    <xf numFmtId="0" fontId="64" fillId="2" borderId="3" xfId="0" applyFont="1" applyFill="1" applyBorder="1" applyAlignment="1" applyProtection="1">
      <alignment vertical="top" wrapText="1"/>
    </xf>
    <xf numFmtId="0" fontId="87" fillId="2" borderId="0" xfId="0" applyFont="1" applyFill="1" applyAlignment="1" applyProtection="1">
      <alignment horizontal="left" vertical="center"/>
      <protection locked="0"/>
    </xf>
    <xf numFmtId="0" fontId="82" fillId="2" borderId="63" xfId="0" applyFont="1" applyFill="1" applyBorder="1" applyAlignment="1" applyProtection="1">
      <alignment horizontal="left" vertical="center" wrapText="1"/>
    </xf>
    <xf numFmtId="0" fontId="82"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2" fillId="1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7" fillId="2" borderId="64" xfId="0" applyFont="1" applyFill="1" applyBorder="1" applyAlignment="1">
      <alignment horizontal="left" vertical="center"/>
    </xf>
    <xf numFmtId="0" fontId="57" fillId="2" borderId="12" xfId="0" applyFont="1" applyFill="1" applyBorder="1" applyAlignment="1">
      <alignment horizontal="left" vertical="center"/>
    </xf>
    <xf numFmtId="0" fontId="57" fillId="2" borderId="11" xfId="0" applyFont="1" applyFill="1" applyBorder="1" applyAlignment="1">
      <alignment horizontal="left" vertical="center"/>
    </xf>
    <xf numFmtId="0" fontId="58" fillId="2" borderId="1" xfId="0" applyFont="1" applyFill="1" applyBorder="1" applyAlignment="1">
      <alignment horizontal="center" vertical="center"/>
    </xf>
    <xf numFmtId="0" fontId="58" fillId="2" borderId="14" xfId="0" applyFont="1" applyFill="1" applyBorder="1" applyAlignment="1">
      <alignment horizontal="center" vertical="center"/>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250" fillId="0" borderId="139" xfId="0" applyFont="1" applyBorder="1" applyAlignment="1">
      <alignment horizontal="center" vertical="center" wrapText="1"/>
    </xf>
    <xf numFmtId="0" fontId="250" fillId="0" borderId="172" xfId="0" applyFont="1" applyBorder="1" applyAlignment="1">
      <alignment horizontal="center" vertical="center" wrapText="1"/>
    </xf>
    <xf numFmtId="0" fontId="232" fillId="22" borderId="158" xfId="0" applyFont="1" applyFill="1" applyBorder="1" applyAlignment="1">
      <alignment horizontal="center" vertical="center" wrapText="1"/>
    </xf>
    <xf numFmtId="0" fontId="232" fillId="22" borderId="165" xfId="0" applyFont="1" applyFill="1" applyBorder="1" applyAlignment="1">
      <alignment horizontal="center" vertical="center" wrapText="1"/>
    </xf>
    <xf numFmtId="0" fontId="232" fillId="22" borderId="163" xfId="0" applyFont="1" applyFill="1" applyBorder="1" applyAlignment="1">
      <alignment horizontal="center" vertical="center" wrapText="1"/>
    </xf>
    <xf numFmtId="0" fontId="232" fillId="22" borderId="168" xfId="0" applyFont="1" applyFill="1" applyBorder="1" applyAlignment="1">
      <alignment horizontal="center" vertical="center" wrapText="1"/>
    </xf>
    <xf numFmtId="0" fontId="232" fillId="22" borderId="162" xfId="0" applyFont="1" applyFill="1" applyBorder="1" applyAlignment="1">
      <alignment horizontal="center" vertical="center" wrapText="1"/>
    </xf>
    <xf numFmtId="0" fontId="232" fillId="22" borderId="167" xfId="0" applyFont="1" applyFill="1" applyBorder="1" applyAlignment="1">
      <alignment horizontal="center" vertical="center" wrapText="1"/>
    </xf>
    <xf numFmtId="0" fontId="232" fillId="22" borderId="159" xfId="0" applyFont="1" applyFill="1" applyBorder="1" applyAlignment="1">
      <alignment horizontal="center" vertical="center" wrapText="1"/>
    </xf>
    <xf numFmtId="0" fontId="232" fillId="22" borderId="160" xfId="0" applyFont="1" applyFill="1" applyBorder="1" applyAlignment="1">
      <alignment horizontal="center" vertical="center" wrapText="1"/>
    </xf>
    <xf numFmtId="0" fontId="232" fillId="22" borderId="161" xfId="0" applyFont="1" applyFill="1" applyBorder="1" applyAlignment="1">
      <alignment horizontal="center" vertical="center" wrapText="1"/>
    </xf>
    <xf numFmtId="0" fontId="232" fillId="22" borderId="157" xfId="0" applyFont="1" applyFill="1" applyBorder="1" applyAlignment="1">
      <alignment horizontal="center" vertical="center" wrapText="1"/>
    </xf>
    <xf numFmtId="0" fontId="232" fillId="22" borderId="164" xfId="0" applyFont="1" applyFill="1" applyBorder="1" applyAlignment="1">
      <alignment horizontal="center" vertical="center" wrapText="1"/>
    </xf>
    <xf numFmtId="0" fontId="165" fillId="0" borderId="0" xfId="0" applyFont="1" applyAlignment="1">
      <alignment horizontal="center" vertical="center"/>
    </xf>
    <xf numFmtId="0" fontId="165" fillId="3" borderId="0" xfId="0" applyFont="1" applyFill="1" applyAlignment="1">
      <alignment horizontal="center" vertical="center"/>
    </xf>
    <xf numFmtId="0" fontId="256" fillId="27" borderId="1" xfId="7" applyFont="1" applyFill="1" applyBorder="1" applyAlignment="1">
      <alignment horizontal="center" vertical="center" wrapText="1"/>
    </xf>
  </cellXfs>
  <cellStyles count="23">
    <cellStyle name="百分比 2" xfId="2" xr:uid="{00000000-0005-0000-0000-00000E000000}"/>
    <cellStyle name="百分比 2 2" xfId="17" xr:uid="{5775DB16-DF24-44D6-85C4-AB800CB34CFE}"/>
    <cellStyle name="百分比 4" xfId="20" xr:uid="{77830276-4B6A-416D-8B6C-8E540F4E7CB9}"/>
    <cellStyle name="百分比 5" xfId="22" xr:uid="{A616BD49-F5CE-40F0-AF76-0488AA800294}"/>
    <cellStyle name="常规" xfId="0" builtinId="0"/>
    <cellStyle name="常规 16" xfId="7" xr:uid="{00000000-0005-0000-0000-000026000000}"/>
    <cellStyle name="常规 2" xfId="11" xr:uid="{00000000-0005-0000-0000-00003B000000}"/>
    <cellStyle name="常规 2 2" xfId="10" xr:uid="{00000000-0005-0000-0000-000035000000}"/>
    <cellStyle name="常规 2 2 2 2 3" xfId="6" xr:uid="{00000000-0005-0000-0000-000025000000}"/>
    <cellStyle name="常规 3" xfId="12" xr:uid="{00000000-0005-0000-0000-00003C000000}"/>
    <cellStyle name="常规 3 2" xfId="9" xr:uid="{00000000-0005-0000-0000-000030000000}"/>
    <cellStyle name="常规 4" xfId="13" xr:uid="{00000000-0005-0000-0000-00003D000000}"/>
    <cellStyle name="常规 5" xfId="14" xr:uid="{00000000-0005-0000-0000-00003E000000}"/>
    <cellStyle name="常规 6" xfId="1" xr:uid="{00000000-0005-0000-0000-00000D000000}"/>
    <cellStyle name="常规 6 2" xfId="4" xr:uid="{00000000-0005-0000-0000-000016000000}"/>
    <cellStyle name="常规 6 2 2" xfId="8" xr:uid="{00000000-0005-0000-0000-000028000000}"/>
    <cellStyle name="常规 7" xfId="15" xr:uid="{00000000-0005-0000-0000-00003F000000}"/>
    <cellStyle name="常规 8" xfId="3" xr:uid="{00000000-0005-0000-0000-000015000000}"/>
    <cellStyle name="常规 9" xfId="5" xr:uid="{00000000-0005-0000-0000-000018000000}"/>
    <cellStyle name="常规_2004-40 2 2" xfId="19" xr:uid="{77E4ECE8-8D64-4C86-B279-9C3F74C90A8A}"/>
    <cellStyle name="常规_2004-40_2008-6-1" xfId="16" xr:uid="{205DC5E9-8D79-4476-B728-EF46B15B0C01}"/>
    <cellStyle name="常规_2004-40_2008-6-1 2 2" xfId="18" xr:uid="{5BCFD370-BD65-4AC1-A40C-EC0079378303}"/>
    <cellStyle name="常规_2004-40_2008-6-1 2 2 2" xfId="21" xr:uid="{F91D1B58-2E1A-4639-AF79-D0EC813E3845}"/>
  </cellStyles>
  <dxfs count="230">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市场分析!$F$37</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市场分析!$F$38:$F$40</c:f>
              <c:numCache>
                <c:formatCode>0</c:formatCode>
                <c:ptCount val="3"/>
                <c:pt idx="0">
                  <c:v>9799.1849999999995</c:v>
                </c:pt>
                <c:pt idx="1">
                  <c:v>10135.565000000001</c:v>
                </c:pt>
                <c:pt idx="2">
                  <c:v>10498.565000000001</c:v>
                </c:pt>
              </c:numCache>
            </c:numRef>
          </c:val>
          <c:extLst>
            <c:ext xmlns:c16="http://schemas.microsoft.com/office/drawing/2014/chart" uri="{C3380CC4-5D6E-409C-BE32-E72D297353CC}">
              <c16:uniqueId val="{00000000-DED2-4607-9525-C2174A5ED64E}"/>
            </c:ext>
          </c:extLst>
        </c:ser>
        <c:ser>
          <c:idx val="1"/>
          <c:order val="1"/>
          <c:tx>
            <c:strRef>
              <c:f>市场分析!$G$37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市场分析!$G$38:$G$40</c:f>
              <c:numCache>
                <c:formatCode>General</c:formatCode>
                <c:ptCount val="3"/>
                <c:pt idx="0">
                  <c:v>20120</c:v>
                </c:pt>
                <c:pt idx="2">
                  <c:v>19622</c:v>
                </c:pt>
              </c:numCache>
            </c:numRef>
          </c:val>
          <c:extLst>
            <c:ext xmlns:c16="http://schemas.microsoft.com/office/drawing/2014/chart" uri="{C3380CC4-5D6E-409C-BE32-E72D297353CC}">
              <c16:uniqueId val="{00000001-DED2-4607-9525-C2174A5ED64E}"/>
            </c:ext>
          </c:extLst>
        </c:ser>
        <c:ser>
          <c:idx val="2"/>
          <c:order val="2"/>
          <c:tx>
            <c:strRef>
              <c:f>市场分析!$H$37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市场分析!$H$38:$H$40</c:f>
              <c:numCache>
                <c:formatCode>0</c:formatCode>
                <c:ptCount val="3"/>
                <c:pt idx="2">
                  <c:v>37293.917669138275</c:v>
                </c:pt>
              </c:numCache>
            </c:numRef>
          </c:val>
          <c:extLst>
            <c:ext xmlns:c16="http://schemas.microsoft.com/office/drawing/2014/chart" uri="{C3380CC4-5D6E-409C-BE32-E72D297353CC}">
              <c16:uniqueId val="{00000002-DED2-4607-9525-C2174A5ED64E}"/>
            </c:ext>
          </c:extLst>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市场分析!$I$37</c:f>
              <c:strCache>
                <c:ptCount val="1"/>
                <c:pt idx="0">
                  <c:v>C地块评估结果</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ED2-4607-9525-C2174A5ED64E}"/>
                </c:ext>
              </c:extLst>
            </c:dLbl>
            <c:dLbl>
              <c:idx val="1"/>
              <c:layout>
                <c:manualLayout>
                  <c:x val="-3.7269974376892702E-2"/>
                  <c:y val="-4.3946380340811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D2-4607-9525-C2174A5ED64E}"/>
                </c:ext>
              </c:extLst>
            </c:dLbl>
            <c:dLbl>
              <c:idx val="2"/>
              <c:delete val="1"/>
              <c:extLst>
                <c:ext xmlns:c15="http://schemas.microsoft.com/office/drawing/2012/chart" uri="{CE6537A1-D6FC-4f65-9D91-7224C49458BB}"/>
                <c:ext xmlns:c16="http://schemas.microsoft.com/office/drawing/2014/chart" uri="{C3380CC4-5D6E-409C-BE32-E72D297353CC}">
                  <c16:uniqueId val="{00000006-DED2-4607-9525-C2174A5ED64E}"/>
                </c:ext>
              </c:extLst>
            </c:dLbl>
            <c:spPr>
              <a:noFill/>
              <a:ln>
                <a:noFill/>
              </a:ln>
              <a:effectLst/>
            </c:spPr>
            <c:txPr>
              <a:bodyPr wrap="square" lIns="38100" tIns="19050" rIns="38100" bIns="19050" anchor="ctr">
                <a:spAutoFit/>
              </a:bodyPr>
              <a:lstStyle/>
              <a:p>
                <a:pPr>
                  <a:defRPr sz="1600"/>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市场分析!$E$38:$E$40</c:f>
              <c:strCache>
                <c:ptCount val="3"/>
                <c:pt idx="0">
                  <c:v>2018年</c:v>
                </c:pt>
                <c:pt idx="1">
                  <c:v>2019年</c:v>
                </c:pt>
                <c:pt idx="2">
                  <c:v>2020年</c:v>
                </c:pt>
              </c:strCache>
            </c:strRef>
          </c:cat>
          <c:val>
            <c:numRef>
              <c:f>市场分析!$I$38:$I$40</c:f>
              <c:numCache>
                <c:formatCode>General</c:formatCode>
                <c:ptCount val="3"/>
                <c:pt idx="0">
                  <c:v>20242</c:v>
                </c:pt>
                <c:pt idx="1">
                  <c:v>20242</c:v>
                </c:pt>
                <c:pt idx="2">
                  <c:v>20242</c:v>
                </c:pt>
              </c:numCache>
            </c:numRef>
          </c:val>
          <c:smooth val="0"/>
          <c:extLst>
            <c:ext xmlns:c16="http://schemas.microsoft.com/office/drawing/2014/chart" uri="{C3380CC4-5D6E-409C-BE32-E72D297353CC}">
              <c16:uniqueId val="{00000003-DED2-4607-9525-C2174A5ED64E}"/>
            </c:ext>
          </c:extLst>
        </c:ser>
        <c:dLbls>
          <c:showLegendKey val="0"/>
          <c:showVal val="1"/>
          <c:showCatName val="0"/>
          <c:showSerName val="0"/>
          <c:showPercent val="0"/>
          <c:showBubbleSize val="0"/>
        </c:dLbls>
        <c:marker val="1"/>
        <c:smooth val="0"/>
        <c:axId val="238340736"/>
        <c:axId val="238634496"/>
      </c:lineChart>
      <c:catAx>
        <c:axId val="238340736"/>
        <c:scaling>
          <c:orientation val="minMax"/>
        </c:scaling>
        <c:delete val="0"/>
        <c:axPos val="b"/>
        <c:numFmt formatCode="General" sourceLinked="0"/>
        <c:majorTickMark val="none"/>
        <c:minorTickMark val="none"/>
        <c:tickLblPos val="nextTo"/>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crossAx val="238340736"/>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16</xdr:col>
      <xdr:colOff>1293</xdr:colOff>
      <xdr:row>33</xdr:row>
      <xdr:rowOff>0</xdr:rowOff>
    </xdr:to>
    <xdr:pic>
      <xdr:nvPicPr>
        <xdr:cNvPr id="2" name="图片 1">
          <a:extLst>
            <a:ext uri="{FF2B5EF4-FFF2-40B4-BE49-F238E27FC236}">
              <a16:creationId xmlns:a16="http://schemas.microsoft.com/office/drawing/2014/main" id="{1FC9E899-04DE-4FA5-9DCF-6E6C28EE353D}"/>
            </a:ext>
          </a:extLst>
        </xdr:cNvPr>
        <xdr:cNvPicPr>
          <a:picLocks noChangeAspect="1"/>
        </xdr:cNvPicPr>
      </xdr:nvPicPr>
      <xdr:blipFill>
        <a:blip xmlns:r="http://schemas.openxmlformats.org/officeDocument/2006/relationships" r:embed="rId1"/>
        <a:stretch>
          <a:fillRect/>
        </a:stretch>
      </xdr:blipFill>
      <xdr:spPr>
        <a:xfrm>
          <a:off x="9502140" y="0"/>
          <a:ext cx="4870473" cy="2682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xdr:colOff>
      <xdr:row>17</xdr:row>
      <xdr:rowOff>82339</xdr:rowOff>
    </xdr:from>
    <xdr:to>
      <xdr:col>11</xdr:col>
      <xdr:colOff>1499679</xdr:colOff>
      <xdr:row>42</xdr:row>
      <xdr:rowOff>19050</xdr:rowOff>
    </xdr:to>
    <xdr:pic>
      <xdr:nvPicPr>
        <xdr:cNvPr id="6" name="图片 5">
          <a:extLst>
            <a:ext uri="{FF2B5EF4-FFF2-40B4-BE49-F238E27FC236}">
              <a16:creationId xmlns:a16="http://schemas.microsoft.com/office/drawing/2014/main" id="{345E1E56-0E97-4C1C-AA4A-754E6997587B}"/>
            </a:ext>
          </a:extLst>
        </xdr:cNvPr>
        <xdr:cNvPicPr>
          <a:picLocks noChangeAspect="1"/>
        </xdr:cNvPicPr>
      </xdr:nvPicPr>
      <xdr:blipFill>
        <a:blip xmlns:r="http://schemas.openxmlformats.org/officeDocument/2006/relationships" r:embed="rId1"/>
        <a:stretch>
          <a:fillRect/>
        </a:stretch>
      </xdr:blipFill>
      <xdr:spPr>
        <a:xfrm>
          <a:off x="1438274" y="2301664"/>
          <a:ext cx="9125395" cy="4222961"/>
        </a:xfrm>
        <a:prstGeom prst="rect">
          <a:avLst/>
        </a:prstGeom>
      </xdr:spPr>
    </xdr:pic>
    <xdr:clientData/>
  </xdr:twoCellAnchor>
  <xdr:twoCellAnchor editAs="oneCell">
    <xdr:from>
      <xdr:col>2</xdr:col>
      <xdr:colOff>66675</xdr:colOff>
      <xdr:row>42</xdr:row>
      <xdr:rowOff>154341</xdr:rowOff>
    </xdr:from>
    <xdr:to>
      <xdr:col>11</xdr:col>
      <xdr:colOff>1496272</xdr:colOff>
      <xdr:row>70</xdr:row>
      <xdr:rowOff>114301</xdr:rowOff>
    </xdr:to>
    <xdr:pic>
      <xdr:nvPicPr>
        <xdr:cNvPr id="7" name="图片 6">
          <a:extLst>
            <a:ext uri="{FF2B5EF4-FFF2-40B4-BE49-F238E27FC236}">
              <a16:creationId xmlns:a16="http://schemas.microsoft.com/office/drawing/2014/main" id="{4E39A6DD-639C-4510-B95F-55F692050253}"/>
            </a:ext>
          </a:extLst>
        </xdr:cNvPr>
        <xdr:cNvPicPr>
          <a:picLocks noChangeAspect="1"/>
        </xdr:cNvPicPr>
      </xdr:nvPicPr>
      <xdr:blipFill>
        <a:blip xmlns:r="http://schemas.openxmlformats.org/officeDocument/2006/relationships" r:embed="rId2"/>
        <a:stretch>
          <a:fillRect/>
        </a:stretch>
      </xdr:blipFill>
      <xdr:spPr>
        <a:xfrm>
          <a:off x="1438275" y="6659916"/>
          <a:ext cx="9121987" cy="4760560"/>
        </a:xfrm>
        <a:prstGeom prst="rect">
          <a:avLst/>
        </a:prstGeom>
      </xdr:spPr>
    </xdr:pic>
    <xdr:clientData/>
  </xdr:twoCellAnchor>
  <xdr:twoCellAnchor editAs="oneCell">
    <xdr:from>
      <xdr:col>2</xdr:col>
      <xdr:colOff>38098</xdr:colOff>
      <xdr:row>71</xdr:row>
      <xdr:rowOff>13436</xdr:rowOff>
    </xdr:from>
    <xdr:to>
      <xdr:col>11</xdr:col>
      <xdr:colOff>1348739</xdr:colOff>
      <xdr:row>95</xdr:row>
      <xdr:rowOff>26624</xdr:rowOff>
    </xdr:to>
    <xdr:pic>
      <xdr:nvPicPr>
        <xdr:cNvPr id="8" name="图片 7">
          <a:extLst>
            <a:ext uri="{FF2B5EF4-FFF2-40B4-BE49-F238E27FC236}">
              <a16:creationId xmlns:a16="http://schemas.microsoft.com/office/drawing/2014/main" id="{EF6AFDCC-1974-4583-89F7-5EC56C018C7D}"/>
            </a:ext>
          </a:extLst>
        </xdr:cNvPr>
        <xdr:cNvPicPr>
          <a:picLocks noChangeAspect="1"/>
        </xdr:cNvPicPr>
      </xdr:nvPicPr>
      <xdr:blipFill>
        <a:blip xmlns:r="http://schemas.openxmlformats.org/officeDocument/2006/relationships" r:embed="rId3"/>
        <a:stretch>
          <a:fillRect/>
        </a:stretch>
      </xdr:blipFill>
      <xdr:spPr>
        <a:xfrm>
          <a:off x="1409698" y="11491061"/>
          <a:ext cx="8934451" cy="4127988"/>
        </a:xfrm>
        <a:prstGeom prst="rect">
          <a:avLst/>
        </a:prstGeom>
      </xdr:spPr>
    </xdr:pic>
    <xdr:clientData/>
  </xdr:twoCellAnchor>
  <xdr:twoCellAnchor editAs="oneCell">
    <xdr:from>
      <xdr:col>11</xdr:col>
      <xdr:colOff>466725</xdr:colOff>
      <xdr:row>4</xdr:row>
      <xdr:rowOff>156500</xdr:rowOff>
    </xdr:from>
    <xdr:to>
      <xdr:col>16</xdr:col>
      <xdr:colOff>499110</xdr:colOff>
      <xdr:row>34</xdr:row>
      <xdr:rowOff>132710</xdr:rowOff>
    </xdr:to>
    <xdr:pic>
      <xdr:nvPicPr>
        <xdr:cNvPr id="9" name="图片 8">
          <a:extLst>
            <a:ext uri="{FF2B5EF4-FFF2-40B4-BE49-F238E27FC236}">
              <a16:creationId xmlns:a16="http://schemas.microsoft.com/office/drawing/2014/main" id="{CE783FAE-57DC-4A54-BBEE-045E801C748F}"/>
            </a:ext>
          </a:extLst>
        </xdr:cNvPr>
        <xdr:cNvPicPr>
          <a:picLocks noChangeAspect="1"/>
        </xdr:cNvPicPr>
      </xdr:nvPicPr>
      <xdr:blipFill>
        <a:blip xmlns:r="http://schemas.openxmlformats.org/officeDocument/2006/relationships" r:embed="rId4"/>
        <a:stretch>
          <a:fillRect/>
        </a:stretch>
      </xdr:blipFill>
      <xdr:spPr>
        <a:xfrm>
          <a:off x="8867775" y="1518575"/>
          <a:ext cx="5876925" cy="3748110"/>
        </a:xfrm>
        <a:prstGeom prst="rect">
          <a:avLst/>
        </a:prstGeom>
      </xdr:spPr>
    </xdr:pic>
    <xdr:clientData/>
  </xdr:twoCellAnchor>
  <xdr:twoCellAnchor editAs="oneCell">
    <xdr:from>
      <xdr:col>14</xdr:col>
      <xdr:colOff>409575</xdr:colOff>
      <xdr:row>35</xdr:row>
      <xdr:rowOff>104775</xdr:rowOff>
    </xdr:from>
    <xdr:to>
      <xdr:col>25</xdr:col>
      <xdr:colOff>548872</xdr:colOff>
      <xdr:row>44</xdr:row>
      <xdr:rowOff>152400</xdr:rowOff>
    </xdr:to>
    <xdr:pic>
      <xdr:nvPicPr>
        <xdr:cNvPr id="10" name="图片 9">
          <a:extLst>
            <a:ext uri="{FF2B5EF4-FFF2-40B4-BE49-F238E27FC236}">
              <a16:creationId xmlns:a16="http://schemas.microsoft.com/office/drawing/2014/main" id="{4D99856A-6B50-4230-B02F-55B3749C7FD8}"/>
            </a:ext>
          </a:extLst>
        </xdr:cNvPr>
        <xdr:cNvPicPr>
          <a:picLocks noChangeAspect="1"/>
        </xdr:cNvPicPr>
      </xdr:nvPicPr>
      <xdr:blipFill>
        <a:blip xmlns:r="http://schemas.openxmlformats.org/officeDocument/2006/relationships" r:embed="rId5"/>
        <a:stretch>
          <a:fillRect/>
        </a:stretch>
      </xdr:blipFill>
      <xdr:spPr>
        <a:xfrm>
          <a:off x="10868025" y="5410200"/>
          <a:ext cx="8178397" cy="1590675"/>
        </a:xfrm>
        <a:prstGeom prst="rect">
          <a:avLst/>
        </a:prstGeom>
        <a:noFill/>
        <a:ln w="9525">
          <a:noFill/>
        </a:ln>
      </xdr:spPr>
    </xdr:pic>
    <xdr:clientData/>
  </xdr:twoCellAnchor>
  <xdr:twoCellAnchor editAs="oneCell">
    <xdr:from>
      <xdr:col>14</xdr:col>
      <xdr:colOff>409575</xdr:colOff>
      <xdr:row>44</xdr:row>
      <xdr:rowOff>142875</xdr:rowOff>
    </xdr:from>
    <xdr:to>
      <xdr:col>25</xdr:col>
      <xdr:colOff>332078</xdr:colOff>
      <xdr:row>62</xdr:row>
      <xdr:rowOff>9525</xdr:rowOff>
    </xdr:to>
    <xdr:pic>
      <xdr:nvPicPr>
        <xdr:cNvPr id="11" name="图片 10">
          <a:extLst>
            <a:ext uri="{FF2B5EF4-FFF2-40B4-BE49-F238E27FC236}">
              <a16:creationId xmlns:a16="http://schemas.microsoft.com/office/drawing/2014/main" id="{770115BC-2E49-48CB-A3FB-35D007154887}"/>
            </a:ext>
          </a:extLst>
        </xdr:cNvPr>
        <xdr:cNvPicPr>
          <a:picLocks noChangeAspect="1"/>
        </xdr:cNvPicPr>
      </xdr:nvPicPr>
      <xdr:blipFill>
        <a:blip xmlns:r="http://schemas.openxmlformats.org/officeDocument/2006/relationships" r:embed="rId6"/>
        <a:stretch>
          <a:fillRect/>
        </a:stretch>
      </xdr:blipFill>
      <xdr:spPr>
        <a:xfrm>
          <a:off x="10868025" y="6991350"/>
          <a:ext cx="7961603" cy="2952750"/>
        </a:xfrm>
        <a:prstGeom prst="rect">
          <a:avLst/>
        </a:prstGeom>
        <a:noFill/>
        <a:ln w="9525">
          <a:noFill/>
        </a:ln>
      </xdr:spPr>
    </xdr:pic>
    <xdr:clientData/>
  </xdr:twoCellAnchor>
  <xdr:twoCellAnchor editAs="oneCell">
    <xdr:from>
      <xdr:col>14</xdr:col>
      <xdr:colOff>257175</xdr:colOff>
      <xdr:row>62</xdr:row>
      <xdr:rowOff>76200</xdr:rowOff>
    </xdr:from>
    <xdr:to>
      <xdr:col>31</xdr:col>
      <xdr:colOff>95664</xdr:colOff>
      <xdr:row>87</xdr:row>
      <xdr:rowOff>8998</xdr:rowOff>
    </xdr:to>
    <xdr:pic>
      <xdr:nvPicPr>
        <xdr:cNvPr id="12" name="图片 11">
          <a:extLst>
            <a:ext uri="{FF2B5EF4-FFF2-40B4-BE49-F238E27FC236}">
              <a16:creationId xmlns:a16="http://schemas.microsoft.com/office/drawing/2014/main" id="{5D46DB79-46BB-44BF-98E2-26120CF8F8D7}"/>
            </a:ext>
          </a:extLst>
        </xdr:cNvPr>
        <xdr:cNvPicPr>
          <a:picLocks noChangeAspect="1"/>
        </xdr:cNvPicPr>
      </xdr:nvPicPr>
      <xdr:blipFill>
        <a:blip xmlns:r="http://schemas.openxmlformats.org/officeDocument/2006/relationships" r:embed="rId7"/>
        <a:stretch>
          <a:fillRect/>
        </a:stretch>
      </xdr:blipFill>
      <xdr:spPr>
        <a:xfrm>
          <a:off x="10715625" y="10010775"/>
          <a:ext cx="11923809" cy="4219048"/>
        </a:xfrm>
        <a:prstGeom prst="rect">
          <a:avLst/>
        </a:prstGeom>
      </xdr:spPr>
    </xdr:pic>
    <xdr:clientData/>
  </xdr:twoCellAnchor>
  <xdr:twoCellAnchor editAs="oneCell">
    <xdr:from>
      <xdr:col>0</xdr:col>
      <xdr:colOff>234316</xdr:colOff>
      <xdr:row>110</xdr:row>
      <xdr:rowOff>163093</xdr:rowOff>
    </xdr:from>
    <xdr:to>
      <xdr:col>10</xdr:col>
      <xdr:colOff>611506</xdr:colOff>
      <xdr:row>134</xdr:row>
      <xdr:rowOff>12640</xdr:rowOff>
    </xdr:to>
    <xdr:pic>
      <xdr:nvPicPr>
        <xdr:cNvPr id="13" name="图片 12">
          <a:extLst>
            <a:ext uri="{FF2B5EF4-FFF2-40B4-BE49-F238E27FC236}">
              <a16:creationId xmlns:a16="http://schemas.microsoft.com/office/drawing/2014/main" id="{74AE8DD3-592B-454A-9E8F-DB5A104D0B5F}"/>
            </a:ext>
          </a:extLst>
        </xdr:cNvPr>
        <xdr:cNvPicPr>
          <a:picLocks noChangeAspect="1"/>
        </xdr:cNvPicPr>
      </xdr:nvPicPr>
      <xdr:blipFill>
        <a:blip xmlns:r="http://schemas.openxmlformats.org/officeDocument/2006/relationships" r:embed="rId8"/>
        <a:stretch>
          <a:fillRect/>
        </a:stretch>
      </xdr:blipFill>
      <xdr:spPr>
        <a:xfrm>
          <a:off x="234316" y="19449313"/>
          <a:ext cx="7776210" cy="4238667"/>
        </a:xfrm>
        <a:prstGeom prst="rect">
          <a:avLst/>
        </a:prstGeom>
      </xdr:spPr>
    </xdr:pic>
    <xdr:clientData/>
  </xdr:twoCellAnchor>
  <xdr:twoCellAnchor editAs="oneCell">
    <xdr:from>
      <xdr:col>0</xdr:col>
      <xdr:colOff>238125</xdr:colOff>
      <xdr:row>94</xdr:row>
      <xdr:rowOff>161924</xdr:rowOff>
    </xdr:from>
    <xdr:to>
      <xdr:col>11</xdr:col>
      <xdr:colOff>406761</xdr:colOff>
      <xdr:row>119</xdr:row>
      <xdr:rowOff>151687</xdr:rowOff>
    </xdr:to>
    <xdr:pic>
      <xdr:nvPicPr>
        <xdr:cNvPr id="14" name="图片 13">
          <a:extLst>
            <a:ext uri="{FF2B5EF4-FFF2-40B4-BE49-F238E27FC236}">
              <a16:creationId xmlns:a16="http://schemas.microsoft.com/office/drawing/2014/main" id="{71B36F93-83A9-48B2-9EAA-F1410C9F1EF2}"/>
            </a:ext>
          </a:extLst>
        </xdr:cNvPr>
        <xdr:cNvPicPr>
          <a:picLocks noChangeAspect="1"/>
        </xdr:cNvPicPr>
      </xdr:nvPicPr>
      <xdr:blipFill>
        <a:blip xmlns:r="http://schemas.openxmlformats.org/officeDocument/2006/relationships" r:embed="rId9"/>
        <a:stretch>
          <a:fillRect/>
        </a:stretch>
      </xdr:blipFill>
      <xdr:spPr>
        <a:xfrm>
          <a:off x="238125" y="16522064"/>
          <a:ext cx="8184876" cy="4561763"/>
        </a:xfrm>
        <a:prstGeom prst="rect">
          <a:avLst/>
        </a:prstGeom>
      </xdr:spPr>
    </xdr:pic>
    <xdr:clientData/>
  </xdr:twoCellAnchor>
  <xdr:twoCellAnchor editAs="oneCell">
    <xdr:from>
      <xdr:col>0</xdr:col>
      <xdr:colOff>177165</xdr:colOff>
      <xdr:row>133</xdr:row>
      <xdr:rowOff>142874</xdr:rowOff>
    </xdr:from>
    <xdr:to>
      <xdr:col>11</xdr:col>
      <xdr:colOff>875774</xdr:colOff>
      <xdr:row>161</xdr:row>
      <xdr:rowOff>113549</xdr:rowOff>
    </xdr:to>
    <xdr:pic>
      <xdr:nvPicPr>
        <xdr:cNvPr id="15" name="图片 14">
          <a:extLst>
            <a:ext uri="{FF2B5EF4-FFF2-40B4-BE49-F238E27FC236}">
              <a16:creationId xmlns:a16="http://schemas.microsoft.com/office/drawing/2014/main" id="{99600962-6252-45B3-BD3B-437891FC4C01}"/>
            </a:ext>
          </a:extLst>
        </xdr:cNvPr>
        <xdr:cNvPicPr>
          <a:picLocks noChangeAspect="1"/>
        </xdr:cNvPicPr>
      </xdr:nvPicPr>
      <xdr:blipFill>
        <a:blip xmlns:r="http://schemas.openxmlformats.org/officeDocument/2006/relationships" r:embed="rId10"/>
        <a:stretch>
          <a:fillRect/>
        </a:stretch>
      </xdr:blipFill>
      <xdr:spPr>
        <a:xfrm>
          <a:off x="177165" y="23635334"/>
          <a:ext cx="8714849" cy="5091315"/>
        </a:xfrm>
        <a:prstGeom prst="rect">
          <a:avLst/>
        </a:prstGeom>
      </xdr:spPr>
    </xdr:pic>
    <xdr:clientData/>
  </xdr:twoCellAnchor>
  <xdr:twoCellAnchor editAs="oneCell">
    <xdr:from>
      <xdr:col>13</xdr:col>
      <xdr:colOff>510540</xdr:colOff>
      <xdr:row>87</xdr:row>
      <xdr:rowOff>114300</xdr:rowOff>
    </xdr:from>
    <xdr:to>
      <xdr:col>21</xdr:col>
      <xdr:colOff>288917</xdr:colOff>
      <xdr:row>98</xdr:row>
      <xdr:rowOff>178810</xdr:rowOff>
    </xdr:to>
    <xdr:pic>
      <xdr:nvPicPr>
        <xdr:cNvPr id="2" name="图片 1">
          <a:extLst>
            <a:ext uri="{FF2B5EF4-FFF2-40B4-BE49-F238E27FC236}">
              <a16:creationId xmlns:a16="http://schemas.microsoft.com/office/drawing/2014/main" id="{71655239-8CAF-401E-B9FC-81AC57E7D4D1}"/>
            </a:ext>
          </a:extLst>
        </xdr:cNvPr>
        <xdr:cNvPicPr>
          <a:picLocks noChangeAspect="1"/>
        </xdr:cNvPicPr>
      </xdr:nvPicPr>
      <xdr:blipFill>
        <a:blip xmlns:r="http://schemas.openxmlformats.org/officeDocument/2006/relationships" r:embed="rId11"/>
        <a:stretch>
          <a:fillRect/>
        </a:stretch>
      </xdr:blipFill>
      <xdr:spPr>
        <a:xfrm>
          <a:off x="9304020" y="15194280"/>
          <a:ext cx="5142857" cy="2076190"/>
        </a:xfrm>
        <a:prstGeom prst="rect">
          <a:avLst/>
        </a:prstGeom>
      </xdr:spPr>
    </xdr:pic>
    <xdr:clientData/>
  </xdr:twoCellAnchor>
  <xdr:twoCellAnchor editAs="oneCell">
    <xdr:from>
      <xdr:col>11</xdr:col>
      <xdr:colOff>1630680</xdr:colOff>
      <xdr:row>35</xdr:row>
      <xdr:rowOff>83820</xdr:rowOff>
    </xdr:from>
    <xdr:to>
      <xdr:col>23</xdr:col>
      <xdr:colOff>132290</xdr:colOff>
      <xdr:row>69</xdr:row>
      <xdr:rowOff>170662</xdr:rowOff>
    </xdr:to>
    <xdr:pic>
      <xdr:nvPicPr>
        <xdr:cNvPr id="3" name="图片 2">
          <a:extLst>
            <a:ext uri="{FF2B5EF4-FFF2-40B4-BE49-F238E27FC236}">
              <a16:creationId xmlns:a16="http://schemas.microsoft.com/office/drawing/2014/main" id="{EF047404-1034-43D2-9CA0-05DB2A8E34B7}"/>
            </a:ext>
          </a:extLst>
        </xdr:cNvPr>
        <xdr:cNvPicPr>
          <a:picLocks noChangeAspect="1"/>
        </xdr:cNvPicPr>
      </xdr:nvPicPr>
      <xdr:blipFill>
        <a:blip xmlns:r="http://schemas.openxmlformats.org/officeDocument/2006/relationships" r:embed="rId12"/>
        <a:stretch>
          <a:fillRect/>
        </a:stretch>
      </xdr:blipFill>
      <xdr:spPr>
        <a:xfrm>
          <a:off x="9646920" y="6598920"/>
          <a:ext cx="8476190" cy="63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541020</xdr:colOff>
      <xdr:row>43</xdr:row>
      <xdr:rowOff>15240</xdr:rowOff>
    </xdr:from>
    <xdr:to>
      <xdr:col>9</xdr:col>
      <xdr:colOff>552450</xdr:colOff>
      <xdr:row>64</xdr:row>
      <xdr:rowOff>189548</xdr:rowOff>
    </xdr:to>
    <xdr:graphicFrame macro="">
      <xdr:nvGraphicFramePr>
        <xdr:cNvPr id="5" name="图表 4">
          <a:extLst>
            <a:ext uri="{FF2B5EF4-FFF2-40B4-BE49-F238E27FC236}">
              <a16:creationId xmlns:a16="http://schemas.microsoft.com/office/drawing/2014/main" id="{06D872A6-0C30-4ABD-8114-BD11463EB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8201;&#27849;&#20013;&#24515;/&#21442;&#32771;/1.&#27979;&#31639;-&#28165;&#27827;&#22025;&#22253;-&#22303;&#22320;&#21033;&#29992;&#20013;&#24515;-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425;\2.&#32508;&#21512;\3.&#22303;&#22320;\2021-1-0456&#24378;&#20305;&#28165;&#27827;&#26032;&#22478;-8.13\F03-&#21435;&#25481;&#19981;&#34917;&#32564;&#32467;&#35770;-9.15-&#26368;&#32456;\1.&#27979;&#31639;-&#28165;&#27827;&#22025;&#22253;-&#22303;&#22320;&#21033;&#29992;&#20013;&#24515;-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 (办公)</v>
          </cell>
        </row>
        <row r="22">
          <cell r="A22" t="str">
            <v>燃品库房</v>
          </cell>
          <cell r="B22" t="str">
            <v>剩余法-待开发 (办公)</v>
          </cell>
        </row>
        <row r="23">
          <cell r="A23" t="str">
            <v>非燃品库房</v>
          </cell>
          <cell r="B23" t="str">
            <v>剩余法-待开发（商业）</v>
          </cell>
        </row>
        <row r="24">
          <cell r="A24" t="str">
            <v>——</v>
          </cell>
          <cell r="B24" t="str">
            <v>基准地价住宅</v>
          </cell>
        </row>
        <row r="25">
          <cell r="A25" t="str">
            <v>限价商品房</v>
          </cell>
          <cell r="B25" t="str">
            <v>剩余法住宅</v>
          </cell>
        </row>
        <row r="26">
          <cell r="A26" t="str">
            <v>自住商品房</v>
          </cell>
          <cell r="B26" t="str">
            <v>比较法住宅</v>
          </cell>
        </row>
        <row r="27">
          <cell r="A27" t="str">
            <v>综合体</v>
          </cell>
          <cell r="B27" t="str">
            <v>剩余法-待开发办公剩余年限</v>
          </cell>
        </row>
        <row r="28">
          <cell r="A28" t="str">
            <v>商务办公</v>
          </cell>
          <cell r="B28" t="str">
            <v>不动产比较法-办公剩余年限</v>
          </cell>
        </row>
        <row r="29">
          <cell r="A29" t="str">
            <v>办公配套用房</v>
          </cell>
          <cell r="B29" t="str">
            <v>比较法-办公剩余年限</v>
          </cell>
        </row>
        <row r="30">
          <cell r="A30" t="str">
            <v>地下一层商业</v>
          </cell>
          <cell r="B30" t="str">
            <v>基准地价 住宅-满年限</v>
          </cell>
        </row>
        <row r="31">
          <cell r="A31" t="str">
            <v>地下二层商业</v>
          </cell>
          <cell r="B31" t="str">
            <v>剩余法住宅</v>
          </cell>
        </row>
        <row r="32">
          <cell r="A32" t="str">
            <v>地下仓储-住宅</v>
          </cell>
          <cell r="B32" t="str">
            <v>*</v>
          </cell>
        </row>
        <row r="33">
          <cell r="A33" t="str">
            <v>地下仓储-商业</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ow r="3">
          <cell r="G3">
            <v>619.73999999999978</v>
          </cell>
        </row>
        <row r="8">
          <cell r="G8">
            <v>1002.43</v>
          </cell>
        </row>
        <row r="9">
          <cell r="G9">
            <v>2152.12</v>
          </cell>
        </row>
      </sheetData>
      <sheetData sheetId="11" refreshError="1"/>
      <sheetData sheetId="12" refreshError="1"/>
      <sheetData sheetId="13">
        <row r="17">
          <cell r="C17" t="str">
            <v>项目类型</v>
          </cell>
        </row>
        <row r="19">
          <cell r="C19" t="str">
            <v>地上住宅</v>
          </cell>
        </row>
        <row r="20">
          <cell r="C20" t="str">
            <v>地上商业</v>
          </cell>
        </row>
        <row r="21">
          <cell r="C21" t="str">
            <v>地下仓储</v>
          </cell>
        </row>
        <row r="22">
          <cell r="C22" t="str">
            <v>地下办公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cell r="C61" t="str">
            <v>正常</v>
          </cell>
        </row>
        <row r="63">
          <cell r="B63" t="str">
            <v>用途</v>
          </cell>
          <cell r="C63" t="str">
            <v>住宅</v>
          </cell>
        </row>
        <row r="86">
          <cell r="B86" t="str">
            <v>楼层-1</v>
          </cell>
          <cell r="C86" t="str">
            <v>中</v>
          </cell>
        </row>
        <row r="88">
          <cell r="B88" t="str">
            <v>朝向</v>
          </cell>
          <cell r="C88" t="str">
            <v>南北</v>
          </cell>
        </row>
        <row r="100">
          <cell r="B100" t="str">
            <v>建筑类型</v>
          </cell>
          <cell r="C100" t="str">
            <v>低密度</v>
          </cell>
          <cell r="D100" t="str">
            <v>多层板楼</v>
          </cell>
          <cell r="E100" t="str">
            <v>小高层板楼</v>
          </cell>
          <cell r="F100" t="str">
            <v>高层板楼</v>
          </cell>
          <cell r="G100" t="str">
            <v>塔楼</v>
          </cell>
        </row>
        <row r="105">
          <cell r="B105" t="str">
            <v>建筑结构</v>
          </cell>
          <cell r="C105" t="str">
            <v>钢混</v>
          </cell>
          <cell r="D105" t="str">
            <v>砖混</v>
          </cell>
        </row>
        <row r="107">
          <cell r="B107" t="str">
            <v>建筑品质</v>
          </cell>
          <cell r="C107" t="str">
            <v>高</v>
          </cell>
        </row>
        <row r="109">
          <cell r="B109" t="str">
            <v>公共部分装修</v>
          </cell>
          <cell r="C109" t="str">
            <v>精装修</v>
          </cell>
        </row>
        <row r="114">
          <cell r="B114" t="str">
            <v>物业管理</v>
          </cell>
          <cell r="C114" t="str">
            <v>专业</v>
          </cell>
        </row>
        <row r="116">
          <cell r="B116" t="str">
            <v>市政基础设施</v>
          </cell>
          <cell r="C116" t="str">
            <v>七通</v>
          </cell>
          <cell r="D116" t="str">
            <v>六通</v>
          </cell>
          <cell r="E116" t="str">
            <v>五通</v>
          </cell>
        </row>
        <row r="118">
          <cell r="B118" t="str">
            <v>房型</v>
          </cell>
        </row>
        <row r="122">
          <cell r="B122" t="str">
            <v>内部装修</v>
          </cell>
          <cell r="C122" t="str">
            <v>精装修</v>
          </cell>
          <cell r="D122" t="str">
            <v>普通装修</v>
          </cell>
          <cell r="E122" t="str">
            <v>简单装修</v>
          </cell>
          <cell r="F122" t="str">
            <v>毛坯</v>
          </cell>
        </row>
      </sheetData>
      <sheetData sheetId="28" refreshError="1"/>
      <sheetData sheetId="29" refreshError="1"/>
      <sheetData sheetId="3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31">
        <row r="29">
          <cell r="C29">
            <v>14447</v>
          </cell>
        </row>
      </sheetData>
      <sheetData sheetId="32">
        <row r="3">
          <cell r="B3">
            <v>19835</v>
          </cell>
        </row>
      </sheetData>
      <sheetData sheetId="33">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row>
        <row r="90">
          <cell r="B90" t="str">
            <v>人流量</v>
          </cell>
          <cell r="C90" t="str">
            <v>较大</v>
          </cell>
          <cell r="D90" t="str">
            <v>一般</v>
          </cell>
        </row>
        <row r="92">
          <cell r="B92" t="str">
            <v>楼层</v>
          </cell>
        </row>
        <row r="100">
          <cell r="B100" t="str">
            <v>商业类型</v>
          </cell>
          <cell r="C100" t="str">
            <v>综合体</v>
          </cell>
          <cell r="D100" t="str">
            <v>商业街店铺</v>
          </cell>
          <cell r="E100" t="str">
            <v>写字楼配套</v>
          </cell>
          <cell r="F100" t="str">
            <v>住宅配套</v>
          </cell>
        </row>
        <row r="105">
          <cell r="B105" t="str">
            <v>建筑结构</v>
          </cell>
          <cell r="C105" t="str">
            <v>钢混</v>
          </cell>
        </row>
        <row r="107">
          <cell r="B107" t="str">
            <v>公共部分装修</v>
          </cell>
          <cell r="C107" t="str">
            <v>普通装修</v>
          </cell>
        </row>
        <row r="112">
          <cell r="B112" t="str">
            <v>市政基础设施</v>
          </cell>
          <cell r="C112" t="str">
            <v>七通</v>
          </cell>
          <cell r="D112" t="str">
            <v>六通</v>
          </cell>
        </row>
        <row r="114">
          <cell r="B114" t="str">
            <v>业态</v>
          </cell>
        </row>
        <row r="116">
          <cell r="B116" t="str">
            <v>层高</v>
          </cell>
          <cell r="C116" t="str">
            <v>7m</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34" refreshError="1"/>
      <sheetData sheetId="35">
        <row r="3">
          <cell r="B3">
            <v>18943</v>
          </cell>
        </row>
        <row r="75">
          <cell r="A75" t="str">
            <v>交易情况</v>
          </cell>
          <cell r="C75" t="str">
            <v>正常</v>
          </cell>
        </row>
        <row r="77">
          <cell r="B77" t="str">
            <v>用途</v>
          </cell>
          <cell r="C77" t="str">
            <v>商业</v>
          </cell>
          <cell r="D77" t="str">
            <v>商业（绿隔产业）</v>
          </cell>
          <cell r="E77" t="str">
            <v>办公</v>
          </cell>
          <cell r="F77" t="str">
            <v>工业</v>
          </cell>
        </row>
        <row r="108">
          <cell r="B108" t="str">
            <v>毗邻道路的类型与等级</v>
          </cell>
          <cell r="C108" t="str">
            <v>城市高速路</v>
          </cell>
          <cell r="D108" t="str">
            <v>城市快速路</v>
          </cell>
          <cell r="E108" t="str">
            <v>城市主干道</v>
          </cell>
          <cell r="F108" t="str">
            <v>城市次干道</v>
          </cell>
          <cell r="G108" t="str">
            <v>城市支路</v>
          </cell>
        </row>
        <row r="110">
          <cell r="B110" t="str">
            <v>土地级别</v>
          </cell>
          <cell r="C110" t="str">
            <v>四级</v>
          </cell>
          <cell r="D110" t="str">
            <v>五级</v>
          </cell>
          <cell r="E110" t="str">
            <v>六级</v>
          </cell>
          <cell r="F110" t="str">
            <v>七级</v>
          </cell>
          <cell r="G110" t="str">
            <v>八级</v>
          </cell>
        </row>
        <row r="121">
          <cell r="B121" t="str">
            <v>宗地形状</v>
          </cell>
          <cell r="C121" t="str">
            <v>规整</v>
          </cell>
        </row>
        <row r="123">
          <cell r="B123" t="str">
            <v>临街宽度及深度</v>
          </cell>
        </row>
        <row r="125">
          <cell r="B125" t="str">
            <v>宗地开发程度</v>
          </cell>
          <cell r="C125" t="str">
            <v>七通</v>
          </cell>
        </row>
        <row r="127">
          <cell r="B127" t="str">
            <v>工程地质条件</v>
          </cell>
          <cell r="C127" t="str">
            <v>好</v>
          </cell>
          <cell r="D127" t="str">
            <v>较好</v>
          </cell>
          <cell r="E127" t="str">
            <v>一般</v>
          </cell>
          <cell r="F127" t="str">
            <v>较差</v>
          </cell>
          <cell r="G127" t="str">
            <v>差</v>
          </cell>
        </row>
      </sheetData>
      <sheetData sheetId="36" refreshError="1"/>
      <sheetData sheetId="37" refreshError="1"/>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cell r="C62" t="str">
            <v>正常</v>
          </cell>
        </row>
        <row r="64">
          <cell r="B64" t="str">
            <v>用途</v>
          </cell>
          <cell r="C64" t="str">
            <v>办公</v>
          </cell>
        </row>
        <row r="87">
          <cell r="B87" t="str">
            <v>毗邻道路的类型与等级</v>
          </cell>
          <cell r="C87" t="str">
            <v>高速路</v>
          </cell>
          <cell r="D87" t="str">
            <v>主干道</v>
          </cell>
        </row>
        <row r="89">
          <cell r="B89" t="str">
            <v>楼层</v>
          </cell>
        </row>
        <row r="91">
          <cell r="B91" t="str">
            <v>朝向</v>
          </cell>
        </row>
        <row r="101">
          <cell r="B101" t="str">
            <v>建筑类型</v>
          </cell>
          <cell r="C101" t="str">
            <v>综合体</v>
          </cell>
          <cell r="D101" t="str">
            <v>写字楼</v>
          </cell>
          <cell r="E101" t="str">
            <v>住宅配套</v>
          </cell>
        </row>
        <row r="106">
          <cell r="B106" t="str">
            <v>建筑结构</v>
          </cell>
          <cell r="C106" t="str">
            <v>钢混</v>
          </cell>
        </row>
        <row r="108">
          <cell r="B108" t="str">
            <v>公共部分装修</v>
          </cell>
          <cell r="C108" t="str">
            <v>普通装修</v>
          </cell>
        </row>
        <row r="113">
          <cell r="B113" t="str">
            <v>写字楼等级</v>
          </cell>
          <cell r="C113" t="str">
            <v>甲级</v>
          </cell>
          <cell r="D113" t="str">
            <v>乙级</v>
          </cell>
        </row>
        <row r="115">
          <cell r="B115" t="str">
            <v>物业管理</v>
          </cell>
          <cell r="C115" t="str">
            <v>物业公司管理</v>
          </cell>
        </row>
        <row r="117">
          <cell r="B117" t="str">
            <v>市政基础设施</v>
          </cell>
          <cell r="C117" t="str">
            <v>七通</v>
          </cell>
          <cell r="D117" t="str">
            <v>六通</v>
          </cell>
        </row>
        <row r="119">
          <cell r="B119" t="str">
            <v>层高</v>
          </cell>
          <cell r="C119" t="str">
            <v>标准层高</v>
          </cell>
        </row>
        <row r="123">
          <cell r="B123" t="str">
            <v>内部装修</v>
          </cell>
          <cell r="C123" t="str">
            <v>精装修</v>
          </cell>
          <cell r="D123" t="str">
            <v>普通装修</v>
          </cell>
          <cell r="E123" t="str">
            <v>简单装修</v>
          </cell>
          <cell r="F123" t="str">
            <v>毛坯</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6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6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7">
          <cell r="F27" t="str">
            <v>基准地价</v>
          </cell>
        </row>
      </sheetData>
      <sheetData sheetId="23">
        <row r="9">
          <cell r="E9">
            <v>32101</v>
          </cell>
        </row>
        <row r="12">
          <cell r="E12">
            <v>18555</v>
          </cell>
        </row>
        <row r="24">
          <cell r="G24">
            <v>15604</v>
          </cell>
        </row>
        <row r="25">
          <cell r="G25">
            <v>17548</v>
          </cell>
        </row>
        <row r="26">
          <cell r="G26">
            <v>19976</v>
          </cell>
        </row>
      </sheetData>
      <sheetData sheetId="24" refreshError="1"/>
      <sheetData sheetId="25">
        <row r="29">
          <cell r="C29">
            <v>19337</v>
          </cell>
        </row>
      </sheetData>
      <sheetData sheetId="26" refreshError="1"/>
      <sheetData sheetId="27" refreshError="1"/>
      <sheetData sheetId="28" refreshError="1"/>
      <sheetData sheetId="29" refreshError="1"/>
      <sheetData sheetId="30" refreshError="1"/>
      <sheetData sheetId="31">
        <row r="5">
          <cell r="C5">
            <v>12590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
          <cell r="C6">
            <v>12540</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73" customWidth="1"/>
    <col min="2" max="2" width="78.25" style="3274" customWidth="1"/>
    <col min="3" max="18" width="9" style="3275"/>
    <col min="19" max="19" width="17.875" style="3275" customWidth="1"/>
    <col min="20" max="51" width="9" style="3275"/>
    <col min="52" max="52" width="13.25" style="3275" customWidth="1"/>
    <col min="53" max="53" width="13.5" style="3275" customWidth="1"/>
    <col min="54" max="54" width="11.625" style="3275" customWidth="1"/>
    <col min="55" max="55" width="13.5" style="3275" customWidth="1"/>
    <col min="56" max="16384" width="9" style="3275"/>
  </cols>
  <sheetData>
    <row r="1" spans="1:55" s="3267" customFormat="1" ht="15.75">
      <c r="A1" s="3276" t="s">
        <v>0</v>
      </c>
      <c r="B1" s="3277" t="s">
        <v>1</v>
      </c>
    </row>
    <row r="2" spans="1:55" s="3268" customFormat="1">
      <c r="A2" s="3278" t="s">
        <v>2</v>
      </c>
      <c r="B2" s="3279" t="str">
        <f>'预评函-封皮'!B37</f>
        <v>北京市出让国有建设用地使用权抵押价格预评估</v>
      </c>
      <c r="AX2" s="3290"/>
      <c r="AZ2" s="3290"/>
      <c r="BA2" s="3291"/>
      <c r="BC2" s="3291"/>
    </row>
    <row r="3" spans="1:55" s="3269" customFormat="1">
      <c r="A3" s="3280" t="s">
        <v>3</v>
      </c>
      <c r="B3" s="3281">
        <f>'预评函-封皮'!B40</f>
        <v>0</v>
      </c>
    </row>
    <row r="4" spans="1:55" s="3270" customFormat="1">
      <c r="A4" s="3280" t="s">
        <v>4</v>
      </c>
      <c r="B4" s="3282" t="str">
        <f>'预评函-封皮'!B46</f>
        <v>陈颖、崔锴</v>
      </c>
      <c r="N4" s="3270" t="str">
        <f>'预评函-1'!A28</f>
        <v>本次估价的“抵押净值”是指估价对象“抵押价格”减去估价对象在估价期日以“土地销售收入”为基数计算的预计抵押权实现进行处置时需缴纳的各项费用、税金等相关费用后的价格。</v>
      </c>
    </row>
    <row r="5" spans="1:55" s="3267" customFormat="1">
      <c r="A5" s="3283" t="s">
        <v>5</v>
      </c>
      <c r="B5" s="3284" t="str">
        <f>'预评函-封皮'!B49</f>
        <v>康正预评字号</v>
      </c>
    </row>
    <row r="6" spans="1:55" s="3271" customFormat="1">
      <c r="A6" s="3278" t="s">
        <v>6</v>
      </c>
      <c r="B6" s="3279" t="str">
        <f>'预评函-1'!A4</f>
        <v>受贵公司委托，我公司对北京市出让国有建设用地使用权抵押价格进行了预评估。</v>
      </c>
      <c r="AM6" s="3288"/>
    </row>
    <row r="7" spans="1:55" s="3272" customFormat="1">
      <c r="A7" s="3280" t="s">
        <v>7</v>
      </c>
      <c r="B7" s="3282" t="str">
        <f>'预评函-1'!A6</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8" spans="1:55" s="3272" customFormat="1">
      <c r="A8" s="3280" t="s">
        <v>8</v>
      </c>
      <c r="B8" s="3282" t="str">
        <f>'预评函-1'!A7</f>
        <v xml:space="preserve">简述项目推广名，项目类型（用途），估价对象分布，各用途面积明细情况：XX用途建筑面积XX平方米，XX用途建筑面积XX平方米，……。复杂面积清单需设‘附表’列示：抵押物清单详见附表。        </v>
      </c>
    </row>
    <row r="9" spans="1:55" s="3272" customFormat="1">
      <c r="A9" s="3280" t="s">
        <v>9</v>
      </c>
      <c r="B9" s="3282"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272" customFormat="1">
      <c r="A10" s="3280" t="s">
        <v>10</v>
      </c>
      <c r="B10" s="3282" t="str">
        <f>'预评函-1'!A11</f>
        <v>2021年10月15日</v>
      </c>
    </row>
    <row r="11" spans="1:55" s="3272" customFormat="1">
      <c r="A11" s="3280" t="s">
        <v>11</v>
      </c>
      <c r="B11" s="3282" t="str">
        <f>'预评函-1'!A14</f>
        <v>根据《国有土地使用证》[]，本次评估估价对象证载（地类）用途为。</v>
      </c>
    </row>
    <row r="12" spans="1:55" s="3272" customFormat="1">
      <c r="A12" s="3280" t="s">
        <v>12</v>
      </c>
      <c r="B12" s="3282" t="str">
        <f>'预评函-1'!A15</f>
        <v>本次评估设定用途即为证载用途。</v>
      </c>
    </row>
    <row r="13" spans="1:55" s="3272" customFormat="1">
      <c r="A13" s="3280" t="s">
        <v>13</v>
      </c>
      <c r="B13" s="3282" t="str">
        <f>'预评函-1'!A17</f>
        <v>根据委托估价方介绍及评估专业人员现场勘查，本次评估估价对象实际土地开发程度为红线外市政基础设施达“七通”（即、、、、、、）、宗地红线内场地平整。</v>
      </c>
    </row>
    <row r="14" spans="1:55" s="3272" customFormat="1">
      <c r="A14" s="3280" t="s">
        <v>14</v>
      </c>
      <c r="B14" s="3282" t="str">
        <f>'预评函-1'!A18</f>
        <v>。本次评估设定土地开发程度为红线外市政基础设施达“七通”、宗地红线内场地平整。</v>
      </c>
    </row>
    <row r="15" spans="1:55" s="3272" customFormat="1">
      <c r="A15" s="3280" t="s">
        <v>15</v>
      </c>
      <c r="B15" s="3282" t="str">
        <f>'预评函-1'!A20</f>
        <v>根据《国有土地使用证》[]，估价对象（分摊）出让国有建设用地使用权面积为25406.38平方米。根据《建设工程规划许可证》[]、《出让合同》[]，估价对象规划建筑面积为63500平方米。</v>
      </c>
    </row>
    <row r="16" spans="1:55" s="3272" customFormat="1">
      <c r="A16" s="3280" t="s">
        <v>16</v>
      </c>
      <c r="B16" s="328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1月1日。截至估价期日，出让国有建设用地使用权剩余土地使用年限为。</v>
      </c>
    </row>
    <row r="17" spans="1:48" s="3272" customFormat="1">
      <c r="A17" s="3280" t="s">
        <v>17</v>
      </c>
      <c r="B17" s="3282" t="str">
        <f>'预评函-1'!A23</f>
        <v>本次评估设定估价对象剩余土地使用年限为。</v>
      </c>
    </row>
    <row r="18" spans="1:48" s="3272" customFormat="1">
      <c r="A18" s="3280" t="s">
        <v>18</v>
      </c>
      <c r="B18" s="3282" t="str">
        <f>'预评函-1'!A25</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19" spans="1:48" s="3272" customFormat="1">
      <c r="A19" s="3280" t="s">
        <v>19</v>
      </c>
      <c r="B19" s="328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272" customFormat="1">
      <c r="A20" s="3280" t="s">
        <v>20</v>
      </c>
      <c r="B20" s="328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267" customFormat="1">
      <c r="A21" s="3283" t="s">
        <v>21</v>
      </c>
      <c r="B21" s="3284" t="str">
        <f>'预评函-1'!A28</f>
        <v>本次估价的“抵押净值”是指估价对象“抵押价格”减去估价对象在估价期日以“土地销售收入”为基数计算的预计抵押权实现进行处置时需缴纳的各项费用、税金等相关费用后的价格。</v>
      </c>
    </row>
    <row r="22" spans="1:48">
      <c r="A22" s="3285" t="s">
        <v>22</v>
      </c>
      <c r="B22" s="328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280" t="s">
        <v>23</v>
      </c>
      <c r="B23" s="3282" t="str">
        <f>'预评函-2'!K2</f>
        <v>估价期日：2021年10月15日</v>
      </c>
    </row>
    <row r="24" spans="1:48">
      <c r="A24" s="3280" t="s">
        <v>24</v>
      </c>
      <c r="B24" s="3282" t="str">
        <f>'预评函-2'!R2</f>
        <v>估价期日的国有建设用地使用权性质：出让</v>
      </c>
    </row>
    <row r="25" spans="1:48">
      <c r="A25" s="3280" t="s">
        <v>25</v>
      </c>
      <c r="B25" s="3282" t="str">
        <f>'预评函-2'!A3</f>
        <v>估价期日土地使用者</v>
      </c>
    </row>
    <row r="26" spans="1:48">
      <c r="A26" s="3280" t="s">
        <v>26</v>
      </c>
      <c r="B26" s="3282" t="str">
        <f>'预评函-2'!A5</f>
        <v>中信开发</v>
      </c>
    </row>
    <row r="27" spans="1:48">
      <c r="A27" s="3280" t="s">
        <v>27</v>
      </c>
      <c r="B27" s="3282" t="str">
        <f>'预评函-2'!B3</f>
        <v>宗地编号/不动产单元号</v>
      </c>
    </row>
    <row r="28" spans="1:48">
      <c r="A28" s="3280" t="s">
        <v>28</v>
      </c>
      <c r="B28" s="3282" t="str">
        <f>'预评函-2'!B5</f>
        <v>11111111111</v>
      </c>
    </row>
    <row r="29" spans="1:48">
      <c r="A29" s="3280" t="s">
        <v>29</v>
      </c>
      <c r="B29" s="3282">
        <f>'预评函-2'!C5</f>
        <v>22</v>
      </c>
    </row>
    <row r="30" spans="1:48">
      <c r="A30" s="3280" t="s">
        <v>30</v>
      </c>
      <c r="B30" s="3282" t="str">
        <f>'预评函-2'!D3</f>
        <v>土地使用证编号/不动产权证书编号</v>
      </c>
    </row>
    <row r="31" spans="1:48">
      <c r="A31" s="3280" t="s">
        <v>31</v>
      </c>
      <c r="B31" s="3282" t="str">
        <f>'预评函-2'!D5</f>
        <v>京国土字第111号</v>
      </c>
    </row>
    <row r="32" spans="1:48">
      <c r="A32" s="3280" t="s">
        <v>32</v>
      </c>
      <c r="B32" s="3282">
        <f>'预评函-2'!E5</f>
        <v>0</v>
      </c>
      <c r="AV32" s="3289"/>
    </row>
    <row r="33" spans="1:2">
      <c r="A33" s="3280" t="s">
        <v>33</v>
      </c>
      <c r="B33" s="3282">
        <f>'预评函-2'!F5</f>
        <v>258</v>
      </c>
    </row>
    <row r="34" spans="1:2">
      <c r="A34" s="3280" t="s">
        <v>34</v>
      </c>
      <c r="B34" s="3282">
        <f>'预评函-2'!G5</f>
        <v>0</v>
      </c>
    </row>
    <row r="35" spans="1:2">
      <c r="A35" s="3280" t="s">
        <v>35</v>
      </c>
      <c r="B35" s="3282">
        <f>'预评函-2'!H5</f>
        <v>1.5</v>
      </c>
    </row>
    <row r="36" spans="1:2">
      <c r="A36" s="3280" t="s">
        <v>36</v>
      </c>
      <c r="B36" s="3282">
        <f>'预评函-2'!I5</f>
        <v>1.5</v>
      </c>
    </row>
    <row r="37" spans="1:2">
      <c r="A37" s="3280" t="s">
        <v>37</v>
      </c>
      <c r="B37" s="3282">
        <f>'预评函-2'!J5</f>
        <v>1.5</v>
      </c>
    </row>
    <row r="38" spans="1:2">
      <c r="A38" s="3280" t="s">
        <v>38</v>
      </c>
      <c r="B38" s="3282" t="str">
        <f>'预评函-2'!K5</f>
        <v>红线外七通、宗地红线内</v>
      </c>
    </row>
    <row r="39" spans="1:2">
      <c r="A39" s="3280" t="s">
        <v>39</v>
      </c>
      <c r="B39" s="3282" t="str">
        <f>'预评函-2'!L5</f>
        <v>红线外七通、宗地红线内场地</v>
      </c>
    </row>
    <row r="40" spans="1:2">
      <c r="A40" s="3280" t="s">
        <v>40</v>
      </c>
      <c r="B40" s="3282" t="str">
        <f>'预评函-2'!M3</f>
        <v>（剩余）土地使用年限/年</v>
      </c>
    </row>
    <row r="41" spans="1:2">
      <c r="A41" s="3280" t="s">
        <v>41</v>
      </c>
      <c r="B41" s="3282">
        <f>'预评函-2'!M5</f>
        <v>0</v>
      </c>
    </row>
    <row r="42" spans="1:2">
      <c r="A42" s="3280" t="s">
        <v>42</v>
      </c>
      <c r="B42" s="3282" t="str">
        <f>'预评函-2'!N3</f>
        <v>（分摊）出让国有建设用地使用权面积/㎡</v>
      </c>
    </row>
    <row r="43" spans="1:2">
      <c r="A43" s="3280" t="s">
        <v>43</v>
      </c>
      <c r="B43" s="3282">
        <f>'预评函-2'!N5</f>
        <v>25406.38</v>
      </c>
    </row>
    <row r="44" spans="1:2">
      <c r="A44" s="3280" t="s">
        <v>44</v>
      </c>
      <c r="B44" s="3282" t="str">
        <f>'预评函-2'!O3</f>
        <v>规划建筑面积/㎡</v>
      </c>
    </row>
    <row r="45" spans="1:2">
      <c r="A45" s="3280" t="s">
        <v>45</v>
      </c>
      <c r="B45" s="3282">
        <f>'预评函-2'!O5</f>
        <v>63500</v>
      </c>
    </row>
    <row r="46" spans="1:2">
      <c r="A46" s="3280" t="s">
        <v>46</v>
      </c>
      <c r="B46" s="3282">
        <f ca="1">'预评函-2'!P5</f>
        <v>50593</v>
      </c>
    </row>
    <row r="47" spans="1:2">
      <c r="A47" s="3280" t="s">
        <v>47</v>
      </c>
      <c r="B47" s="3282">
        <f ca="1">'预评函-2'!Q5</f>
        <v>20242</v>
      </c>
    </row>
    <row r="48" spans="1:2">
      <c r="A48" s="3280" t="s">
        <v>48</v>
      </c>
      <c r="B48" s="3282">
        <f ca="1">'预评函-2'!R5</f>
        <v>128539</v>
      </c>
    </row>
    <row r="49" spans="1:2">
      <c r="A49" s="3280" t="s">
        <v>49</v>
      </c>
      <c r="B49" s="3282" t="str">
        <f>'预评函-2'!A6</f>
        <v>抵押价格</v>
      </c>
    </row>
    <row r="50" spans="1:2">
      <c r="A50" s="3280" t="s">
        <v>50</v>
      </c>
      <c r="B50" s="3282" t="str">
        <f>'预评函-2'!R6</f>
        <v>——</v>
      </c>
    </row>
    <row r="51" spans="1:2">
      <c r="A51" s="3280" t="s">
        <v>51</v>
      </c>
      <c r="B51" s="3282" t="str">
        <f>'预评函-2'!A7</f>
        <v>——</v>
      </c>
    </row>
    <row r="52" spans="1:2">
      <c r="A52" s="3280" t="s">
        <v>52</v>
      </c>
      <c r="B52" s="3282" t="str">
        <f>'预评函-2'!R7</f>
        <v>——</v>
      </c>
    </row>
    <row r="53" spans="1:2">
      <c r="A53" s="3280" t="s">
        <v>53</v>
      </c>
      <c r="B53" s="3282">
        <f>'预评函-2'!A8</f>
        <v>0</v>
      </c>
    </row>
    <row r="54" spans="1:2" s="3267" customFormat="1">
      <c r="A54" s="3283" t="s">
        <v>54</v>
      </c>
      <c r="B54" s="3284" t="str">
        <f>'预评函-2'!R8</f>
        <v>——</v>
      </c>
    </row>
    <row r="55" spans="1:2">
      <c r="A55" s="3285" t="s">
        <v>55</v>
      </c>
      <c r="B55" s="3286" t="str">
        <f>'预评函-3'!A2</f>
        <v>1.权利限制：根据估价对象《不动产权证书》原件、《国有土地使用权》复印件，截至估价期日，估价对象抵押权未见登记。未设定租赁等其他他项权利。</v>
      </c>
    </row>
    <row r="56" spans="1:2">
      <c r="A56" s="3280" t="s">
        <v>56</v>
      </c>
      <c r="B56" s="3282" t="str">
        <f>'预评函-3'!A3</f>
        <v>2.基础设施条件：估价对象实际开发程度为红线外七通、宗地红线内；本次评估设定开发程度为红线外七通、宗地红线内场地。</v>
      </c>
    </row>
    <row r="57" spans="1:2">
      <c r="A57" s="3280" t="s">
        <v>57</v>
      </c>
      <c r="B57" s="3282" t="str">
        <f>'预评函-3'!A4</f>
        <v>3.估价规划限制条件：详见《建设工程规划许可证》[]、《出让合同》[]。</v>
      </c>
    </row>
    <row r="58" spans="1:2" s="3267" customFormat="1">
      <c r="A58" s="3283" t="s">
        <v>58</v>
      </c>
      <c r="B58" s="3284" t="str">
        <f>'预评函-3'!A5</f>
        <v>4.影响价格的其他限定条件：无。</v>
      </c>
    </row>
    <row r="59" spans="1:2">
      <c r="A59" s="3285" t="s">
        <v>59</v>
      </c>
      <c r="B59" s="3286" t="str">
        <f>'预评函-3'!A8</f>
        <v>2.本《评估意见函》仅供金融机构进行内部审核使用，不做其他目的之用。</v>
      </c>
    </row>
    <row r="60" spans="1:2">
      <c r="A60" s="3280" t="s">
        <v>60</v>
      </c>
      <c r="B60" s="3282" t="str">
        <f>'预评函-3'!A9</f>
        <v>3.抵押双方在办理抵押登记手续时，应使用本公司出具的正式《土地估价报告》，特提请报告使用者注意。</v>
      </c>
    </row>
    <row r="61" spans="1:2">
      <c r="A61" s="3280" t="s">
        <v>61</v>
      </c>
      <c r="B61" s="3282" t="str">
        <f>'预评函-3'!A10</f>
        <v>4.估价师所知悉的法定优先受偿款情况为：</v>
      </c>
    </row>
    <row r="62" spans="1:2">
      <c r="A62" s="3280" t="s">
        <v>62</v>
      </c>
      <c r="B62" s="328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280" t="s">
        <v>63</v>
      </c>
      <c r="B63" s="328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80" t="s">
        <v>64</v>
      </c>
      <c r="B64" s="3287" t="str">
        <f>'预评函-3'!A13</f>
        <v>（3）。</v>
      </c>
    </row>
    <row r="65" spans="1:2">
      <c r="A65" s="3280" t="s">
        <v>65</v>
      </c>
      <c r="B65" s="3292" t="str">
        <f>'预评函-3'!A14</f>
        <v>综上，本次评估不存在估价师知悉的法定优先受偿款</v>
      </c>
    </row>
    <row r="66" spans="1:2">
      <c r="A66" s="3280" t="s">
        <v>66</v>
      </c>
      <c r="B66" s="329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80" t="s">
        <v>67</v>
      </c>
      <c r="B67" s="329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67" customFormat="1">
      <c r="A68" s="3283" t="s">
        <v>68</v>
      </c>
      <c r="B68" s="3293">
        <f>'预评函-3'!D30</f>
        <v>42558</v>
      </c>
    </row>
    <row r="69" spans="1:2">
      <c r="A69" s="3285" t="s">
        <v>69</v>
      </c>
      <c r="B69" s="3286" t="str">
        <f>'预评函-3'!A20</f>
        <v>陈颖</v>
      </c>
    </row>
    <row r="70" spans="1:2">
      <c r="A70" s="3280" t="s">
        <v>69</v>
      </c>
      <c r="B70" s="3292">
        <f ca="1">'预评函-3'!B20</f>
        <v>2004110096</v>
      </c>
    </row>
    <row r="71" spans="1:2">
      <c r="A71" s="3280" t="s">
        <v>70</v>
      </c>
      <c r="B71" s="3282" t="str">
        <f>'预评函-3'!A21</f>
        <v>崔锴</v>
      </c>
    </row>
    <row r="72" spans="1:2" s="3267" customFormat="1">
      <c r="A72" s="3283" t="s">
        <v>70</v>
      </c>
      <c r="B72" s="3294">
        <f ca="1">'预评函-3'!B21</f>
        <v>2010110070</v>
      </c>
    </row>
    <row r="73" spans="1:2">
      <c r="A73" s="3285" t="s">
        <v>71</v>
      </c>
      <c r="B73" s="32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80" t="s">
        <v>72</v>
      </c>
      <c r="B74" s="3296" t="str">
        <f>'预评函-1 (储备)'!A18</f>
        <v>由于本次评估估价目的是评估储备国有建设用地使用权的“抵押价格”，因此本次评估设定土地开发程度为红线外市政基础设施达“七通”、宗地红线内场地平整。</v>
      </c>
    </row>
    <row r="75" spans="1:2" s="3267" customFormat="1">
      <c r="A75" s="3283" t="s">
        <v>73</v>
      </c>
      <c r="B75" s="32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73" t="s">
        <v>74</v>
      </c>
      <c r="B76" s="3274" t="str">
        <f>'预评函-3'!A25</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265" customWidth="1"/>
    <col min="2" max="2" width="10.75" style="3265" customWidth="1"/>
    <col min="3" max="4" width="11.625" style="3265" customWidth="1"/>
    <col min="5" max="5" width="6.625" style="3265" customWidth="1"/>
    <col min="6" max="16384" width="9" style="3265"/>
  </cols>
  <sheetData>
    <row r="36" spans="1:9">
      <c r="A36" s="3264" t="s">
        <v>75</v>
      </c>
      <c r="B36" s="3264" t="s">
        <v>76</v>
      </c>
    </row>
    <row r="37" spans="1:9" ht="28.5" customHeight="1">
      <c r="A37" s="3264"/>
      <c r="B37" s="3476" t="str">
        <f>项目基本情况!B1</f>
        <v>北京市出让国有建设用地使用权抵押价格预评估</v>
      </c>
      <c r="C37" s="3476"/>
      <c r="D37" s="3476"/>
      <c r="E37" s="3476"/>
      <c r="F37" s="3476"/>
      <c r="G37" s="3476"/>
      <c r="H37" s="3476"/>
      <c r="I37" s="3476"/>
    </row>
    <row r="38" spans="1:9">
      <c r="A38" s="3266"/>
      <c r="B38" s="3266"/>
    </row>
    <row r="39" spans="1:9">
      <c r="A39" s="3264" t="s">
        <v>75</v>
      </c>
      <c r="B39" s="3264" t="s">
        <v>77</v>
      </c>
    </row>
    <row r="40" spans="1:9">
      <c r="A40" s="3264"/>
      <c r="B40" s="3264">
        <f>项目基本情况!B5</f>
        <v>0</v>
      </c>
    </row>
    <row r="41" spans="1:9">
      <c r="A41" s="3264"/>
      <c r="B41" s="3264"/>
    </row>
    <row r="42" spans="1:9">
      <c r="A42" s="3264" t="s">
        <v>75</v>
      </c>
      <c r="B42" s="3264" t="s">
        <v>78</v>
      </c>
    </row>
    <row r="43" spans="1:9">
      <c r="A43" s="3264"/>
      <c r="B43" s="3264" t="s">
        <v>79</v>
      </c>
    </row>
    <row r="44" spans="1:9">
      <c r="A44" s="3264"/>
      <c r="B44" s="3264"/>
    </row>
    <row r="45" spans="1:9">
      <c r="A45" s="3264" t="s">
        <v>75</v>
      </c>
      <c r="B45" s="3264" t="s">
        <v>80</v>
      </c>
    </row>
    <row r="46" spans="1:9" s="3264" customFormat="1" ht="12.75">
      <c r="B46" s="3264" t="str">
        <f>项目基本情况!K4</f>
        <v>陈颖、崔锴</v>
      </c>
    </row>
    <row r="47" spans="1:9">
      <c r="A47" s="3264"/>
      <c r="B47" s="3264"/>
    </row>
    <row r="48" spans="1:9">
      <c r="A48" s="3264" t="s">
        <v>75</v>
      </c>
      <c r="B48" s="3264" t="s">
        <v>81</v>
      </c>
    </row>
    <row r="49" spans="2:2">
      <c r="B49" s="3264" t="str">
        <f>"康正预评字"&amp;项目基本情况!B2&amp;"号"</f>
        <v>康正预评字号</v>
      </c>
    </row>
  </sheetData>
  <sheetProtection sheet="1" objects="1" scenarios="1" formatCells="0" formatRows="0"/>
  <mergeCells count="1">
    <mergeCell ref="B37:I37"/>
  </mergeCells>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247" customWidth="1"/>
    <col min="2" max="2" width="9" style="3247"/>
    <col min="3" max="4" width="9.625" style="3247" customWidth="1"/>
    <col min="5" max="16384" width="9" style="3247"/>
  </cols>
  <sheetData>
    <row r="1" spans="1:4" ht="22.5">
      <c r="A1" s="3248" t="s">
        <v>82</v>
      </c>
    </row>
    <row r="2" spans="1:4">
      <c r="A2" s="3249"/>
    </row>
    <row r="3" spans="1:4" ht="18.75">
      <c r="A3" s="3250" t="str">
        <f>项目基本情况!B5&amp;"："</f>
        <v>：</v>
      </c>
    </row>
    <row r="4" spans="1:4" ht="37.5">
      <c r="A4" s="3251" t="str">
        <f>"受贵公司委托，我公司对"&amp;项目基本情况!K2&amp;项目基本情况!B9&amp;"进行了预评估。"</f>
        <v>受贵公司委托，我公司对北京市出让国有建设用地使用权抵押价格进行了预评估。</v>
      </c>
    </row>
    <row r="5" spans="1:4" ht="18.75">
      <c r="A5" s="3252" t="s">
        <v>83</v>
      </c>
    </row>
    <row r="6" spans="1:4" ht="75">
      <c r="A6" s="325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7" spans="1:4" ht="56.25">
      <c r="A7" s="3263" t="s">
        <v>84</v>
      </c>
    </row>
    <row r="8" spans="1:4" ht="18.75">
      <c r="A8" s="3252" t="s">
        <v>85</v>
      </c>
    </row>
    <row r="9" spans="1:4" ht="75">
      <c r="A9" s="325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50" t="s">
        <v>86</v>
      </c>
    </row>
    <row r="11" spans="1:4" ht="18.75">
      <c r="A11" s="3255" t="str">
        <f>TEXT(项目基本情况!D3,"yyyy年m月d日;;")&amp;IF(项目基本情况!B3=项目基本情况!D3,"（评估专业人员勘察现场之日）","")</f>
        <v>2021年10月15日</v>
      </c>
    </row>
    <row r="12" spans="1:4" ht="18.75">
      <c r="A12" s="3250" t="s">
        <v>87</v>
      </c>
    </row>
    <row r="13" spans="1:4" ht="18.75">
      <c r="A13" s="3251" t="s">
        <v>88</v>
      </c>
    </row>
    <row r="14" spans="1:4" ht="18.75">
      <c r="A14" s="3251" t="str">
        <f>"根据"&amp;项目基本情况!F12&amp;"，本次评估估价对象证载（地类）用途为"&amp;项目基本情况!B12&amp;"。"</f>
        <v>根据《国有土地使用证》[]，本次评估估价对象证载（地类）用途为。</v>
      </c>
      <c r="C14" s="3256"/>
      <c r="D14" s="3257"/>
    </row>
    <row r="15" spans="1:4" ht="18.75">
      <c r="A15" s="325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56"/>
      <c r="D15" s="3257"/>
    </row>
    <row r="16" spans="1:4" ht="18.75">
      <c r="A16" s="3251" t="s">
        <v>89</v>
      </c>
    </row>
    <row r="17" spans="1:1" ht="56.25">
      <c r="A17" s="325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25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51" t="s">
        <v>90</v>
      </c>
    </row>
    <row r="20" spans="1:1" ht="56.25">
      <c r="A20" s="32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根据《国有土地使用证》[]，估价对象（分摊）出让国有建设用地使用权面积为25406.38平方米。根据《建设工程规划许可证》[]、《出让合同》[]，估价对象规划建筑面积为63500平方米。</v>
      </c>
    </row>
    <row r="21" spans="1:1" ht="18.75">
      <c r="A21" s="3251" t="s">
        <v>91</v>
      </c>
    </row>
    <row r="22" spans="1:1" ht="93.75">
      <c r="A22" s="325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2092年1月1日。截至估价期日，出让国有建设用地使用权剩余土地使用年限为。</v>
      </c>
    </row>
    <row r="23" spans="1:1" ht="18.75">
      <c r="A23" s="3251" t="str">
        <f>IF(项目基本情况!B16="出让","本次评估设定估价对象剩余土地使用年限为"&amp;项目基本情况!D20&amp;"。","")</f>
        <v>本次评估设定估价对象剩余土地使用年限为。</v>
      </c>
    </row>
    <row r="24" spans="1:1" ht="18.75">
      <c r="A24" s="3251" t="s">
        <v>92</v>
      </c>
    </row>
    <row r="25" spans="1:1" ht="75">
      <c r="A25" s="325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26" spans="1:1" ht="93.75">
      <c r="A26" s="325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25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5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50" t="s">
        <v>93</v>
      </c>
    </row>
    <row r="30" spans="1:1" ht="75">
      <c r="A30" s="325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261"/>
    </row>
    <row r="32" spans="1:1" ht="18.75">
      <c r="A32" s="3262"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247" customWidth="1"/>
    <col min="2" max="2" width="9" style="3247"/>
    <col min="3" max="4" width="9.625" style="3247" customWidth="1"/>
    <col min="5" max="16384" width="9" style="3247"/>
  </cols>
  <sheetData>
    <row r="1" spans="1:4" ht="22.5">
      <c r="A1" s="3248" t="s">
        <v>82</v>
      </c>
    </row>
    <row r="2" spans="1:4">
      <c r="A2" s="3249"/>
    </row>
    <row r="3" spans="1:4" ht="18.75">
      <c r="A3" s="3250" t="str">
        <f>项目基本情况!B5&amp;"："</f>
        <v>：</v>
      </c>
    </row>
    <row r="4" spans="1:4" ht="37.5">
      <c r="A4" s="3251" t="str">
        <f>"受贵公司委托，我公司对"&amp;项目基本情况!K2&amp;项目基本情况!B9&amp;"进行了预评估。"</f>
        <v>受贵公司委托，我公司对北京市出让国有建设用地使用权抵押价格进行了预评估。</v>
      </c>
    </row>
    <row r="5" spans="1:4" ht="18.75">
      <c r="A5" s="3252" t="s">
        <v>83</v>
      </c>
    </row>
    <row r="6" spans="1:4" ht="75">
      <c r="A6" s="325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25406.38平方米。根据《建设工程规划许可证》[]、《出让合同》[]，估价对象规划建筑面积为63500平方米。</v>
      </c>
    </row>
    <row r="7" spans="1:4" ht="93.75">
      <c r="A7" s="3253" t="s">
        <v>95</v>
      </c>
    </row>
    <row r="8" spans="1:4" ht="18.75">
      <c r="A8" s="3252" t="s">
        <v>85</v>
      </c>
    </row>
    <row r="9" spans="1:4" ht="75">
      <c r="A9" s="325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50" t="s">
        <v>86</v>
      </c>
    </row>
    <row r="11" spans="1:4" ht="18.75">
      <c r="A11" s="3255" t="str">
        <f>TEXT(项目基本情况!D3,"yyyy年m月d日;;")&amp;IF(项目基本情况!B3=项目基本情况!D3,"（评估专业人员勘察现场之日）","")</f>
        <v>2021年10月15日</v>
      </c>
    </row>
    <row r="12" spans="1:4" ht="18.75">
      <c r="A12" s="3250" t="s">
        <v>87</v>
      </c>
    </row>
    <row r="13" spans="1:4" ht="18.75">
      <c r="A13" s="3251" t="s">
        <v>96</v>
      </c>
    </row>
    <row r="14" spans="1:4" ht="18.75">
      <c r="A14" s="3251" t="str">
        <f>"根据"&amp;项目基本情况!F12&amp;"，本次评估估价对象证载（地类）用途为"&amp;项目基本情况!B12&amp;"。"</f>
        <v>根据《国有土地使用证》[]，本次评估估价对象证载（地类）用途为。</v>
      </c>
      <c r="C14" s="3256"/>
      <c r="D14" s="3257"/>
    </row>
    <row r="15" spans="1:4" ht="18.75">
      <c r="A15" s="325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56"/>
      <c r="D15" s="3257"/>
    </row>
    <row r="16" spans="1:4" ht="18.75">
      <c r="A16" s="3251" t="s">
        <v>89</v>
      </c>
    </row>
    <row r="17" spans="1:1" ht="56.25">
      <c r="A17" s="325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25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51" t="s">
        <v>90</v>
      </c>
    </row>
    <row r="20" spans="1:1" ht="56.25">
      <c r="A20" s="32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根据《国有土地使用证》[]，估价对象（分摊）出让国有建设用地使用权面积为25406.38平方米。根据《建设工程规划许可证》[]、《出让合同》[]，估价对象规划建筑面积为63500平方米。</v>
      </c>
    </row>
    <row r="21" spans="1:1" ht="93.75">
      <c r="A21" s="32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51" t="s">
        <v>91</v>
      </c>
    </row>
    <row r="23" spans="1:1" ht="18.75">
      <c r="A23" s="3260" t="s">
        <v>97</v>
      </c>
    </row>
    <row r="24" spans="1:1" ht="18.75">
      <c r="A24" s="3251" t="s">
        <v>92</v>
      </c>
    </row>
    <row r="25" spans="1:1" ht="75">
      <c r="A25" s="325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row>
    <row r="26" spans="1:1" ht="93.75">
      <c r="A26" s="325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25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5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50" t="s">
        <v>93</v>
      </c>
    </row>
    <row r="30" spans="1:1" ht="75">
      <c r="A30" s="325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261"/>
    </row>
    <row r="32" spans="1:1" ht="18.75">
      <c r="A32" s="3262"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83" t="s">
        <v>98</v>
      </c>
      <c r="B1" s="3483"/>
      <c r="C1" s="3483"/>
      <c r="D1" s="3483"/>
      <c r="E1" s="3483"/>
      <c r="F1" s="3483"/>
      <c r="G1" s="3483"/>
      <c r="H1" s="3483"/>
      <c r="I1" s="3483"/>
      <c r="J1" s="3483"/>
      <c r="K1" s="3483"/>
      <c r="L1" s="3483"/>
      <c r="M1" s="3483"/>
      <c r="N1" s="3483"/>
      <c r="O1" s="3483"/>
      <c r="P1" s="3483"/>
      <c r="Q1" s="3483"/>
      <c r="R1" s="3483"/>
    </row>
    <row r="2" spans="1:18">
      <c r="A2" s="3230" t="s">
        <v>99</v>
      </c>
      <c r="B2" s="3230"/>
      <c r="C2" s="3230"/>
      <c r="D2" s="3230"/>
      <c r="E2" s="3230"/>
      <c r="F2" s="3230"/>
      <c r="G2" s="3230"/>
      <c r="H2" s="3230"/>
      <c r="I2" s="3243"/>
      <c r="J2" s="3243"/>
      <c r="K2" s="3244" t="str">
        <f>"估价期日："&amp;TEXT(项目基本情况!D3,"yyyy年m月d日;;")</f>
        <v>估价期日：2021年10月15日</v>
      </c>
      <c r="L2" s="3230"/>
      <c r="M2" s="3230"/>
      <c r="N2" s="3230"/>
      <c r="O2" s="3230"/>
      <c r="P2" s="3230"/>
      <c r="Q2" s="3230"/>
      <c r="R2" s="3244" t="str">
        <f>"估价期日的国有建设用地使用权性质："&amp;项目基本情况!B16</f>
        <v>估价期日的国有建设用地使用权性质：出让</v>
      </c>
    </row>
    <row r="3" spans="1:18" ht="23.25" customHeight="1">
      <c r="A3" s="3480" t="s">
        <v>100</v>
      </c>
      <c r="B3" s="3480" t="s">
        <v>101</v>
      </c>
      <c r="C3" s="3481" t="s">
        <v>102</v>
      </c>
      <c r="D3" s="3480" t="s">
        <v>103</v>
      </c>
      <c r="E3" s="3484" t="s">
        <v>104</v>
      </c>
      <c r="F3" s="3484"/>
      <c r="G3" s="3484"/>
      <c r="H3" s="3484" t="s">
        <v>105</v>
      </c>
      <c r="I3" s="3484"/>
      <c r="J3" s="3484"/>
      <c r="K3" s="3481" t="s">
        <v>106</v>
      </c>
      <c r="L3" s="3481" t="s">
        <v>107</v>
      </c>
      <c r="M3" s="3480" t="s">
        <v>108</v>
      </c>
      <c r="N3" s="3482" t="str">
        <f>"（分摊）"&amp;项目基本情况!B16&amp;"国有建设用地使用权面积/㎡"</f>
        <v>（分摊）出让国有建设用地使用权面积/㎡</v>
      </c>
      <c r="O3" s="3480" t="s">
        <v>109</v>
      </c>
      <c r="P3" s="3481" t="s">
        <v>110</v>
      </c>
      <c r="Q3" s="3481" t="s">
        <v>111</v>
      </c>
      <c r="R3" s="3481" t="s">
        <v>112</v>
      </c>
    </row>
    <row r="4" spans="1:18" ht="36.75" customHeight="1">
      <c r="A4" s="3480"/>
      <c r="B4" s="3480"/>
      <c r="C4" s="3481"/>
      <c r="D4" s="3480"/>
      <c r="E4" s="3232" t="s">
        <v>113</v>
      </c>
      <c r="F4" s="3232" t="s">
        <v>114</v>
      </c>
      <c r="G4" s="3232" t="s">
        <v>115</v>
      </c>
      <c r="H4" s="3232" t="s">
        <v>116</v>
      </c>
      <c r="I4" s="3232" t="s">
        <v>117</v>
      </c>
      <c r="J4" s="3232" t="s">
        <v>115</v>
      </c>
      <c r="K4" s="3481"/>
      <c r="L4" s="3481"/>
      <c r="M4" s="3480"/>
      <c r="N4" s="3482"/>
      <c r="O4" s="3480"/>
      <c r="P4" s="3481"/>
      <c r="Q4" s="3481"/>
      <c r="R4" s="3481"/>
    </row>
    <row r="5" spans="1:18" ht="135" customHeight="1">
      <c r="A5" s="3233" t="s">
        <v>118</v>
      </c>
      <c r="B5" s="3234" t="s">
        <v>119</v>
      </c>
      <c r="C5" s="3235">
        <v>22</v>
      </c>
      <c r="D5" s="3231" t="s">
        <v>120</v>
      </c>
      <c r="E5" s="3236">
        <f>项目基本情况!B12</f>
        <v>0</v>
      </c>
      <c r="F5" s="3231">
        <v>258</v>
      </c>
      <c r="G5" s="3236">
        <f>项目基本情况!B13</f>
        <v>0</v>
      </c>
      <c r="H5" s="3231">
        <v>1.5</v>
      </c>
      <c r="I5" s="3231">
        <v>1.5</v>
      </c>
      <c r="J5" s="3231">
        <v>1.5</v>
      </c>
      <c r="K5" s="3236" t="str">
        <f>"红线外"&amp;项目基本情况!T40&amp;"、宗地红线内"&amp;项目基本情况!B35</f>
        <v>红线外七通、宗地红线内</v>
      </c>
      <c r="L5" s="3236" t="str">
        <f>"红线外"&amp;项目基本情况!T40&amp;"、宗地红线内场地"&amp;项目基本情况!D36</f>
        <v>红线外七通、宗地红线内场地</v>
      </c>
      <c r="M5" s="3236">
        <f>IF(项目基本情况!B16="出让",项目基本情况!D20,"——")</f>
        <v>0</v>
      </c>
      <c r="N5" s="3236">
        <f>项目基本情况!C22</f>
        <v>25406.38</v>
      </c>
      <c r="O5" s="3236">
        <f>项目基本情况!C21</f>
        <v>63500</v>
      </c>
      <c r="P5" s="3236">
        <f ca="1">结果表!E42</f>
        <v>50593</v>
      </c>
      <c r="Q5" s="3236">
        <f ca="1">结果表!D42</f>
        <v>20242</v>
      </c>
      <c r="R5" s="3245">
        <f ca="1">结果表!C42</f>
        <v>128539</v>
      </c>
    </row>
    <row r="6" spans="1:18">
      <c r="A6" s="3477" t="str">
        <f>IF(项目基本情况!B9="市场价格","——","抵押价格")</f>
        <v>抵押价格</v>
      </c>
      <c r="B6" s="3478"/>
      <c r="C6" s="3478"/>
      <c r="D6" s="3478"/>
      <c r="E6" s="3478"/>
      <c r="F6" s="3478"/>
      <c r="G6" s="3478"/>
      <c r="H6" s="3478"/>
      <c r="I6" s="3478"/>
      <c r="J6" s="3478"/>
      <c r="K6" s="3478"/>
      <c r="L6" s="3478"/>
      <c r="M6" s="3478"/>
      <c r="N6" s="3478"/>
      <c r="O6" s="3478"/>
      <c r="P6" s="3478"/>
      <c r="Q6" s="3479"/>
      <c r="R6" s="3246" t="str">
        <f>结果表!O39</f>
        <v>——</v>
      </c>
    </row>
    <row r="7" spans="1:18">
      <c r="A7" s="3477" t="str">
        <f>IF(项目基本情况!B9="市场价格","——",IF(项目基本情况!E8="已注销及未注销","抵押担保权已注销时的抵押价格","——"))</f>
        <v>——</v>
      </c>
      <c r="B7" s="3478"/>
      <c r="C7" s="3478"/>
      <c r="D7" s="3478"/>
      <c r="E7" s="3478"/>
      <c r="F7" s="3478"/>
      <c r="G7" s="3478"/>
      <c r="H7" s="3478"/>
      <c r="I7" s="3478"/>
      <c r="J7" s="3478"/>
      <c r="K7" s="3478"/>
      <c r="L7" s="3478"/>
      <c r="M7" s="3478"/>
      <c r="N7" s="3478"/>
      <c r="O7" s="3478"/>
      <c r="P7" s="3478"/>
      <c r="Q7" s="3479"/>
      <c r="R7" s="3246" t="str">
        <f>结果表!O40</f>
        <v>——</v>
      </c>
    </row>
    <row r="8" spans="1:18">
      <c r="A8" s="3477">
        <f>IF(项目基本情况!B9="市场价格","——",项目基本情况!E9)</f>
        <v>0</v>
      </c>
      <c r="B8" s="3478"/>
      <c r="C8" s="3478"/>
      <c r="D8" s="3478"/>
      <c r="E8" s="3478"/>
      <c r="F8" s="3478"/>
      <c r="G8" s="3478"/>
      <c r="H8" s="3478"/>
      <c r="I8" s="3478"/>
      <c r="J8" s="3478"/>
      <c r="K8" s="3478"/>
      <c r="L8" s="3478"/>
      <c r="M8" s="3478"/>
      <c r="N8" s="3478"/>
      <c r="O8" s="3478"/>
      <c r="P8" s="3478"/>
      <c r="Q8" s="3479"/>
      <c r="R8" s="3246" t="str">
        <f>结果表!O41</f>
        <v>——</v>
      </c>
    </row>
    <row r="9" spans="1:18">
      <c r="A9" s="3237" t="s">
        <v>121</v>
      </c>
      <c r="B9" s="3230"/>
      <c r="C9" s="3230"/>
      <c r="D9" s="3230"/>
      <c r="E9" s="3230"/>
      <c r="F9" s="3230"/>
      <c r="G9" s="3230"/>
      <c r="H9" s="3230"/>
      <c r="I9" s="3230"/>
      <c r="J9" s="3230"/>
      <c r="K9" s="3230"/>
      <c r="L9" s="3230"/>
      <c r="M9" s="3230"/>
      <c r="N9" s="3230"/>
      <c r="O9" s="3230"/>
      <c r="P9" s="3230"/>
      <c r="Q9" s="3230"/>
      <c r="R9" s="3230"/>
    </row>
    <row r="10" spans="1:18">
      <c r="A10" s="3238"/>
      <c r="B10" s="3230"/>
      <c r="C10" s="3230"/>
      <c r="D10" s="3230"/>
      <c r="E10" s="3230"/>
      <c r="F10" s="3230"/>
      <c r="G10" s="3230"/>
      <c r="H10" s="3230"/>
      <c r="I10" s="3230"/>
      <c r="J10" s="3230"/>
      <c r="K10" s="3230"/>
      <c r="L10" s="3230"/>
      <c r="M10" s="3230"/>
      <c r="N10" s="3230"/>
      <c r="O10" s="3230"/>
      <c r="P10" s="3230"/>
      <c r="Q10" s="3230"/>
      <c r="R10" s="3230"/>
    </row>
    <row r="11" spans="1:18">
      <c r="A11" s="3238" t="s">
        <v>94</v>
      </c>
      <c r="B11" s="3239"/>
      <c r="C11" s="3239"/>
      <c r="D11" s="3239"/>
      <c r="E11" s="3239"/>
      <c r="F11" s="3239"/>
      <c r="G11" s="3239"/>
      <c r="H11" s="3239"/>
      <c r="I11" s="3239"/>
      <c r="J11" s="3239"/>
      <c r="K11" s="3239"/>
      <c r="L11" s="3239"/>
      <c r="M11" s="3239"/>
      <c r="N11" s="3239"/>
      <c r="O11" s="3239"/>
      <c r="P11" s="3239"/>
      <c r="Q11" s="3239"/>
      <c r="R11" s="3239"/>
    </row>
    <row r="12" spans="1:18">
      <c r="A12" s="2858"/>
      <c r="B12" s="2858"/>
      <c r="C12" s="2858"/>
      <c r="D12" s="2858"/>
      <c r="E12" s="2858"/>
      <c r="F12" s="2858"/>
      <c r="G12" s="2858"/>
      <c r="H12" s="2858"/>
      <c r="I12" s="2858"/>
      <c r="J12" s="2858"/>
      <c r="K12" s="2858"/>
      <c r="L12" s="2858"/>
      <c r="M12" s="2858"/>
      <c r="N12" s="2858"/>
      <c r="O12" s="2858"/>
      <c r="P12" s="2858"/>
      <c r="Q12" s="2858"/>
      <c r="R12" s="2858"/>
    </row>
    <row r="13" spans="1:18" ht="16.5" customHeight="1">
      <c r="A13" s="2858"/>
      <c r="B13" s="2858"/>
      <c r="C13" s="2858"/>
      <c r="D13" s="2858"/>
      <c r="E13" s="2858"/>
      <c r="F13" s="2858"/>
      <c r="G13" s="2858"/>
      <c r="H13" s="2858"/>
      <c r="I13" s="2858"/>
      <c r="J13" s="2858"/>
      <c r="K13" s="2858"/>
      <c r="L13" s="2858"/>
      <c r="M13" s="2858"/>
      <c r="N13" s="2858"/>
      <c r="O13" s="2858"/>
      <c r="P13" s="2858"/>
      <c r="Q13" s="2858"/>
      <c r="R13" s="2858"/>
    </row>
    <row r="14" spans="1:18">
      <c r="A14" s="3240"/>
      <c r="B14" s="2858"/>
      <c r="C14" s="2858"/>
      <c r="D14" s="2858"/>
      <c r="E14" s="2858"/>
      <c r="F14" s="2858"/>
      <c r="G14" s="2858"/>
      <c r="H14" s="2858"/>
      <c r="I14" s="2858"/>
      <c r="J14" s="2858"/>
      <c r="K14" s="2858"/>
      <c r="L14" s="2858"/>
      <c r="M14" s="2858"/>
      <c r="N14" s="2858"/>
      <c r="O14" s="2858"/>
      <c r="P14" s="2858"/>
      <c r="Q14" s="2858"/>
      <c r="R14" s="2858"/>
    </row>
    <row r="15" spans="1:18">
      <c r="A15" s="3241"/>
    </row>
    <row r="16" spans="1:18">
      <c r="A16" s="3241"/>
    </row>
    <row r="17" spans="1:1">
      <c r="A17" s="3241"/>
    </row>
    <row r="18" spans="1:1">
      <c r="A18" s="3241"/>
    </row>
    <row r="19" spans="1:1">
      <c r="A19" s="3241"/>
    </row>
    <row r="20" spans="1:1">
      <c r="A20" s="3242"/>
    </row>
    <row r="21" spans="1:1">
      <c r="A21" s="3242"/>
    </row>
    <row r="22" spans="1:1">
      <c r="A22" s="3241"/>
    </row>
    <row r="23" spans="1:1">
      <c r="A23" s="3241"/>
    </row>
    <row r="24" spans="1:1">
      <c r="A24" s="3241"/>
    </row>
    <row r="25" spans="1:1">
      <c r="A25" s="3241"/>
    </row>
    <row r="26" spans="1:1">
      <c r="A26" s="3241"/>
    </row>
    <row r="27" spans="1:1">
      <c r="A27" s="3241"/>
    </row>
    <row r="28" spans="1:1">
      <c r="A28" s="3241"/>
    </row>
    <row r="29" spans="1:1">
      <c r="A29" s="3241"/>
    </row>
    <row r="30" spans="1:1">
      <c r="A30" s="3241"/>
    </row>
    <row r="31" spans="1:1">
      <c r="A31" s="3241"/>
    </row>
    <row r="32" spans="1:1">
      <c r="A32" s="3241"/>
    </row>
    <row r="33" spans="1:1">
      <c r="A33" s="3241"/>
    </row>
    <row r="34" spans="1:1">
      <c r="A34" s="3241"/>
    </row>
    <row r="35" spans="1:1">
      <c r="A35" s="3241"/>
    </row>
    <row r="36" spans="1:1">
      <c r="A36" s="3241"/>
    </row>
    <row r="37" spans="1:1">
      <c r="A37" s="3241"/>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1"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223" customWidth="1"/>
    <col min="2" max="3" width="21.375" style="3223" customWidth="1"/>
    <col min="4" max="4" width="19.875" style="3223" customWidth="1"/>
    <col min="5" max="16384" width="9" style="3223"/>
  </cols>
  <sheetData>
    <row r="1" spans="1:4">
      <c r="A1" s="3485" t="s">
        <v>122</v>
      </c>
      <c r="B1" s="3485"/>
      <c r="C1" s="3485"/>
      <c r="D1" s="3485"/>
    </row>
    <row r="2" spans="1:4" ht="47.25" customHeight="1">
      <c r="A2" s="3489" t="str">
        <f>"1.权利限制："&amp;项目基本情况!L24&amp;"未设定租赁等其他他项权利。"</f>
        <v>1.权利限制：根据估价对象《不动产权证书》原件、《国有土地使用权》复印件，截至估价期日，估价对象抵押权未见登记。未设定租赁等其他他项权利。</v>
      </c>
      <c r="B2" s="3489"/>
      <c r="C2" s="3489"/>
      <c r="D2" s="3489"/>
    </row>
    <row r="3" spans="1:4" ht="48" customHeight="1">
      <c r="A3" s="34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5"/>
      <c r="C3" s="3485"/>
      <c r="D3" s="3485"/>
    </row>
    <row r="4" spans="1:4" ht="36.75" customHeight="1">
      <c r="A4" s="3485" t="str">
        <f>"3.估价规划限制条件：详见"&amp;项目基本情况!E21&amp;"。"</f>
        <v>3.估价规划限制条件：详见《建设工程规划许可证》[]、《出让合同》[]。</v>
      </c>
      <c r="B4" s="3485"/>
      <c r="C4" s="3485"/>
      <c r="D4" s="3485"/>
    </row>
    <row r="5" spans="1:4">
      <c r="A5" s="3487" t="s">
        <v>123</v>
      </c>
      <c r="B5" s="3487"/>
      <c r="C5" s="3487"/>
      <c r="D5" s="3487"/>
    </row>
    <row r="6" spans="1:4">
      <c r="A6" s="3485" t="s">
        <v>124</v>
      </c>
      <c r="B6" s="3485"/>
      <c r="C6" s="3485"/>
      <c r="D6" s="3485"/>
    </row>
    <row r="7" spans="1:4" ht="33" customHeight="1">
      <c r="A7" s="3485" t="s">
        <v>125</v>
      </c>
      <c r="B7" s="3485"/>
      <c r="C7" s="3485"/>
      <c r="D7" s="3485"/>
    </row>
    <row r="8" spans="1:4" ht="32.25" customHeight="1">
      <c r="A8" s="34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5"/>
      <c r="C8" s="3485"/>
      <c r="D8" s="3485"/>
    </row>
    <row r="9" spans="1:4" ht="33.75" customHeight="1">
      <c r="A9" s="34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5"/>
      <c r="C9" s="3485"/>
      <c r="D9" s="3485"/>
    </row>
    <row r="10" spans="1:4">
      <c r="A10" s="3485" t="str">
        <f>IF(项目基本情况!B8="抵押","4.估价师所知悉的法定优先受偿款情况为：","——")</f>
        <v>4.估价师所知悉的法定优先受偿款情况为：</v>
      </c>
      <c r="B10" s="3485"/>
      <c r="C10" s="3485"/>
      <c r="D10" s="3485"/>
    </row>
    <row r="11" spans="1:4" ht="37.5" customHeight="1">
      <c r="A11" s="348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6"/>
      <c r="C11" s="3486"/>
      <c r="D11" s="3486"/>
    </row>
    <row r="12" spans="1:4" ht="168" customHeight="1">
      <c r="A12" s="3487" t="s">
        <v>126</v>
      </c>
      <c r="B12" s="3487"/>
      <c r="C12" s="3487"/>
      <c r="D12" s="3487"/>
    </row>
    <row r="13" spans="1:4">
      <c r="A13" s="3488" t="s">
        <v>127</v>
      </c>
      <c r="B13" s="3488"/>
      <c r="C13" s="3488"/>
      <c r="D13" s="3488"/>
    </row>
    <row r="14" spans="1:4">
      <c r="A14" s="3486" t="str">
        <f>IF(项目基本情况!B8="抵押","综上，"&amp;结果表!K47,"——")</f>
        <v>综上，本次评估不存在估价师知悉的法定优先受偿款</v>
      </c>
      <c r="B14" s="3486"/>
      <c r="C14" s="3486"/>
      <c r="D14" s="3486"/>
    </row>
    <row r="15" spans="1:4" ht="58.5" customHeight="1">
      <c r="A15" s="34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5"/>
      <c r="C15" s="3485"/>
      <c r="D15" s="3485"/>
    </row>
    <row r="16" spans="1:4" ht="70.5" customHeight="1">
      <c r="A16" s="34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5"/>
      <c r="C16" s="3485"/>
      <c r="D16" s="3485"/>
    </row>
    <row r="17" spans="1:4">
      <c r="A17" s="3485" t="s">
        <v>128</v>
      </c>
      <c r="B17" s="3485"/>
      <c r="C17" s="3485"/>
      <c r="D17" s="3485"/>
    </row>
    <row r="18" spans="1:4">
      <c r="A18" s="3485" t="s">
        <v>129</v>
      </c>
      <c r="B18" s="3485"/>
      <c r="C18" s="3485"/>
      <c r="D18" s="3485"/>
    </row>
    <row r="19" spans="1:4">
      <c r="A19" s="3224" t="s">
        <v>130</v>
      </c>
      <c r="B19" s="3224" t="s">
        <v>131</v>
      </c>
      <c r="C19" s="3224" t="s">
        <v>132</v>
      </c>
      <c r="D19" s="3224" t="s">
        <v>133</v>
      </c>
    </row>
    <row r="20" spans="1:4">
      <c r="A20" s="3224" t="str">
        <f>项目基本情况!B4</f>
        <v>陈颖</v>
      </c>
      <c r="B20" s="3224">
        <f ca="1">项目基本情况!C4</f>
        <v>2004110096</v>
      </c>
      <c r="C20" s="3225"/>
      <c r="D20" s="3226" t="s">
        <v>134</v>
      </c>
    </row>
    <row r="21" spans="1:4">
      <c r="A21" s="3224" t="str">
        <f>项目基本情况!D4</f>
        <v>崔锴</v>
      </c>
      <c r="B21" s="3224">
        <f ca="1">项目基本情况!E4</f>
        <v>2010110070</v>
      </c>
      <c r="C21" s="3225"/>
      <c r="D21" s="3226" t="s">
        <v>134</v>
      </c>
    </row>
    <row r="23" spans="1:4">
      <c r="A23" s="3485" t="s">
        <v>135</v>
      </c>
      <c r="B23" s="3485"/>
      <c r="C23" s="3485"/>
      <c r="D23" s="3485"/>
    </row>
    <row r="24" spans="1:4">
      <c r="A24" s="3224" t="s">
        <v>130</v>
      </c>
      <c r="B24" s="3224" t="s">
        <v>136</v>
      </c>
      <c r="C24" s="3224" t="s">
        <v>132</v>
      </c>
      <c r="D24" s="3224" t="s">
        <v>133</v>
      </c>
    </row>
    <row r="25" spans="1:4">
      <c r="A25" s="3227" t="s">
        <v>137</v>
      </c>
      <c r="B25" s="3224" t="s">
        <v>138</v>
      </c>
      <c r="C25" s="3225"/>
      <c r="D25" s="3226" t="s">
        <v>134</v>
      </c>
    </row>
    <row r="29" spans="1:4">
      <c r="D29" s="3228" t="s">
        <v>99</v>
      </c>
    </row>
    <row r="30" spans="1:4">
      <c r="D30" s="3229">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D26" sqref="D26"/>
    </sheetView>
  </sheetViews>
  <sheetFormatPr defaultColWidth="14.5" defaultRowHeight="15.75"/>
  <cols>
    <col min="1" max="1" width="14.5" style="3202" customWidth="1"/>
    <col min="2" max="16384" width="14.5" style="3148"/>
  </cols>
  <sheetData>
    <row r="1" spans="1:7" s="3201" customFormat="1" ht="18.75">
      <c r="A1" s="3203" t="s">
        <v>139</v>
      </c>
    </row>
    <row r="3" spans="1:7" ht="14.25">
      <c r="A3" s="3204" t="s">
        <v>140</v>
      </c>
      <c r="B3" s="3148" t="s">
        <v>141</v>
      </c>
      <c r="G3" s="3205"/>
    </row>
    <row r="4" spans="1:7">
      <c r="G4" s="3205"/>
    </row>
    <row r="5" spans="1:7" ht="14.25">
      <c r="A5" s="3206" t="s">
        <v>142</v>
      </c>
      <c r="B5" s="3148" t="s">
        <v>143</v>
      </c>
      <c r="G5" s="3205"/>
    </row>
    <row r="6" spans="1:7">
      <c r="G6" s="3205"/>
    </row>
    <row r="7" spans="1:7" ht="14.25">
      <c r="A7" s="3207" t="s">
        <v>144</v>
      </c>
      <c r="B7" s="3148" t="s">
        <v>145</v>
      </c>
      <c r="G7" s="3205"/>
    </row>
    <row r="8" spans="1:7">
      <c r="G8" s="3205"/>
    </row>
    <row r="9" spans="1:7">
      <c r="A9" s="3208" t="s">
        <v>146</v>
      </c>
      <c r="B9" s="3148" t="s">
        <v>147</v>
      </c>
    </row>
    <row r="11" spans="1:7">
      <c r="A11" s="3209" t="s">
        <v>148</v>
      </c>
      <c r="B11" s="3210" t="s">
        <v>149</v>
      </c>
    </row>
    <row r="13" spans="1:7">
      <c r="A13" s="3211" t="s">
        <v>150</v>
      </c>
    </row>
    <row r="15" spans="1:7" ht="14.25">
      <c r="A15" s="3490" t="s">
        <v>151</v>
      </c>
      <c r="B15" s="3498" t="s">
        <v>152</v>
      </c>
      <c r="C15" s="3499"/>
    </row>
    <row r="16" spans="1:7" ht="14.25">
      <c r="A16" s="3490"/>
      <c r="B16" s="3492" t="s">
        <v>153</v>
      </c>
      <c r="C16" s="3212" t="s">
        <v>151</v>
      </c>
    </row>
    <row r="17" spans="1:3" ht="14.25">
      <c r="A17" s="3490"/>
      <c r="B17" s="3492"/>
      <c r="C17" s="3212" t="s">
        <v>154</v>
      </c>
    </row>
    <row r="18" spans="1:3" ht="14.25">
      <c r="A18" s="3490"/>
      <c r="B18" s="3492"/>
      <c r="C18" s="3212" t="s">
        <v>155</v>
      </c>
    </row>
    <row r="19" spans="1:3" ht="14.25">
      <c r="A19" s="3490"/>
      <c r="B19" s="3500" t="s">
        <v>156</v>
      </c>
      <c r="C19" s="3499"/>
    </row>
    <row r="20" spans="1:3" ht="14.25">
      <c r="A20" s="3213" t="s">
        <v>157</v>
      </c>
      <c r="B20" s="3214"/>
      <c r="C20" s="3215"/>
    </row>
    <row r="21" spans="1:3" ht="14.25">
      <c r="A21" s="3491" t="s">
        <v>158</v>
      </c>
      <c r="B21" s="3500" t="s">
        <v>159</v>
      </c>
      <c r="C21" s="3499"/>
    </row>
    <row r="22" spans="1:3" ht="14.25">
      <c r="A22" s="3491"/>
      <c r="B22" s="3500" t="s">
        <v>160</v>
      </c>
      <c r="C22" s="3499"/>
    </row>
    <row r="23" spans="1:3" ht="14.25">
      <c r="A23" s="3491"/>
      <c r="B23" s="3500" t="s">
        <v>161</v>
      </c>
      <c r="C23" s="3499"/>
    </row>
    <row r="24" spans="1:3" ht="14.25">
      <c r="A24" s="3491"/>
      <c r="B24" s="3493" t="s">
        <v>162</v>
      </c>
      <c r="C24" s="3216" t="s">
        <v>163</v>
      </c>
    </row>
    <row r="25" spans="1:3" ht="14.25">
      <c r="A25" s="3491"/>
      <c r="B25" s="3494"/>
      <c r="C25" s="3216" t="s">
        <v>164</v>
      </c>
    </row>
    <row r="26" spans="1:3" ht="14.25">
      <c r="A26" s="3491"/>
      <c r="B26" s="3494"/>
      <c r="C26" s="3216" t="s">
        <v>165</v>
      </c>
    </row>
    <row r="27" spans="1:3" ht="14.25">
      <c r="A27" s="3491"/>
      <c r="B27" s="3494"/>
      <c r="C27" s="3216" t="s">
        <v>166</v>
      </c>
    </row>
    <row r="28" spans="1:3" ht="14.25">
      <c r="A28" s="3491"/>
      <c r="B28" s="3494"/>
      <c r="C28" s="3216" t="s">
        <v>167</v>
      </c>
    </row>
    <row r="29" spans="1:3" ht="14.25">
      <c r="A29" s="3491"/>
      <c r="B29" s="3494"/>
      <c r="C29" s="3216" t="s">
        <v>168</v>
      </c>
    </row>
    <row r="30" spans="1:3" ht="14.25">
      <c r="A30" s="3491"/>
      <c r="B30" s="3494"/>
      <c r="C30" s="3216" t="s">
        <v>169</v>
      </c>
    </row>
    <row r="31" spans="1:3" ht="14.25">
      <c r="A31" s="3491"/>
      <c r="B31" s="3494"/>
      <c r="C31" s="3216" t="s">
        <v>170</v>
      </c>
    </row>
    <row r="32" spans="1:3" ht="14.25">
      <c r="A32" s="3491"/>
      <c r="B32" s="3494"/>
      <c r="C32" s="3216" t="s">
        <v>171</v>
      </c>
    </row>
    <row r="33" spans="1:3" ht="14.25">
      <c r="A33" s="3491"/>
      <c r="B33" s="3495" t="s">
        <v>172</v>
      </c>
      <c r="C33" s="3216" t="s">
        <v>173</v>
      </c>
    </row>
    <row r="34" spans="1:3" ht="14.25">
      <c r="A34" s="3491"/>
      <c r="B34" s="3496"/>
      <c r="C34" s="3217" t="s">
        <v>174</v>
      </c>
    </row>
    <row r="35" spans="1:3" ht="14.25">
      <c r="A35" s="3491"/>
      <c r="B35" s="3496"/>
      <c r="C35" s="3218" t="s">
        <v>175</v>
      </c>
    </row>
    <row r="36" spans="1:3" ht="14.25">
      <c r="A36" s="3491"/>
      <c r="B36" s="3496"/>
      <c r="C36" s="3218" t="s">
        <v>176</v>
      </c>
    </row>
    <row r="37" spans="1:3" ht="14.25">
      <c r="A37" s="3491"/>
      <c r="B37" s="3497"/>
      <c r="C37" s="3219" t="s">
        <v>177</v>
      </c>
    </row>
    <row r="38" spans="1:3">
      <c r="A38" s="3220" t="s">
        <v>178</v>
      </c>
    </row>
    <row r="41" spans="1:3">
      <c r="A41" s="3220" t="s">
        <v>179</v>
      </c>
    </row>
    <row r="42" spans="1:3" ht="14.25">
      <c r="A42" s="3221" t="s">
        <v>180</v>
      </c>
    </row>
    <row r="43" spans="1:3" ht="14.25">
      <c r="A43" s="3221" t="s">
        <v>181</v>
      </c>
    </row>
    <row r="44" spans="1:3" ht="14.25">
      <c r="A44" s="3221" t="s">
        <v>182</v>
      </c>
    </row>
    <row r="45" spans="1:3" ht="14.25">
      <c r="A45" s="3222" t="s">
        <v>183</v>
      </c>
    </row>
    <row r="46" spans="1:3" ht="14.25">
      <c r="A46" s="3221"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1"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workbookViewId="0">
      <selection activeCell="D26" sqref="D26"/>
    </sheetView>
  </sheetViews>
  <sheetFormatPr defaultColWidth="22.625" defaultRowHeight="20.25" customHeight="1"/>
  <cols>
    <col min="1" max="1" width="24.75" style="3174" customWidth="1"/>
    <col min="2" max="2" width="22.75" style="3174" customWidth="1"/>
    <col min="3" max="3" width="25.75" style="3174" customWidth="1"/>
    <col min="4" max="4" width="22.625" style="3174"/>
    <col min="5" max="5" width="22.75" style="3174" customWidth="1"/>
    <col min="6" max="6" width="25.625" style="3174" customWidth="1"/>
    <col min="7" max="16384" width="22.625" style="3174"/>
  </cols>
  <sheetData>
    <row r="1" spans="1:7" ht="20.25" customHeight="1">
      <c r="A1" s="3175"/>
      <c r="B1" s="3175"/>
      <c r="C1" s="3175"/>
      <c r="D1" s="3175"/>
      <c r="E1" s="3175"/>
      <c r="F1" s="3175"/>
      <c r="G1" s="3175"/>
    </row>
    <row r="2" spans="1:7" ht="20.25" customHeight="1">
      <c r="A2" s="3176" t="s">
        <v>185</v>
      </c>
      <c r="B2" s="3177">
        <f ca="1">TODAY()</f>
        <v>44510</v>
      </c>
      <c r="C2" s="3178" t="s">
        <v>186</v>
      </c>
      <c r="D2" s="3178"/>
      <c r="E2" s="3175"/>
      <c r="F2" s="3175"/>
      <c r="G2" s="3175"/>
    </row>
    <row r="3" spans="1:7" ht="20.25" customHeight="1">
      <c r="A3" s="3179" t="s">
        <v>129</v>
      </c>
      <c r="B3" s="3180" t="s">
        <v>187</v>
      </c>
      <c r="C3" s="3181" t="s">
        <v>188</v>
      </c>
      <c r="D3" s="3182" t="s">
        <v>189</v>
      </c>
      <c r="E3" s="3180" t="s">
        <v>190</v>
      </c>
      <c r="F3" s="3180" t="s">
        <v>188</v>
      </c>
      <c r="G3" s="3175"/>
    </row>
    <row r="4" spans="1:7" ht="20.25" customHeight="1">
      <c r="A4" s="3180" t="s">
        <v>191</v>
      </c>
      <c r="B4" s="3180">
        <f ca="1">IF(C4&lt;B2,"已过期",1119970066)</f>
        <v>1119970066</v>
      </c>
      <c r="C4" s="3183">
        <v>44876</v>
      </c>
      <c r="D4" s="3184" t="s">
        <v>191</v>
      </c>
      <c r="E4" s="3180">
        <f ca="1">IF(F4&lt;B2,"已过期",96010014)</f>
        <v>96010014</v>
      </c>
      <c r="F4" s="3185">
        <v>47118</v>
      </c>
      <c r="G4" s="3175"/>
    </row>
    <row r="5" spans="1:7" ht="20.25" customHeight="1">
      <c r="A5" s="3180" t="s">
        <v>192</v>
      </c>
      <c r="B5" s="3180">
        <f ca="1">IF(C5&lt;B2,"已过期",1119970111)</f>
        <v>1119970111</v>
      </c>
      <c r="C5" s="3183">
        <v>44876</v>
      </c>
      <c r="D5" s="3184" t="s">
        <v>192</v>
      </c>
      <c r="E5" s="3180">
        <f ca="1">IF(F5&lt;B2,"已过期",94010078)</f>
        <v>94010078</v>
      </c>
      <c r="F5" s="3185">
        <v>46387</v>
      </c>
      <c r="G5" s="3175"/>
    </row>
    <row r="6" spans="1:7" ht="20.25" customHeight="1">
      <c r="A6" s="3180" t="s">
        <v>193</v>
      </c>
      <c r="B6" s="3180" t="str">
        <f ca="1">IF(C6&lt;B2,"已过期",1120050019)</f>
        <v>已过期</v>
      </c>
      <c r="C6" s="3183">
        <v>44395</v>
      </c>
      <c r="D6" s="3184" t="s">
        <v>193</v>
      </c>
      <c r="E6" s="3180">
        <f ca="1">IF(F6&lt;B2,"已过期",2002110030)</f>
        <v>2002110030</v>
      </c>
      <c r="F6" s="3185">
        <v>46387</v>
      </c>
      <c r="G6" s="3175"/>
    </row>
    <row r="7" spans="1:7" ht="20.25" customHeight="1">
      <c r="A7" s="3180" t="s">
        <v>194</v>
      </c>
      <c r="B7" s="3180">
        <f ca="1">IF(C7&lt;B2,"已过期",1120000080)</f>
        <v>1120000080</v>
      </c>
      <c r="C7" s="3183">
        <v>44876</v>
      </c>
      <c r="D7" s="3184" t="s">
        <v>194</v>
      </c>
      <c r="E7" s="3180">
        <f ca="1">IF(F7&lt;B2,"已过期",2000110082)</f>
        <v>2000110082</v>
      </c>
      <c r="F7" s="3185">
        <v>46387</v>
      </c>
      <c r="G7" s="3175"/>
    </row>
    <row r="8" spans="1:7" ht="20.25" customHeight="1">
      <c r="A8" s="3180" t="s">
        <v>195</v>
      </c>
      <c r="B8" s="3180">
        <f ca="1">IF(C8&lt;B2,"已过期",1419970001)</f>
        <v>1419970001</v>
      </c>
      <c r="C8" s="3183">
        <v>44899</v>
      </c>
      <c r="D8" s="3184" t="s">
        <v>195</v>
      </c>
      <c r="E8" s="3180">
        <f ca="1">IF(F8&lt;B2,"已过期",2002110125)</f>
        <v>2002110125</v>
      </c>
      <c r="F8" s="3185">
        <v>47118</v>
      </c>
      <c r="G8" s="3175"/>
    </row>
    <row r="9" spans="1:7" ht="20.25" customHeight="1">
      <c r="A9" s="3180" t="s">
        <v>196</v>
      </c>
      <c r="B9" s="3180">
        <f ca="1">IF(C9&lt;B2,"已过期",1120060040)</f>
        <v>1120060040</v>
      </c>
      <c r="C9" s="3183">
        <v>44554</v>
      </c>
      <c r="D9" s="3184" t="s">
        <v>196</v>
      </c>
      <c r="E9" s="3180">
        <f ca="1">IF(F9&lt;B2,"已过期",2004110096)</f>
        <v>2004110096</v>
      </c>
      <c r="F9" s="3185">
        <v>47118</v>
      </c>
      <c r="G9" s="3175"/>
    </row>
    <row r="10" spans="1:7" ht="20.25" customHeight="1">
      <c r="A10" s="3180" t="s">
        <v>197</v>
      </c>
      <c r="B10" s="3180">
        <f ca="1">IF(C10&lt;B2,"已过期",1120100036)</f>
        <v>1120100036</v>
      </c>
      <c r="C10" s="3183">
        <v>44675</v>
      </c>
      <c r="D10" s="3184" t="s">
        <v>197</v>
      </c>
      <c r="E10" s="3180">
        <f ca="1">IF(F10&lt;B2,"已过期",2010110070)</f>
        <v>2010110070</v>
      </c>
      <c r="F10" s="3185">
        <v>47907</v>
      </c>
      <c r="G10" s="3175"/>
    </row>
    <row r="11" spans="1:7" ht="20.25" customHeight="1">
      <c r="A11" s="3180" t="s">
        <v>198</v>
      </c>
      <c r="B11" s="3180">
        <f ca="1">IF(C11&lt;B2,"已过期",1120070131)</f>
        <v>1120070131</v>
      </c>
      <c r="C11" s="3183">
        <v>44849</v>
      </c>
      <c r="D11" s="3184" t="s">
        <v>198</v>
      </c>
      <c r="E11" s="3180">
        <f ca="1">IF(F11&lt;B2,"已过期",2014110011)</f>
        <v>2014110011</v>
      </c>
      <c r="F11" s="3185">
        <v>49302</v>
      </c>
      <c r="G11" s="3175"/>
    </row>
    <row r="12" spans="1:7" ht="20.25" customHeight="1">
      <c r="A12" s="3180" t="s">
        <v>199</v>
      </c>
      <c r="B12" s="3180">
        <f ca="1">IF(C12&lt;B2,"已过期",1120040230)</f>
        <v>1120040230</v>
      </c>
      <c r="C12" s="3183">
        <v>44864</v>
      </c>
      <c r="D12" s="3184" t="s">
        <v>199</v>
      </c>
      <c r="E12" s="3180">
        <f ca="1">IF(F12&lt;B2,"已过期",98030020)</f>
        <v>98030020</v>
      </c>
      <c r="F12" s="3185">
        <v>47118</v>
      </c>
      <c r="G12" s="3175"/>
    </row>
    <row r="13" spans="1:7" ht="20.25" customHeight="1">
      <c r="A13" s="3180"/>
      <c r="B13" s="3180"/>
      <c r="C13" s="3183"/>
      <c r="D13" s="3184" t="s">
        <v>200</v>
      </c>
      <c r="E13" s="3180">
        <f ca="1">IF(F13&lt;B2,"已过期",2011110090)</f>
        <v>2011110090</v>
      </c>
      <c r="F13" s="3185">
        <v>48302</v>
      </c>
      <c r="G13" s="3175"/>
    </row>
    <row r="14" spans="1:7" ht="20.25" customHeight="1">
      <c r="A14" s="3180" t="s">
        <v>201</v>
      </c>
      <c r="B14" s="3180" t="str">
        <f ca="1">IF(C14&lt;B2,"已过期",1120020033)</f>
        <v>已过期</v>
      </c>
      <c r="C14" s="3183">
        <v>44339</v>
      </c>
      <c r="D14" s="3184" t="s">
        <v>201</v>
      </c>
      <c r="E14" s="3180">
        <f ca="1">IF(F14&lt;B2,"已过期",2000110137)</f>
        <v>2000110137</v>
      </c>
      <c r="F14" s="3185">
        <v>46387</v>
      </c>
      <c r="G14" s="3175"/>
    </row>
    <row r="15" spans="1:7" ht="20.25" customHeight="1">
      <c r="A15" s="3180" t="s">
        <v>202</v>
      </c>
      <c r="B15" s="3180" t="str">
        <f ca="1">IF(C14&lt;B2,"已过期",1119980106)</f>
        <v>已过期</v>
      </c>
      <c r="C15" s="3183">
        <v>44969</v>
      </c>
      <c r="D15" s="3184"/>
      <c r="E15" s="3180"/>
      <c r="F15" s="3180"/>
      <c r="G15" s="3175"/>
    </row>
    <row r="16" spans="1:7" s="3172" customFormat="1" ht="20.25" customHeight="1">
      <c r="A16" s="3186" t="s">
        <v>138</v>
      </c>
      <c r="B16" s="3186" t="s">
        <v>138</v>
      </c>
      <c r="C16" s="3183"/>
      <c r="D16" s="3187" t="s">
        <v>138</v>
      </c>
      <c r="E16" s="3180" t="s">
        <v>138</v>
      </c>
      <c r="F16" s="3185"/>
      <c r="G16" s="3188"/>
    </row>
    <row r="17" spans="1:7" ht="20.25" customHeight="1">
      <c r="A17" s="3501" t="s">
        <v>203</v>
      </c>
      <c r="B17" s="3502"/>
      <c r="C17" s="3502"/>
      <c r="D17" s="3502"/>
      <c r="E17" s="3502"/>
      <c r="F17" s="3502"/>
      <c r="G17" s="3188"/>
    </row>
    <row r="18" spans="1:7" ht="20.25" customHeight="1">
      <c r="A18" s="3503" t="s">
        <v>204</v>
      </c>
      <c r="B18" s="3503"/>
      <c r="C18" s="3504"/>
      <c r="D18" s="3505" t="s">
        <v>205</v>
      </c>
      <c r="E18" s="3503"/>
      <c r="F18" s="3503"/>
      <c r="G18" s="3188"/>
    </row>
    <row r="19" spans="1:7" s="3173" customFormat="1" ht="20.25" customHeight="1">
      <c r="A19" s="3191" t="s">
        <v>206</v>
      </c>
      <c r="B19" s="3189" t="s">
        <v>207</v>
      </c>
      <c r="C19" s="3190" t="s">
        <v>188</v>
      </c>
      <c r="D19" s="3184" t="s">
        <v>206</v>
      </c>
      <c r="E19" s="3189" t="s">
        <v>207</v>
      </c>
      <c r="F19" s="3189" t="s">
        <v>188</v>
      </c>
      <c r="G19" s="3176"/>
    </row>
    <row r="20" spans="1:7" s="3173" customFormat="1" ht="20.25" customHeight="1">
      <c r="A20" s="3192" t="s">
        <v>208</v>
      </c>
      <c r="B20" s="3192" t="s">
        <v>209</v>
      </c>
      <c r="C20" s="3193">
        <v>44820</v>
      </c>
      <c r="D20" s="3194" t="s">
        <v>210</v>
      </c>
      <c r="E20" s="3192" t="s">
        <v>211</v>
      </c>
      <c r="F20" s="3195">
        <v>44377</v>
      </c>
      <c r="G20" s="3176"/>
    </row>
    <row r="21" spans="1:7" s="3173" customFormat="1" ht="20.25" customHeight="1">
      <c r="A21" s="3192"/>
      <c r="B21" s="3192"/>
      <c r="C21" s="3196"/>
      <c r="D21" s="3194" t="s">
        <v>212</v>
      </c>
      <c r="E21" s="3192" t="s">
        <v>213</v>
      </c>
      <c r="F21" s="3195">
        <v>44012</v>
      </c>
      <c r="G21" s="3176"/>
    </row>
    <row r="22" spans="1:7" ht="20.25" customHeight="1">
      <c r="A22" s="3175"/>
      <c r="B22" s="3175"/>
      <c r="C22" s="3197"/>
      <c r="D22" s="3198"/>
      <c r="E22" s="3199"/>
      <c r="F22" s="3200" t="s">
        <v>214</v>
      </c>
      <c r="G22" s="3175"/>
    </row>
  </sheetData>
  <sheetProtection password="CEE9" sheet="1" objects="1" scenarios="1"/>
  <mergeCells count="3">
    <mergeCell ref="A17:F17"/>
    <mergeCell ref="A18:C18"/>
    <mergeCell ref="D18:F18"/>
  </mergeCells>
  <phoneticPr fontId="231" type="noConversion"/>
  <conditionalFormatting sqref="C4">
    <cfRule type="expression" dxfId="229" priority="1">
      <formula>AND($C4-TODAY()&lt;30,TODAY()&lt;$C4)</formula>
    </cfRule>
    <cfRule type="cellIs" dxfId="228" priority="2" stopIfTrue="1" operator="lessThan">
      <formula>$B$2</formula>
    </cfRule>
  </conditionalFormatting>
  <conditionalFormatting sqref="C6">
    <cfRule type="expression" dxfId="227" priority="82">
      <formula>AND($C6-TODAY()&lt;30,TODAY()&lt;$C6)</formula>
    </cfRule>
    <cfRule type="cellIs" dxfId="226" priority="83" stopIfTrue="1" operator="lessThan">
      <formula>$B$2</formula>
    </cfRule>
  </conditionalFormatting>
  <conditionalFormatting sqref="F11">
    <cfRule type="cellIs" dxfId="225" priority="79" stopIfTrue="1" operator="lessThan">
      <formula>$B$2</formula>
    </cfRule>
  </conditionalFormatting>
  <conditionalFormatting sqref="B12">
    <cfRule type="cellIs" dxfId="224" priority="48" stopIfTrue="1" operator="equal">
      <formula>"已过期"</formula>
    </cfRule>
  </conditionalFormatting>
  <conditionalFormatting sqref="C12">
    <cfRule type="expression" dxfId="223" priority="51">
      <formula>AND($C12-TODAY()&lt;30,TODAY()&lt;$C12)</formula>
    </cfRule>
    <cfRule type="cellIs" dxfId="222" priority="52" stopIfTrue="1" operator="lessThan">
      <formula>$B$2</formula>
    </cfRule>
    <cfRule type="cellIs" dxfId="221" priority="54" stopIfTrue="1" operator="lessThan">
      <formula>$B$2</formula>
    </cfRule>
  </conditionalFormatting>
  <conditionalFormatting sqref="E12">
    <cfRule type="cellIs" dxfId="220" priority="38" stopIfTrue="1" operator="equal">
      <formula>"已过期"</formula>
    </cfRule>
  </conditionalFormatting>
  <conditionalFormatting sqref="F12">
    <cfRule type="cellIs" dxfId="219" priority="37" stopIfTrue="1" operator="lessThan">
      <formula>$B$2</formula>
    </cfRule>
  </conditionalFormatting>
  <conditionalFormatting sqref="F13">
    <cfRule type="cellIs" dxfId="218" priority="113" stopIfTrue="1" operator="lessThan">
      <formula>$B$2</formula>
    </cfRule>
  </conditionalFormatting>
  <conditionalFormatting sqref="C14">
    <cfRule type="expression" dxfId="217" priority="60">
      <formula>AND($C14-TODAY()&lt;30,TODAY()&lt;$C14)</formula>
    </cfRule>
    <cfRule type="cellIs" dxfId="216" priority="61" stopIfTrue="1" operator="lessThan">
      <formula>$B$2</formula>
    </cfRule>
  </conditionalFormatting>
  <conditionalFormatting sqref="F14">
    <cfRule type="cellIs" dxfId="215" priority="114" stopIfTrue="1" operator="lessThan">
      <formula>$B$2</formula>
    </cfRule>
  </conditionalFormatting>
  <conditionalFormatting sqref="C16:D16">
    <cfRule type="expression" dxfId="214" priority="142">
      <formula>AND($C16-TODAY()&lt;30,TODAY()&lt;$C16)</formula>
    </cfRule>
  </conditionalFormatting>
  <conditionalFormatting sqref="C20">
    <cfRule type="expression" dxfId="213" priority="148">
      <formula>AND($C20-TODAY()&lt;30,TODAY()&lt;$C20)</formula>
    </cfRule>
  </conditionalFormatting>
  <conditionalFormatting sqref="F20">
    <cfRule type="cellIs" dxfId="212" priority="108" stopIfTrue="1" operator="lessThan">
      <formula>$B$2</formula>
    </cfRule>
    <cfRule type="expression" dxfId="211" priority="152">
      <formula>AND($E20-TODAY()&lt;30,TODAY()&lt;$E20)</formula>
    </cfRule>
  </conditionalFormatting>
  <conditionalFormatting sqref="F21">
    <cfRule type="cellIs" dxfId="210" priority="13" stopIfTrue="1" operator="lessThan">
      <formula>$B$2</formula>
    </cfRule>
    <cfRule type="expression" dxfId="209" priority="14">
      <formula>AND($E21-TODAY()&lt;30,TODAY()&lt;$E21)</formula>
    </cfRule>
  </conditionalFormatting>
  <conditionalFormatting sqref="C7:C8">
    <cfRule type="expression" dxfId="208" priority="3">
      <formula>AND($C7-TODAY()&lt;30,TODAY()&lt;$C7)</formula>
    </cfRule>
    <cfRule type="cellIs" dxfId="207" priority="4" stopIfTrue="1" operator="lessThan">
      <formula>$B$2</formula>
    </cfRule>
    <cfRule type="expression" dxfId="206" priority="5">
      <formula>AND($C7-TODAY()&lt;30,TODAY()&lt;$C7)</formula>
    </cfRule>
    <cfRule type="cellIs" dxfId="205" priority="6" stopIfTrue="1" operator="lessThan">
      <formula>$B$2</formula>
    </cfRule>
  </conditionalFormatting>
  <conditionalFormatting sqref="C9:C10">
    <cfRule type="expression" dxfId="204" priority="33">
      <formula>AND($C9-TODAY()&lt;30,TODAY()&lt;$C9)</formula>
    </cfRule>
    <cfRule type="cellIs" dxfId="203" priority="34" stopIfTrue="1" operator="lessThan">
      <formula>$B$2</formula>
    </cfRule>
  </conditionalFormatting>
  <conditionalFormatting sqref="B4:B11 E4:E11 E13:E15 B13:B15">
    <cfRule type="cellIs" dxfId="202" priority="111" stopIfTrue="1" operator="equal">
      <formula>"已过期"</formula>
    </cfRule>
  </conditionalFormatting>
  <conditionalFormatting sqref="C20 F4 C5 C13">
    <cfRule type="cellIs" dxfId="201" priority="150" stopIfTrue="1" operator="lessThan">
      <formula>$B$2</formula>
    </cfRule>
  </conditionalFormatting>
  <conditionalFormatting sqref="C16:D16 C5 C12:C13">
    <cfRule type="expression" dxfId="200" priority="149">
      <formula>AND($C5-TODAY()&lt;30,TODAY()&lt;$C5)</formula>
    </cfRule>
  </conditionalFormatting>
  <conditionalFormatting sqref="F5 F7 F9">
    <cfRule type="cellIs" dxfId="199" priority="144" stopIfTrue="1" operator="lessThan">
      <formula>$B$2</formula>
    </cfRule>
  </conditionalFormatting>
  <conditionalFormatting sqref="F6 F8 F10 C16:D16">
    <cfRule type="cellIs" dxfId="198" priority="143" stopIfTrue="1" operator="lessThan">
      <formula>$B$2</formula>
    </cfRule>
  </conditionalFormatting>
  <conditionalFormatting sqref="C11 C15">
    <cfRule type="expression" dxfId="197" priority="80">
      <formula>AND($C11-TODAY()&lt;30,TODAY()&lt;$C11)</formula>
    </cfRule>
    <cfRule type="cellIs" dxfId="196"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X22" sqref="X22"/>
    </sheetView>
  </sheetViews>
  <sheetFormatPr defaultColWidth="9" defaultRowHeight="14.25"/>
  <cols>
    <col min="1" max="1" width="10.375" style="3147" customWidth="1"/>
    <col min="2" max="2" width="18.875" style="3148" customWidth="1"/>
    <col min="3" max="3" width="18.875" style="2317" hidden="1" customWidth="1"/>
    <col min="4" max="4" width="5.5" style="3149" hidden="1" customWidth="1"/>
    <col min="5" max="5" width="7.125" style="3149" hidden="1" customWidth="1"/>
    <col min="6" max="6" width="10.625" style="3149" hidden="1" customWidth="1"/>
    <col min="7" max="7" width="7.5" style="3149" hidden="1" customWidth="1"/>
    <col min="8" max="8" width="9" style="2317" hidden="1" customWidth="1"/>
    <col min="9" max="9" width="11.625" style="2317" hidden="1" customWidth="1"/>
    <col min="10" max="10" width="9" style="2317" hidden="1" customWidth="1"/>
    <col min="11" max="19" width="9" style="3149" hidden="1" customWidth="1"/>
    <col min="20" max="22" width="9" style="2317" hidden="1" customWidth="1"/>
    <col min="23" max="23" width="9" style="2317" customWidth="1"/>
    <col min="24" max="24" width="14.625" style="3148" customWidth="1"/>
    <col min="25" max="25" width="7.25" style="3148" customWidth="1"/>
    <col min="26" max="16384" width="9" style="3148"/>
  </cols>
  <sheetData>
    <row r="1" spans="1:23" s="3146" customFormat="1" ht="27">
      <c r="A1" s="3150" t="s">
        <v>215</v>
      </c>
      <c r="B1" s="3151" t="s">
        <v>216</v>
      </c>
      <c r="C1" s="3152" t="s">
        <v>217</v>
      </c>
      <c r="D1" s="3153" t="s">
        <v>218</v>
      </c>
      <c r="E1" s="3153" t="s">
        <v>219</v>
      </c>
      <c r="F1" s="3153" t="s">
        <v>220</v>
      </c>
      <c r="G1" s="3153" t="s">
        <v>221</v>
      </c>
      <c r="H1" s="3153" t="s">
        <v>222</v>
      </c>
      <c r="I1" s="3153" t="s">
        <v>223</v>
      </c>
      <c r="J1" s="3153" t="s">
        <v>224</v>
      </c>
      <c r="K1" s="3153" t="s">
        <v>225</v>
      </c>
      <c r="L1" s="3153" t="s">
        <v>226</v>
      </c>
      <c r="M1" s="3153" t="s">
        <v>227</v>
      </c>
      <c r="N1" s="3153" t="s">
        <v>228</v>
      </c>
      <c r="O1" s="3153" t="s">
        <v>229</v>
      </c>
      <c r="P1" s="3153" t="s">
        <v>230</v>
      </c>
      <c r="Q1" s="3168" t="s">
        <v>231</v>
      </c>
      <c r="R1" s="3169" t="s">
        <v>232</v>
      </c>
      <c r="S1" s="3153" t="s">
        <v>233</v>
      </c>
      <c r="T1" s="3170" t="s">
        <v>234</v>
      </c>
      <c r="U1" s="3153" t="s">
        <v>235</v>
      </c>
      <c r="V1" s="3153" t="s">
        <v>236</v>
      </c>
      <c r="W1" s="3171" t="s">
        <v>237</v>
      </c>
    </row>
    <row r="2" spans="1:23">
      <c r="A2" s="3154" t="s">
        <v>238</v>
      </c>
      <c r="B2" s="3154" t="s">
        <v>239</v>
      </c>
      <c r="C2" s="3155" t="s">
        <v>240</v>
      </c>
      <c r="D2" s="3149" t="s">
        <v>241</v>
      </c>
      <c r="E2" s="3149" t="s">
        <v>242</v>
      </c>
      <c r="F2" s="3149" t="s">
        <v>243</v>
      </c>
      <c r="G2" s="3149">
        <v>40</v>
      </c>
      <c r="H2" s="3149" t="s">
        <v>243</v>
      </c>
      <c r="I2" s="3149" t="s">
        <v>244</v>
      </c>
      <c r="J2" s="3149" t="s">
        <v>245</v>
      </c>
      <c r="K2" s="3149" t="s">
        <v>246</v>
      </c>
      <c r="L2" s="3149" t="s">
        <v>246</v>
      </c>
      <c r="M2" s="3149" t="s">
        <v>246</v>
      </c>
      <c r="N2" s="3149" t="s">
        <v>246</v>
      </c>
      <c r="O2" s="3149" t="s">
        <v>246</v>
      </c>
      <c r="P2" s="3167" t="s">
        <v>246</v>
      </c>
      <c r="Q2" s="3149" t="s">
        <v>246</v>
      </c>
      <c r="R2" s="3167" t="s">
        <v>247</v>
      </c>
      <c r="S2" s="3149" t="s">
        <v>246</v>
      </c>
      <c r="T2" s="3149" t="s">
        <v>248</v>
      </c>
      <c r="U2" s="3149" t="s">
        <v>246</v>
      </c>
      <c r="V2" s="3149" t="s">
        <v>249</v>
      </c>
      <c r="W2" s="3149" t="s">
        <v>250</v>
      </c>
    </row>
    <row r="3" spans="1:23">
      <c r="A3" s="3154" t="s">
        <v>251</v>
      </c>
      <c r="B3" s="3156" t="s">
        <v>252</v>
      </c>
      <c r="C3" s="3157" t="s">
        <v>253</v>
      </c>
      <c r="D3" s="3149" t="s">
        <v>254</v>
      </c>
      <c r="E3" s="3149" t="s">
        <v>138</v>
      </c>
      <c r="F3" s="3149" t="s">
        <v>255</v>
      </c>
      <c r="G3" s="3149">
        <v>50</v>
      </c>
      <c r="H3" s="3149" t="s">
        <v>255</v>
      </c>
      <c r="I3" s="3149" t="s">
        <v>256</v>
      </c>
      <c r="J3" s="3149" t="s">
        <v>257</v>
      </c>
      <c r="K3" s="3149" t="s">
        <v>258</v>
      </c>
      <c r="L3" s="3149" t="s">
        <v>258</v>
      </c>
      <c r="M3" s="3149" t="s">
        <v>258</v>
      </c>
      <c r="N3" s="3149" t="s">
        <v>258</v>
      </c>
      <c r="O3" s="3149" t="s">
        <v>258</v>
      </c>
      <c r="P3" s="3167" t="s">
        <v>258</v>
      </c>
      <c r="Q3" s="3149" t="s">
        <v>258</v>
      </c>
      <c r="R3" s="3167" t="s">
        <v>259</v>
      </c>
      <c r="S3" s="3149" t="s">
        <v>258</v>
      </c>
      <c r="T3" s="3149" t="s">
        <v>260</v>
      </c>
      <c r="U3" s="3149" t="s">
        <v>258</v>
      </c>
      <c r="V3" s="3149" t="s">
        <v>261</v>
      </c>
      <c r="W3" s="3149" t="s">
        <v>262</v>
      </c>
    </row>
    <row r="4" spans="1:23">
      <c r="A4" s="3154" t="s">
        <v>263</v>
      </c>
      <c r="B4" s="3154" t="s">
        <v>264</v>
      </c>
      <c r="C4" s="3155" t="s">
        <v>265</v>
      </c>
      <c r="D4" s="3149" t="s">
        <v>138</v>
      </c>
      <c r="E4" s="3149" t="s">
        <v>266</v>
      </c>
      <c r="F4" s="3149" t="s">
        <v>267</v>
      </c>
      <c r="G4" s="3149">
        <v>70</v>
      </c>
      <c r="H4" s="3149" t="s">
        <v>267</v>
      </c>
      <c r="I4" s="3149" t="s">
        <v>268</v>
      </c>
      <c r="K4" s="3149" t="s">
        <v>269</v>
      </c>
      <c r="L4" s="3149" t="s">
        <v>269</v>
      </c>
      <c r="M4" s="3149" t="s">
        <v>269</v>
      </c>
      <c r="N4" s="3149" t="s">
        <v>269</v>
      </c>
      <c r="O4" s="3149" t="s">
        <v>269</v>
      </c>
      <c r="P4" s="3167" t="s">
        <v>269</v>
      </c>
      <c r="Q4" s="3149" t="s">
        <v>269</v>
      </c>
      <c r="R4" s="3167" t="s">
        <v>270</v>
      </c>
      <c r="S4" s="3149" t="s">
        <v>269</v>
      </c>
      <c r="T4" s="3149" t="s">
        <v>271</v>
      </c>
      <c r="U4" s="3149" t="s">
        <v>269</v>
      </c>
      <c r="W4" s="3149" t="s">
        <v>272</v>
      </c>
    </row>
    <row r="5" spans="1:23">
      <c r="A5" s="3154" t="s">
        <v>273</v>
      </c>
      <c r="B5" s="3154" t="s">
        <v>274</v>
      </c>
      <c r="C5" s="3155" t="s">
        <v>275</v>
      </c>
      <c r="F5" s="3149" t="s">
        <v>276</v>
      </c>
      <c r="H5" s="3149" t="s">
        <v>277</v>
      </c>
      <c r="I5" s="3149" t="s">
        <v>278</v>
      </c>
      <c r="K5" s="3149" t="s">
        <v>279</v>
      </c>
      <c r="L5" s="3149" t="s">
        <v>279</v>
      </c>
      <c r="M5" s="3149" t="s">
        <v>279</v>
      </c>
      <c r="N5" s="3149" t="s">
        <v>279</v>
      </c>
      <c r="O5" s="3149" t="s">
        <v>279</v>
      </c>
      <c r="P5" s="3167" t="s">
        <v>279</v>
      </c>
      <c r="Q5" s="3149" t="s">
        <v>279</v>
      </c>
      <c r="R5" s="3167" t="s">
        <v>280</v>
      </c>
      <c r="S5" s="3149" t="s">
        <v>279</v>
      </c>
      <c r="T5" s="3149" t="s">
        <v>281</v>
      </c>
      <c r="U5" s="3149" t="s">
        <v>279</v>
      </c>
      <c r="W5" s="3149" t="s">
        <v>282</v>
      </c>
    </row>
    <row r="6" spans="1:23">
      <c r="A6" s="3154" t="s">
        <v>283</v>
      </c>
      <c r="B6" s="3158" t="s">
        <v>173</v>
      </c>
      <c r="C6" s="3159" t="s">
        <v>284</v>
      </c>
      <c r="F6" s="3149" t="s">
        <v>277</v>
      </c>
      <c r="H6" s="3149" t="s">
        <v>285</v>
      </c>
      <c r="I6" s="3149" t="s">
        <v>286</v>
      </c>
      <c r="K6" s="3149" t="s">
        <v>287</v>
      </c>
      <c r="L6" s="3149" t="s">
        <v>287</v>
      </c>
      <c r="M6" s="3149" t="s">
        <v>287</v>
      </c>
      <c r="N6" s="3149" t="s">
        <v>287</v>
      </c>
      <c r="O6" s="3149" t="s">
        <v>287</v>
      </c>
      <c r="P6" s="3167" t="s">
        <v>287</v>
      </c>
      <c r="Q6" s="3149" t="s">
        <v>287</v>
      </c>
      <c r="R6" s="3167" t="s">
        <v>288</v>
      </c>
      <c r="S6" s="3149" t="s">
        <v>287</v>
      </c>
      <c r="T6" s="3149"/>
      <c r="U6" s="3149" t="s">
        <v>287</v>
      </c>
      <c r="W6" s="3149" t="s">
        <v>289</v>
      </c>
    </row>
    <row r="7" spans="1:23">
      <c r="A7" s="3154" t="s">
        <v>290</v>
      </c>
      <c r="B7" s="3154" t="s">
        <v>291</v>
      </c>
      <c r="C7" s="3155" t="s">
        <v>292</v>
      </c>
      <c r="F7" s="3149" t="s">
        <v>293</v>
      </c>
      <c r="H7" s="3149" t="s">
        <v>276</v>
      </c>
      <c r="I7" s="3149" t="s">
        <v>294</v>
      </c>
    </row>
    <row r="8" spans="1:23">
      <c r="A8" s="3154" t="s">
        <v>295</v>
      </c>
      <c r="B8" s="3154" t="s">
        <v>296</v>
      </c>
      <c r="C8" s="3155" t="s">
        <v>297</v>
      </c>
      <c r="F8" s="3149" t="s">
        <v>298</v>
      </c>
      <c r="H8" s="3149"/>
      <c r="I8" s="3149" t="s">
        <v>299</v>
      </c>
    </row>
    <row r="9" spans="1:23">
      <c r="A9" s="3154" t="s">
        <v>300</v>
      </c>
      <c r="B9" s="3154" t="s">
        <v>301</v>
      </c>
      <c r="C9" s="3155" t="s">
        <v>302</v>
      </c>
      <c r="F9" s="3149" t="s">
        <v>285</v>
      </c>
      <c r="H9" s="3149"/>
    </row>
    <row r="10" spans="1:23">
      <c r="A10" s="3154" t="s">
        <v>303</v>
      </c>
      <c r="B10" s="3154" t="s">
        <v>304</v>
      </c>
      <c r="C10" s="3155" t="s">
        <v>305</v>
      </c>
      <c r="F10" s="3149" t="s">
        <v>138</v>
      </c>
    </row>
    <row r="11" spans="1:23">
      <c r="A11" s="3154" t="s">
        <v>306</v>
      </c>
      <c r="B11" s="3154" t="s">
        <v>307</v>
      </c>
      <c r="C11" s="3155" t="s">
        <v>308</v>
      </c>
    </row>
    <row r="12" spans="1:23">
      <c r="A12" s="3154" t="s">
        <v>309</v>
      </c>
      <c r="B12" s="3154" t="s">
        <v>310</v>
      </c>
      <c r="C12" s="3155" t="s">
        <v>311</v>
      </c>
    </row>
    <row r="13" spans="1:23">
      <c r="A13" s="3154" t="s">
        <v>312</v>
      </c>
      <c r="B13" s="3154" t="s">
        <v>313</v>
      </c>
      <c r="C13" s="3155" t="s">
        <v>314</v>
      </c>
    </row>
    <row r="14" spans="1:23">
      <c r="A14" s="3154" t="s">
        <v>315</v>
      </c>
      <c r="B14" s="3154" t="s">
        <v>316</v>
      </c>
      <c r="C14" s="3160" t="s">
        <v>138</v>
      </c>
    </row>
    <row r="15" spans="1:23">
      <c r="A15" s="3154" t="s">
        <v>317</v>
      </c>
      <c r="B15" s="3154" t="s">
        <v>318</v>
      </c>
      <c r="C15" s="3160"/>
    </row>
    <row r="16" spans="1:23">
      <c r="A16" s="3154" t="s">
        <v>319</v>
      </c>
      <c r="B16" s="3154" t="s">
        <v>320</v>
      </c>
      <c r="C16" s="3160"/>
    </row>
    <row r="17" spans="1:3">
      <c r="A17" s="3154" t="s">
        <v>321</v>
      </c>
      <c r="B17" s="3154" t="s">
        <v>322</v>
      </c>
      <c r="C17" s="3160"/>
    </row>
    <row r="18" spans="1:3">
      <c r="A18" s="3154" t="s">
        <v>323</v>
      </c>
      <c r="B18" s="3161" t="s">
        <v>324</v>
      </c>
      <c r="C18" s="3160"/>
    </row>
    <row r="19" spans="1:3">
      <c r="A19" s="3154" t="s">
        <v>325</v>
      </c>
      <c r="B19" s="3161" t="s">
        <v>326</v>
      </c>
      <c r="C19" s="3160"/>
    </row>
    <row r="20" spans="1:3">
      <c r="A20" s="3154" t="s">
        <v>277</v>
      </c>
      <c r="B20" s="3161" t="s">
        <v>171</v>
      </c>
      <c r="C20" s="3160"/>
    </row>
    <row r="21" spans="1:3">
      <c r="A21" s="3154" t="s">
        <v>327</v>
      </c>
      <c r="B21" s="3154" t="s">
        <v>328</v>
      </c>
      <c r="C21" s="3160"/>
    </row>
    <row r="22" spans="1:3">
      <c r="A22" s="3154" t="s">
        <v>329</v>
      </c>
      <c r="B22" s="3154" t="s">
        <v>328</v>
      </c>
      <c r="C22" s="3160"/>
    </row>
    <row r="23" spans="1:3">
      <c r="A23" s="3154" t="s">
        <v>330</v>
      </c>
      <c r="B23" s="3154" t="s">
        <v>328</v>
      </c>
      <c r="C23" s="3160"/>
    </row>
    <row r="24" spans="1:3">
      <c r="A24" s="3154" t="s">
        <v>138</v>
      </c>
      <c r="B24" s="3154" t="s">
        <v>328</v>
      </c>
      <c r="C24" s="3160"/>
    </row>
    <row r="25" spans="1:3">
      <c r="A25" s="3154" t="s">
        <v>331</v>
      </c>
      <c r="B25" s="3154" t="s">
        <v>328</v>
      </c>
      <c r="C25" s="3160"/>
    </row>
    <row r="26" spans="1:3">
      <c r="A26" s="3154" t="s">
        <v>332</v>
      </c>
      <c r="B26" s="3154" t="s">
        <v>328</v>
      </c>
      <c r="C26" s="3160"/>
    </row>
    <row r="27" spans="1:3">
      <c r="A27" s="3154" t="s">
        <v>328</v>
      </c>
      <c r="B27" s="3154" t="s">
        <v>328</v>
      </c>
      <c r="C27" s="3160"/>
    </row>
    <row r="28" spans="1:3">
      <c r="A28" s="3154" t="s">
        <v>328</v>
      </c>
      <c r="B28" s="3154" t="s">
        <v>328</v>
      </c>
      <c r="C28" s="3160"/>
    </row>
    <row r="29" spans="1:3">
      <c r="A29" s="3154" t="s">
        <v>328</v>
      </c>
      <c r="B29" s="3154" t="s">
        <v>328</v>
      </c>
      <c r="C29" s="3160"/>
    </row>
    <row r="30" spans="1:3">
      <c r="A30" s="3154" t="s">
        <v>328</v>
      </c>
      <c r="B30" s="3154" t="s">
        <v>328</v>
      </c>
      <c r="C30" s="3160"/>
    </row>
    <row r="31" spans="1:3">
      <c r="A31" s="3154" t="s">
        <v>328</v>
      </c>
      <c r="B31" s="3154" t="s">
        <v>328</v>
      </c>
      <c r="C31" s="3160"/>
    </row>
    <row r="32" spans="1:3">
      <c r="A32" s="3154" t="s">
        <v>328</v>
      </c>
      <c r="B32" s="3154" t="s">
        <v>328</v>
      </c>
      <c r="C32" s="3160"/>
    </row>
    <row r="33" spans="1:3">
      <c r="A33" s="3154" t="s">
        <v>328</v>
      </c>
      <c r="B33" s="3154" t="s">
        <v>328</v>
      </c>
      <c r="C33" s="3160"/>
    </row>
    <row r="34" spans="1:3">
      <c r="A34" s="3154" t="s">
        <v>328</v>
      </c>
      <c r="B34" s="3154" t="s">
        <v>328</v>
      </c>
      <c r="C34" s="3160"/>
    </row>
    <row r="35" spans="1:3">
      <c r="A35" s="3154" t="s">
        <v>328</v>
      </c>
      <c r="B35" s="3154" t="s">
        <v>328</v>
      </c>
      <c r="C35" s="3160"/>
    </row>
    <row r="36" spans="1:3">
      <c r="A36" s="3154" t="s">
        <v>328</v>
      </c>
      <c r="B36" s="3154" t="s">
        <v>328</v>
      </c>
      <c r="C36" s="3160"/>
    </row>
    <row r="37" spans="1:3">
      <c r="A37" s="3154" t="s">
        <v>328</v>
      </c>
      <c r="B37" s="3154" t="s">
        <v>328</v>
      </c>
      <c r="C37" s="3160"/>
    </row>
    <row r="38" spans="1:3">
      <c r="A38" s="3154" t="s">
        <v>328</v>
      </c>
      <c r="B38" s="3154" t="s">
        <v>328</v>
      </c>
      <c r="C38" s="3160"/>
    </row>
    <row r="39" spans="1:3">
      <c r="A39" s="3154" t="s">
        <v>328</v>
      </c>
      <c r="B39" s="3154" t="s">
        <v>328</v>
      </c>
      <c r="C39" s="3160"/>
    </row>
    <row r="40" spans="1:3">
      <c r="A40" s="3154" t="s">
        <v>328</v>
      </c>
      <c r="B40" s="3154" t="s">
        <v>328</v>
      </c>
      <c r="C40" s="3160"/>
    </row>
    <row r="41" spans="1:3">
      <c r="A41" s="3154" t="s">
        <v>328</v>
      </c>
      <c r="B41" s="3154" t="s">
        <v>328</v>
      </c>
      <c r="C41" s="3160"/>
    </row>
    <row r="42" spans="1:3">
      <c r="A42" s="3154" t="s">
        <v>328</v>
      </c>
      <c r="B42" s="3154" t="s">
        <v>328</v>
      </c>
      <c r="C42" s="3160"/>
    </row>
    <row r="43" spans="1:3">
      <c r="A43" s="3154" t="s">
        <v>328</v>
      </c>
      <c r="B43" s="3154" t="s">
        <v>328</v>
      </c>
      <c r="C43" s="3160"/>
    </row>
    <row r="44" spans="1:3">
      <c r="A44" s="3154" t="s">
        <v>328</v>
      </c>
      <c r="B44" s="3154" t="s">
        <v>328</v>
      </c>
      <c r="C44" s="3160"/>
    </row>
    <row r="45" spans="1:3">
      <c r="A45" s="3154" t="s">
        <v>328</v>
      </c>
      <c r="B45" s="3154" t="s">
        <v>328</v>
      </c>
      <c r="C45" s="3160"/>
    </row>
    <row r="46" spans="1:3">
      <c r="A46" s="3154" t="s">
        <v>328</v>
      </c>
      <c r="B46" s="3154" t="s">
        <v>328</v>
      </c>
      <c r="C46" s="3160"/>
    </row>
    <row r="47" spans="1:3">
      <c r="A47" s="3154" t="s">
        <v>328</v>
      </c>
      <c r="B47" s="3154" t="s">
        <v>328</v>
      </c>
      <c r="C47" s="3160"/>
    </row>
    <row r="48" spans="1:3">
      <c r="A48" s="3154" t="s">
        <v>328</v>
      </c>
      <c r="B48" s="3154" t="s">
        <v>328</v>
      </c>
      <c r="C48" s="3160"/>
    </row>
    <row r="49" spans="1:5">
      <c r="A49" s="3154" t="s">
        <v>328</v>
      </c>
      <c r="B49" s="3154" t="s">
        <v>328</v>
      </c>
      <c r="C49" s="3160"/>
    </row>
    <row r="50" spans="1:5">
      <c r="A50" s="3154" t="s">
        <v>328</v>
      </c>
      <c r="B50" s="3154" t="s">
        <v>328</v>
      </c>
      <c r="C50" s="3160"/>
    </row>
    <row r="51" spans="1:5">
      <c r="A51" s="3162" t="s">
        <v>333</v>
      </c>
      <c r="B51" s="31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1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1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64"/>
    </row>
    <row r="52" spans="1:5">
      <c r="A52" s="3162" t="s">
        <v>334</v>
      </c>
      <c r="B52" s="3165" t="s">
        <v>335</v>
      </c>
      <c r="C52" s="3163" t="s">
        <v>336</v>
      </c>
      <c r="D52" s="3163" t="s">
        <v>337</v>
      </c>
      <c r="E52" s="3164"/>
    </row>
    <row r="53" spans="1:5">
      <c r="A53" s="3506" t="s">
        <v>338</v>
      </c>
      <c r="B53" s="3163" t="s">
        <v>339</v>
      </c>
      <c r="C53" s="31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10月15日，在规划利用条件下、设定土地开发程度为红线外“七通”、宗地内场地，设定用途为，剩余土地使用年限为的出让国有建设用地使用权价格。</v>
      </c>
      <c r="D53" s="3164"/>
      <c r="E53" s="3164"/>
    </row>
    <row r="54" spans="1:5">
      <c r="A54" s="3506"/>
      <c r="B54" s="3163" t="s">
        <v>340</v>
      </c>
      <c r="C54" s="31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64"/>
      <c r="E54" s="3164"/>
    </row>
    <row r="55" spans="1:5">
      <c r="A55" s="3506"/>
      <c r="B55" s="3163" t="s">
        <v>341</v>
      </c>
      <c r="C55" s="31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64"/>
      <c r="E55" s="3164"/>
    </row>
    <row r="56" spans="1:5">
      <c r="A56" s="3506"/>
      <c r="B56" s="3163" t="s">
        <v>342</v>
      </c>
      <c r="C56" s="31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64"/>
      <c r="E56" s="3164"/>
    </row>
    <row r="57" spans="1:5">
      <c r="A57" s="3506"/>
      <c r="B57" s="3163" t="s">
        <v>343</v>
      </c>
      <c r="C57" s="31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64"/>
      <c r="E57" s="3164"/>
    </row>
    <row r="58" spans="1:5">
      <c r="A58" s="3166" t="s">
        <v>344</v>
      </c>
      <c r="B58" s="3163" t="s">
        <v>345</v>
      </c>
      <c r="C58" s="2317" t="s">
        <v>346</v>
      </c>
      <c r="D58" s="2411" t="s">
        <v>347</v>
      </c>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90" zoomScaleNormal="100" zoomScaleSheetLayoutView="90" workbookViewId="0">
      <selection activeCell="B4" sqref="B4"/>
    </sheetView>
  </sheetViews>
  <sheetFormatPr defaultColWidth="10" defaultRowHeight="14.25"/>
  <cols>
    <col min="1" max="1" width="15.375" style="2979" customWidth="1"/>
    <col min="2" max="2" width="11.375" style="2979" customWidth="1"/>
    <col min="3" max="3" width="12.625" style="2979" customWidth="1"/>
    <col min="4" max="4" width="11.875" style="2979" customWidth="1"/>
    <col min="5" max="5" width="12.5" style="2979" customWidth="1"/>
    <col min="6" max="6" width="11.375" style="2979" customWidth="1"/>
    <col min="7" max="7" width="12.375" style="2979" customWidth="1"/>
    <col min="8" max="8" width="10" style="2979" customWidth="1"/>
    <col min="9" max="9" width="12.5" style="2980" customWidth="1"/>
    <col min="10" max="10" width="10" style="2979" customWidth="1"/>
    <col min="11" max="11" width="10" style="2981" customWidth="1"/>
    <col min="12" max="13" width="10" style="2982" customWidth="1"/>
    <col min="14" max="14" width="10" style="2983" customWidth="1"/>
    <col min="15" max="15" width="10" style="2984" customWidth="1"/>
    <col min="16" max="17" width="10" style="2983"/>
    <col min="18" max="18" width="10" style="2983" customWidth="1"/>
    <col min="19" max="28" width="10" style="2983"/>
    <col min="29" max="16384" width="10" style="2979"/>
  </cols>
  <sheetData>
    <row r="1" spans="1:21">
      <c r="A1" s="2985" t="s">
        <v>348</v>
      </c>
      <c r="B1" s="3537" t="str">
        <f>IF(B10="北京市","北京市",C10)&amp;F10&amp;B16&amp;"国有建设用地使用权"&amp;B9&amp;"预评估"</f>
        <v>北京市出让国有建设用地使用权抵押价格预评估</v>
      </c>
      <c r="C1" s="3538"/>
      <c r="D1" s="3538"/>
      <c r="E1" s="3538"/>
      <c r="F1" s="3538"/>
      <c r="G1" s="3538"/>
      <c r="H1" s="3538"/>
      <c r="I1" s="3539"/>
      <c r="J1" s="2988"/>
      <c r="K1" s="3114" t="str">
        <f>IF(B10="北京市","北京市",C10)&amp;F10&amp;B16&amp;"国有建设用地使用权"&amp;B9</f>
        <v>北京市出让国有建设用地使用权抵押价格</v>
      </c>
      <c r="L1" s="3115"/>
      <c r="M1" s="3115"/>
      <c r="N1" s="3116"/>
      <c r="O1" s="3117"/>
      <c r="P1" s="3116"/>
      <c r="Q1" s="3116"/>
      <c r="R1" s="3116"/>
      <c r="S1" s="3116"/>
      <c r="T1" s="3116"/>
      <c r="U1" s="3116"/>
    </row>
    <row r="2" spans="1:21">
      <c r="A2" s="2986" t="s">
        <v>349</v>
      </c>
      <c r="B2" s="2987"/>
      <c r="D2" s="2988"/>
      <c r="E2" s="2988"/>
      <c r="F2" s="2988"/>
      <c r="G2" s="2988"/>
      <c r="H2" s="2989"/>
      <c r="I2" s="3118"/>
      <c r="J2" s="2988"/>
      <c r="K2" s="3114" t="str">
        <f>IF(B10="北京市","北京市",C10)&amp;F10&amp;B16&amp;"国有建设用地使用权"</f>
        <v>北京市出让国有建设用地使用权</v>
      </c>
      <c r="L2" s="3115"/>
      <c r="M2" s="3115"/>
      <c r="N2" s="3116"/>
      <c r="O2" s="3117"/>
      <c r="P2" s="3116"/>
      <c r="Q2" s="3116"/>
      <c r="R2" s="3116"/>
      <c r="S2" s="3116"/>
      <c r="T2" s="3116"/>
      <c r="U2" s="3116"/>
    </row>
    <row r="3" spans="1:21">
      <c r="A3" s="2990" t="s">
        <v>350</v>
      </c>
      <c r="B3" s="2991">
        <v>44498</v>
      </c>
      <c r="C3" s="2992" t="s">
        <v>351</v>
      </c>
      <c r="D3" s="2991">
        <v>44484</v>
      </c>
      <c r="E3" s="2988"/>
      <c r="F3" s="2988"/>
      <c r="G3" s="2988"/>
      <c r="H3" s="2989"/>
      <c r="I3" s="3118"/>
      <c r="J3" s="2988"/>
      <c r="K3" s="3119"/>
      <c r="L3" s="3115"/>
      <c r="M3" s="3115"/>
      <c r="N3" s="3116"/>
      <c r="O3" s="3117"/>
      <c r="P3" s="3116"/>
      <c r="Q3" s="3116"/>
      <c r="R3" s="3116"/>
      <c r="S3" s="3116"/>
      <c r="T3" s="3116"/>
      <c r="U3" s="3116"/>
    </row>
    <row r="4" spans="1:21">
      <c r="A4" s="2993" t="s">
        <v>352</v>
      </c>
      <c r="B4" s="2994" t="s">
        <v>196</v>
      </c>
      <c r="C4" s="2995">
        <f ca="1">SUMIF(土地估价师,B4,估价师及机构信息!E3:E16)</f>
        <v>2004110096</v>
      </c>
      <c r="D4" s="2994" t="s">
        <v>197</v>
      </c>
      <c r="E4" s="2995">
        <f ca="1">SUMIF(土地估价师,D4,估价师及机构信息!E3:E16)</f>
        <v>2010110070</v>
      </c>
      <c r="F4" s="2994" t="s">
        <v>138</v>
      </c>
      <c r="G4" s="2995">
        <f>SUMIF(土地估价师,F4,估价师及机构信息!E3:E16)</f>
        <v>0</v>
      </c>
      <c r="H4" s="2994" t="s">
        <v>138</v>
      </c>
      <c r="I4" s="2995">
        <f>SUMIF(土地估价师,H4,估价师及机构信息!E3:E16)</f>
        <v>0</v>
      </c>
      <c r="J4" s="2988"/>
      <c r="K4" s="3114" t="str">
        <f>IF(AND(F4="——",H4="——"),B4&amp;"、"&amp;D4,IF(AND(F4&lt;&gt;"——",H4="——"),B4&amp;"、"&amp;D4&amp;"、"&amp;F4,B4&amp;"、"&amp;D4&amp;"、"&amp;F4&amp;"、"&amp;H4))</f>
        <v>陈颖、崔锴</v>
      </c>
      <c r="L4" s="3115"/>
      <c r="M4" s="3115"/>
      <c r="N4" s="3116"/>
      <c r="O4" s="3117"/>
      <c r="P4" s="3116"/>
      <c r="Q4" s="3116"/>
      <c r="R4" s="3116"/>
      <c r="S4" s="3116"/>
      <c r="T4" s="3116"/>
      <c r="U4" s="3116"/>
    </row>
    <row r="5" spans="1:21">
      <c r="A5" s="2996" t="s">
        <v>353</v>
      </c>
      <c r="B5" s="2997"/>
      <c r="C5" s="2998"/>
      <c r="D5" s="2999"/>
      <c r="E5" s="2988"/>
      <c r="F5" s="2988"/>
      <c r="G5" s="2988"/>
      <c r="H5" s="2989"/>
      <c r="I5" s="3118"/>
      <c r="J5" s="2988"/>
      <c r="K5" s="3119"/>
      <c r="L5" s="3115"/>
      <c r="M5" s="3115"/>
      <c r="N5" s="3116"/>
      <c r="O5" s="3117"/>
      <c r="P5" s="3116"/>
      <c r="Q5" s="3116"/>
      <c r="R5" s="3116"/>
      <c r="S5" s="3116"/>
      <c r="T5" s="3116"/>
      <c r="U5" s="3116"/>
    </row>
    <row r="6" spans="1:21" ht="26.25">
      <c r="A6" s="3000" t="s">
        <v>354</v>
      </c>
      <c r="B6" s="2997"/>
      <c r="C6" s="3001"/>
      <c r="D6" s="3002"/>
      <c r="E6" s="2988"/>
      <c r="F6" s="2988"/>
      <c r="G6" s="2988"/>
      <c r="H6" s="2989"/>
      <c r="I6" s="3118"/>
      <c r="J6" s="2988"/>
      <c r="K6" s="3120" t="str">
        <f>IF(COUNTIF(B6,"*上海银行*"),"上海银行","")</f>
        <v/>
      </c>
      <c r="L6" s="3115"/>
      <c r="M6" s="3115"/>
      <c r="N6" s="3116"/>
      <c r="O6" s="3117"/>
      <c r="P6" s="3116"/>
      <c r="Q6" s="3116"/>
      <c r="R6" s="3116"/>
      <c r="S6" s="3116"/>
      <c r="T6" s="3116"/>
      <c r="U6" s="3116"/>
    </row>
    <row r="7" spans="1:21">
      <c r="A7" s="3003" t="s">
        <v>355</v>
      </c>
      <c r="B7" s="2997"/>
      <c r="C7" s="3001"/>
      <c r="D7" s="3002"/>
      <c r="E7" s="2988"/>
      <c r="F7" s="2988"/>
      <c r="G7" s="2988"/>
      <c r="H7" s="2989"/>
      <c r="I7" s="3118"/>
      <c r="J7" s="2988"/>
      <c r="K7" s="3119"/>
      <c r="L7" s="3115"/>
      <c r="M7" s="3115"/>
      <c r="N7" s="3116"/>
      <c r="O7" s="3117"/>
      <c r="P7" s="3116"/>
      <c r="Q7" s="3116"/>
      <c r="R7" s="3116"/>
      <c r="S7" s="3116"/>
      <c r="T7" s="3116"/>
      <c r="U7" s="3116"/>
    </row>
    <row r="8" spans="1:21">
      <c r="A8" s="3004" t="s">
        <v>333</v>
      </c>
      <c r="B8" s="3005" t="s">
        <v>335</v>
      </c>
      <c r="C8" s="3006"/>
      <c r="D8" s="3546" t="s">
        <v>356</v>
      </c>
      <c r="E8" s="3007"/>
      <c r="F8" s="3008"/>
      <c r="G8" s="2989"/>
      <c r="H8" s="2989"/>
      <c r="I8" s="3121"/>
      <c r="J8" s="2988"/>
      <c r="K8" s="3119"/>
      <c r="L8" s="3115"/>
      <c r="M8" s="3115"/>
      <c r="N8" s="3116"/>
      <c r="O8" s="3117"/>
      <c r="P8" s="3116"/>
      <c r="Q8" s="3116"/>
      <c r="R8" s="3116"/>
      <c r="S8" s="3116"/>
      <c r="T8" s="3116"/>
      <c r="U8" s="3116"/>
    </row>
    <row r="9" spans="1:21">
      <c r="A9" s="3009" t="s">
        <v>357</v>
      </c>
      <c r="B9" s="3010" t="s">
        <v>340</v>
      </c>
      <c r="C9" s="3011"/>
      <c r="D9" s="3547"/>
      <c r="E9" s="3010"/>
      <c r="F9" s="3012"/>
      <c r="G9" s="3013"/>
      <c r="H9" s="3013"/>
      <c r="I9" s="3122"/>
      <c r="J9" s="2988"/>
      <c r="K9" s="3119"/>
      <c r="L9" s="3115"/>
      <c r="M9" s="3115"/>
      <c r="N9" s="3116"/>
      <c r="O9" s="3117"/>
      <c r="P9" s="3116"/>
      <c r="Q9" s="3116"/>
      <c r="R9" s="3116"/>
      <c r="S9" s="3116"/>
      <c r="T9" s="3116"/>
      <c r="U9" s="3116"/>
    </row>
    <row r="10" spans="1:21">
      <c r="A10" s="3014" t="s">
        <v>358</v>
      </c>
      <c r="B10" s="3015" t="s">
        <v>359</v>
      </c>
      <c r="C10" s="3016"/>
      <c r="D10" s="2999"/>
      <c r="E10" s="3017" t="s">
        <v>360</v>
      </c>
      <c r="F10" s="3018"/>
      <c r="G10" s="3019"/>
      <c r="H10" s="3020"/>
      <c r="I10" s="2999"/>
      <c r="J10" s="2988"/>
      <c r="K10" s="3119"/>
      <c r="L10" s="3115"/>
      <c r="M10" s="3115"/>
      <c r="N10" s="3116"/>
      <c r="O10" s="3117"/>
      <c r="P10" s="3116"/>
      <c r="Q10" s="3116"/>
      <c r="R10" s="3116"/>
      <c r="S10" s="3116"/>
      <c r="T10" s="3116"/>
      <c r="U10" s="3116"/>
    </row>
    <row r="11" spans="1:21">
      <c r="A11" s="3021" t="s">
        <v>361</v>
      </c>
      <c r="B11" s="3022"/>
      <c r="C11" s="3023"/>
      <c r="D11" s="3024"/>
      <c r="E11" s="3025"/>
      <c r="F11" s="3025"/>
      <c r="G11" s="3025"/>
      <c r="H11" s="3025"/>
      <c r="I11" s="3025"/>
      <c r="J11" s="2988"/>
      <c r="K11" s="3119"/>
      <c r="L11" s="3115"/>
      <c r="M11" s="3115"/>
      <c r="N11" s="3116"/>
      <c r="O11" s="3117"/>
      <c r="P11" s="3116"/>
      <c r="Q11" s="3116"/>
      <c r="R11" s="3116"/>
      <c r="S11" s="3116"/>
      <c r="T11" s="3116"/>
      <c r="U11" s="3116"/>
    </row>
    <row r="12" spans="1:21">
      <c r="A12" s="3026" t="s">
        <v>362</v>
      </c>
      <c r="B12" s="3540"/>
      <c r="C12" s="3541"/>
      <c r="D12" s="3542"/>
      <c r="E12" s="3027" t="s">
        <v>363</v>
      </c>
      <c r="F12" s="3543" t="s">
        <v>364</v>
      </c>
      <c r="G12" s="3544"/>
      <c r="H12" s="3544"/>
      <c r="I12" s="3545"/>
      <c r="J12" s="2988"/>
      <c r="K12" s="3119"/>
      <c r="L12" s="3115"/>
      <c r="M12" s="3115"/>
      <c r="N12" s="3116"/>
      <c r="O12" s="3117"/>
      <c r="P12" s="3116"/>
      <c r="Q12" s="3116"/>
      <c r="R12" s="3116"/>
      <c r="S12" s="3116"/>
      <c r="T12" s="3116"/>
      <c r="U12" s="3116"/>
    </row>
    <row r="13" spans="1:21">
      <c r="A13" s="3028" t="s">
        <v>365</v>
      </c>
      <c r="B13" s="3540"/>
      <c r="C13" s="3541"/>
      <c r="D13" s="3542"/>
      <c r="E13" s="3027" t="s">
        <v>363</v>
      </c>
      <c r="F13" s="3543" t="s">
        <v>366</v>
      </c>
      <c r="G13" s="3544"/>
      <c r="H13" s="3544"/>
      <c r="I13" s="3545"/>
      <c r="J13" s="2988"/>
      <c r="K13" s="3119"/>
      <c r="L13" s="3115"/>
      <c r="M13" s="3115"/>
      <c r="N13" s="3116"/>
      <c r="O13" s="3117"/>
      <c r="P13" s="3116"/>
      <c r="Q13" s="3116"/>
      <c r="R13" s="3116"/>
      <c r="S13" s="3116"/>
      <c r="T13" s="3116"/>
      <c r="U13" s="3116"/>
    </row>
    <row r="14" spans="1:21">
      <c r="A14" s="2990" t="s">
        <v>367</v>
      </c>
      <c r="B14" s="3027"/>
      <c r="C14" s="3029"/>
      <c r="D14" s="3030" t="str">
        <f>IF(C14="不一致","是否符合证载地类范围","")</f>
        <v/>
      </c>
      <c r="E14" s="3027"/>
      <c r="F14" s="3031"/>
      <c r="G14" s="3032"/>
      <c r="H14" s="3032"/>
      <c r="I14" s="3123"/>
      <c r="J14" s="2988"/>
      <c r="K14" s="3119"/>
      <c r="L14" s="3115"/>
      <c r="M14" s="3115"/>
      <c r="N14" s="3116"/>
      <c r="O14" s="3117"/>
      <c r="P14" s="3116"/>
      <c r="Q14" s="3116"/>
      <c r="R14" s="3116"/>
      <c r="S14" s="3116"/>
      <c r="T14" s="3116"/>
      <c r="U14" s="3116"/>
    </row>
    <row r="15" spans="1:21" hidden="1">
      <c r="A15" s="3033"/>
      <c r="B15" s="3000"/>
      <c r="C15" s="3000"/>
      <c r="D15" s="3034" t="s">
        <v>368</v>
      </c>
      <c r="E15" s="3034" t="s">
        <v>369</v>
      </c>
      <c r="F15" s="3034" t="s">
        <v>370</v>
      </c>
      <c r="G15" s="3035" t="s">
        <v>371</v>
      </c>
      <c r="H15" s="3035" t="s">
        <v>372</v>
      </c>
      <c r="I15" s="3035" t="s">
        <v>164</v>
      </c>
      <c r="J15" s="2988"/>
      <c r="K15" s="3119"/>
      <c r="L15" s="3115"/>
      <c r="M15" s="3115"/>
      <c r="N15" s="3116"/>
      <c r="O15" s="3117"/>
      <c r="P15" s="3116"/>
      <c r="Q15" s="3116"/>
      <c r="R15" s="3116"/>
      <c r="S15" s="3116"/>
      <c r="T15" s="3116"/>
      <c r="U15" s="3116"/>
    </row>
    <row r="16" spans="1:21" ht="28.5">
      <c r="A16" s="3036" t="s">
        <v>373</v>
      </c>
      <c r="B16" s="3037" t="s">
        <v>374</v>
      </c>
      <c r="C16" s="3027" t="s">
        <v>345</v>
      </c>
      <c r="D16" s="3034" t="s">
        <v>368</v>
      </c>
      <c r="E16" s="3038"/>
      <c r="F16" s="3038"/>
      <c r="G16" s="3038"/>
      <c r="H16" s="3038"/>
      <c r="I16" s="3035" t="s">
        <v>164</v>
      </c>
      <c r="J16" s="2988"/>
      <c r="K16" s="3124" t="str">
        <f>IF(D17="","",D16&amp;TEXT(D17,"yyyy年m月d日;;"))</f>
        <v>住宅2092年1月1日</v>
      </c>
      <c r="L16" s="3027" t="str">
        <f>IF(OR(K16="",M16=""),"","、")</f>
        <v/>
      </c>
      <c r="M16" s="3124" t="str">
        <f>IF(E17="","",E16&amp;TEXT(E17,"yyyy年m月d日;;"))</f>
        <v/>
      </c>
      <c r="N16" s="3027" t="str">
        <f>IF(OR(M16="",O16=""),"","、")</f>
        <v/>
      </c>
      <c r="O16" s="3124" t="str">
        <f>IF(F17="","",F16&amp;TEXT(F17,"yyyy年m月d日;;"))</f>
        <v/>
      </c>
      <c r="P16" s="3027" t="str">
        <f>IF(OR(O16="",Q16=""),"","、")</f>
        <v/>
      </c>
      <c r="Q16" s="3124" t="str">
        <f>IF(G17="","",G16&amp;TEXT(G17,"yyyy年m月d日;;"))</f>
        <v/>
      </c>
      <c r="R16" s="3027" t="str">
        <f>IF(OR(Q16="",S16=""),"","、")</f>
        <v/>
      </c>
      <c r="S16" s="3124" t="str">
        <f>IF(H17="","",H16&amp;TEXT(H17,"yyyy年m月d日;;"))</f>
        <v/>
      </c>
      <c r="T16" s="3027" t="str">
        <f>IF(OR(S16="",U16=""),"","、")</f>
        <v/>
      </c>
      <c r="U16" s="3124" t="str">
        <f>IF(I17="","",I16&amp;TEXT(I17,"yyyy年m月d日;;"))</f>
        <v/>
      </c>
    </row>
    <row r="17" spans="1:21">
      <c r="A17" s="3039"/>
      <c r="B17" s="3040"/>
      <c r="C17" s="3041" t="s">
        <v>375</v>
      </c>
      <c r="D17" s="3042">
        <v>70129</v>
      </c>
      <c r="E17" s="3042"/>
      <c r="F17" s="3042"/>
      <c r="G17" s="3042"/>
      <c r="H17" s="3042"/>
      <c r="I17" s="3042"/>
      <c r="J17" s="2988"/>
      <c r="K17" s="3125" t="str">
        <f>CONCATENATE(K16,L16,M16,N16,O16,P16,Q16,R16,S16,T16,,U16)</f>
        <v>住宅2092年1月1日</v>
      </c>
      <c r="L17" s="3115"/>
      <c r="M17" s="3115"/>
      <c r="N17" s="3116"/>
      <c r="O17" s="3117"/>
      <c r="P17" s="3116"/>
      <c r="Q17" s="3116"/>
      <c r="R17" s="3116"/>
      <c r="S17" s="3116"/>
      <c r="T17" s="3116"/>
      <c r="U17" s="3116"/>
    </row>
    <row r="18" spans="1:21">
      <c r="A18" s="3039"/>
      <c r="B18" s="3040"/>
      <c r="C18" s="3041" t="s">
        <v>376</v>
      </c>
      <c r="D18" s="3043">
        <v>70</v>
      </c>
      <c r="E18" s="3043"/>
      <c r="F18" s="3043"/>
      <c r="G18" s="3043"/>
      <c r="H18" s="3043"/>
      <c r="I18" s="3043"/>
      <c r="J18" s="2988"/>
      <c r="K18" s="3119"/>
      <c r="L18" s="3115"/>
      <c r="M18" s="3115"/>
      <c r="N18" s="3116"/>
      <c r="O18" s="3117"/>
      <c r="P18" s="3116"/>
      <c r="Q18" s="3116"/>
      <c r="R18" s="3116"/>
      <c r="S18" s="3116"/>
      <c r="T18" s="3116"/>
      <c r="U18" s="3116"/>
    </row>
    <row r="19" spans="1:21">
      <c r="A19" s="3039"/>
      <c r="B19" s="3040"/>
      <c r="C19" s="2986" t="s">
        <v>377</v>
      </c>
      <c r="D19" s="3044">
        <f>IF(B16="出让",IF(D17="","",ROUNDDOWN(MIN((D17-$D$3)/365,D18),2)),D18)</f>
        <v>70</v>
      </c>
      <c r="E19" s="3045" t="str">
        <f>IF(B16="出让",IF(E17="","",ROUNDDOWN(MIN((E17-$D$3)/365,E18),2)),E18)</f>
        <v/>
      </c>
      <c r="F19" s="3045" t="str">
        <f>IF(B16="出让",IF(F17="","",ROUNDDOWN(MIN((F17-$D$3)/365,F18),2)),F18)</f>
        <v/>
      </c>
      <c r="G19" s="3045" t="str">
        <f>IF(B16="出让",IF(G17="","",ROUNDDOWN(MIN((G17-$D$3)/365,G18),2)),G18)</f>
        <v/>
      </c>
      <c r="H19" s="3045" t="str">
        <f>IF(B16="出让",IF(H17="","",ROUNDDOWN(MIN((H17-$D$3)/365,H18),2)),H18)</f>
        <v/>
      </c>
      <c r="I19" s="3045" t="str">
        <f>IF(B16="出让",IF(I17="","",ROUNDDOWN(MIN((I17-$D$3)/365,I18),2)),I18)</f>
        <v/>
      </c>
      <c r="J19" s="2988"/>
      <c r="K19" s="3119"/>
      <c r="L19" s="3115"/>
      <c r="M19" s="3115"/>
      <c r="N19" s="3116"/>
      <c r="O19" s="3117"/>
      <c r="P19" s="3116"/>
      <c r="Q19" s="3116"/>
      <c r="R19" s="3116"/>
      <c r="S19" s="3116"/>
      <c r="T19" s="3116"/>
      <c r="U19" s="3116"/>
    </row>
    <row r="20" spans="1:21">
      <c r="A20" s="3046"/>
      <c r="B20" s="3047"/>
      <c r="C20" s="3048" t="s">
        <v>378</v>
      </c>
      <c r="D20" s="3527"/>
      <c r="E20" s="3528"/>
      <c r="F20" s="3528"/>
      <c r="G20" s="3528"/>
      <c r="H20" s="3528"/>
      <c r="I20" s="3529"/>
      <c r="J20" s="2988"/>
      <c r="K20" s="3119"/>
      <c r="L20" s="3115"/>
      <c r="M20" s="3115"/>
      <c r="N20" s="3116"/>
      <c r="O20" s="3117"/>
      <c r="P20" s="3116"/>
      <c r="Q20" s="3116"/>
      <c r="R20" s="3116"/>
      <c r="S20" s="3116"/>
      <c r="T20" s="3116"/>
      <c r="U20" s="3116"/>
    </row>
    <row r="21" spans="1:21">
      <c r="A21" s="3039" t="s">
        <v>379</v>
      </c>
      <c r="B21" s="3049" t="s">
        <v>380</v>
      </c>
      <c r="C21" s="3050">
        <f>'数据-汇总表'!E3</f>
        <v>63500</v>
      </c>
      <c r="D21" s="3051" t="s">
        <v>381</v>
      </c>
      <c r="E21" s="3530" t="s">
        <v>382</v>
      </c>
      <c r="F21" s="3531"/>
      <c r="G21" s="3531"/>
      <c r="H21" s="3531"/>
      <c r="I21" s="3532"/>
      <c r="J21" s="2988"/>
      <c r="K21" s="3119"/>
      <c r="L21" s="3115"/>
      <c r="M21" s="3115"/>
      <c r="N21" s="3116"/>
      <c r="O21" s="3117"/>
      <c r="P21" s="3116"/>
      <c r="Q21" s="3116"/>
      <c r="R21" s="3116"/>
      <c r="S21" s="3116"/>
      <c r="T21" s="3116"/>
      <c r="U21" s="3116"/>
    </row>
    <row r="22" spans="1:21">
      <c r="A22" s="3052" t="s">
        <v>138</v>
      </c>
      <c r="B22" s="2990" t="s">
        <v>383</v>
      </c>
      <c r="C22" s="3035">
        <f>'数据-汇总表'!D3</f>
        <v>25406.38</v>
      </c>
      <c r="D22" s="3028" t="s">
        <v>381</v>
      </c>
      <c r="E22" s="3530" t="s">
        <v>364</v>
      </c>
      <c r="F22" s="3531"/>
      <c r="G22" s="3531"/>
      <c r="H22" s="3531"/>
      <c r="I22" s="3532"/>
      <c r="J22" s="2988"/>
      <c r="K22" s="3119"/>
      <c r="L22" s="3115"/>
      <c r="M22" s="3115"/>
      <c r="N22" s="3116"/>
      <c r="O22" s="3117"/>
      <c r="P22" s="3116"/>
      <c r="Q22" s="3116"/>
      <c r="R22" s="3116"/>
      <c r="S22" s="3116"/>
      <c r="T22" s="3116"/>
      <c r="U22" s="3116"/>
    </row>
    <row r="23" spans="1:21" ht="42.75">
      <c r="A23" s="3053" t="s">
        <v>384</v>
      </c>
      <c r="B23" s="3054" t="s">
        <v>385</v>
      </c>
      <c r="C23" s="3055"/>
      <c r="D23" s="3056" t="s">
        <v>386</v>
      </c>
      <c r="E23" s="3057"/>
      <c r="F23" s="3058" t="str">
        <f>IF(AND(C23="是",E23="否"),"是否提供他项权证或相关说明","")</f>
        <v/>
      </c>
      <c r="G23" s="3059"/>
      <c r="H23" s="2988"/>
      <c r="I23" s="3121"/>
      <c r="J23" s="2988"/>
      <c r="K23" s="3119"/>
      <c r="L23" s="3115"/>
      <c r="M23" s="3115"/>
      <c r="N23" s="3116"/>
      <c r="O23" s="3117"/>
      <c r="P23" s="3116"/>
      <c r="Q23" s="3116"/>
      <c r="R23" s="3116"/>
      <c r="S23" s="3116"/>
      <c r="T23" s="3116"/>
      <c r="U23" s="3116"/>
    </row>
    <row r="24" spans="1:21">
      <c r="A24" s="3060" t="s">
        <v>363</v>
      </c>
      <c r="B24" s="3533" t="s">
        <v>387</v>
      </c>
      <c r="C24" s="3534"/>
      <c r="D24" s="3535" t="s">
        <v>388</v>
      </c>
      <c r="E24" s="3536"/>
      <c r="F24" s="3061" t="s">
        <v>389</v>
      </c>
      <c r="G24" s="2988"/>
      <c r="H24" s="2988"/>
      <c r="I24" s="3121"/>
      <c r="J24" s="2988"/>
      <c r="K24" s="3507" t="s">
        <v>390</v>
      </c>
      <c r="L24" s="312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127"/>
      <c r="N24" s="3116"/>
      <c r="O24" s="3117"/>
      <c r="P24" s="3116"/>
      <c r="Q24" s="3116"/>
      <c r="R24" s="3116"/>
      <c r="S24" s="3116"/>
      <c r="T24" s="3116"/>
      <c r="U24" s="3116"/>
    </row>
    <row r="25" spans="1:21" ht="28.5">
      <c r="A25" s="3062"/>
      <c r="B25" s="3063" t="s">
        <v>391</v>
      </c>
      <c r="C25" s="3064" t="s">
        <v>392</v>
      </c>
      <c r="D25" s="3065"/>
      <c r="E25" s="3066" t="s">
        <v>138</v>
      </c>
      <c r="F25" s="3067"/>
      <c r="G25" s="2988"/>
      <c r="H25" s="2988"/>
      <c r="I25" s="3121"/>
      <c r="J25" s="2988"/>
      <c r="K25" s="3507"/>
      <c r="L25" s="312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127"/>
      <c r="N25" s="3116"/>
      <c r="O25" s="3117"/>
      <c r="P25" s="3116"/>
      <c r="Q25" s="3116"/>
      <c r="R25" s="3116"/>
      <c r="S25" s="3116"/>
      <c r="T25" s="3116"/>
      <c r="U25" s="3116"/>
    </row>
    <row r="26" spans="1:21" ht="28.5">
      <c r="A26" s="3068"/>
      <c r="B26" s="3069" t="s">
        <v>393</v>
      </c>
      <c r="C26" s="3064" t="s">
        <v>394</v>
      </c>
      <c r="D26" s="2989"/>
      <c r="E26" s="2989"/>
      <c r="F26" s="3070"/>
      <c r="G26" s="2988"/>
      <c r="H26" s="2988"/>
      <c r="I26" s="3121"/>
      <c r="J26" s="2988"/>
      <c r="K26" s="3507"/>
      <c r="L26" s="312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127"/>
      <c r="N26" s="3116"/>
      <c r="O26" s="3117"/>
      <c r="P26" s="3116"/>
      <c r="Q26" s="3116"/>
      <c r="R26" s="3116"/>
      <c r="S26" s="3116"/>
      <c r="T26" s="3116"/>
      <c r="U26" s="3116"/>
    </row>
    <row r="27" spans="1:21">
      <c r="A27" s="3071" t="s">
        <v>395</v>
      </c>
      <c r="B27" s="3072" t="s">
        <v>396</v>
      </c>
      <c r="C27" s="3073"/>
      <c r="D27" s="3074" t="s">
        <v>396</v>
      </c>
      <c r="E27" s="3075"/>
      <c r="F27" s="3070"/>
      <c r="G27" s="2988"/>
      <c r="H27" s="2988"/>
      <c r="I27" s="3121"/>
      <c r="J27" s="2988"/>
      <c r="K27" s="3119"/>
      <c r="L27" s="3115"/>
      <c r="M27" s="3115"/>
      <c r="N27" s="3116"/>
      <c r="O27" s="3117"/>
      <c r="P27" s="3116"/>
      <c r="Q27" s="3116"/>
      <c r="R27" s="3116"/>
      <c r="S27" s="3116"/>
      <c r="T27" s="3116"/>
      <c r="U27" s="3116"/>
    </row>
    <row r="28" spans="1:21">
      <c r="A28" s="3076"/>
      <c r="B28" s="3072" t="s">
        <v>397</v>
      </c>
      <c r="C28" s="3077"/>
      <c r="D28" s="3078" t="s">
        <v>397</v>
      </c>
      <c r="E28" s="3079"/>
      <c r="F28" s="3070"/>
      <c r="G28" s="2988"/>
      <c r="H28" s="2988"/>
      <c r="I28" s="3121"/>
      <c r="J28" s="2988"/>
      <c r="K28" s="3119"/>
      <c r="L28" s="3115"/>
      <c r="M28" s="3115"/>
      <c r="N28" s="3116"/>
      <c r="O28" s="3117"/>
      <c r="P28" s="3116"/>
      <c r="Q28" s="3116"/>
      <c r="R28" s="3116"/>
      <c r="S28" s="3116"/>
      <c r="T28" s="3116"/>
      <c r="U28" s="3116"/>
    </row>
    <row r="29" spans="1:21">
      <c r="A29" s="3076"/>
      <c r="B29" s="3072" t="s">
        <v>398</v>
      </c>
      <c r="C29" s="3077"/>
      <c r="D29" s="3078" t="s">
        <v>398</v>
      </c>
      <c r="E29" s="3079"/>
      <c r="F29" s="3070"/>
      <c r="G29" s="2988"/>
      <c r="H29" s="2988"/>
      <c r="I29" s="3121"/>
      <c r="J29" s="2988"/>
      <c r="K29" s="3119"/>
      <c r="L29" s="3115"/>
      <c r="M29" s="3115"/>
      <c r="N29" s="3116"/>
      <c r="O29" s="3117"/>
      <c r="P29" s="3116"/>
      <c r="Q29" s="3116"/>
      <c r="R29" s="3116"/>
      <c r="S29" s="3116"/>
      <c r="T29" s="3116"/>
      <c r="U29" s="3116"/>
    </row>
    <row r="30" spans="1:21">
      <c r="A30" s="3080"/>
      <c r="B30" s="3081" t="s">
        <v>399</v>
      </c>
      <c r="C30" s="3082"/>
      <c r="D30" s="3083" t="s">
        <v>399</v>
      </c>
      <c r="E30" s="3084"/>
      <c r="F30" s="3085"/>
      <c r="G30" s="3013"/>
      <c r="H30" s="3013"/>
      <c r="I30" s="3122"/>
      <c r="J30" s="2988"/>
      <c r="K30" s="3119"/>
      <c r="L30" s="3115"/>
      <c r="M30" s="3115"/>
      <c r="N30" s="3116"/>
      <c r="O30" s="3117"/>
      <c r="P30" s="3116"/>
      <c r="Q30" s="3116"/>
      <c r="R30" s="3116"/>
      <c r="S30" s="3116"/>
      <c r="T30" s="3116"/>
      <c r="U30" s="3116"/>
    </row>
    <row r="31" spans="1:21">
      <c r="A31" s="3510" t="s">
        <v>400</v>
      </c>
      <c r="B31" s="3049" t="s">
        <v>401</v>
      </c>
      <c r="C31" s="3516"/>
      <c r="D31" s="3517"/>
      <c r="E31" s="2988"/>
      <c r="F31" s="2988"/>
      <c r="G31" s="2988"/>
      <c r="H31" s="2988"/>
      <c r="I31" s="3121"/>
      <c r="J31" s="2988"/>
      <c r="K31" s="3128"/>
      <c r="L31" s="3116"/>
      <c r="M31" s="3116"/>
      <c r="N31" s="3116"/>
      <c r="O31" s="3116"/>
      <c r="P31" s="3116"/>
      <c r="Q31" s="3116"/>
      <c r="R31" s="3116"/>
      <c r="S31" s="3116"/>
      <c r="T31" s="3116"/>
      <c r="U31" s="3116"/>
    </row>
    <row r="32" spans="1:21">
      <c r="A32" s="3510"/>
      <c r="B32" s="2990" t="s">
        <v>402</v>
      </c>
      <c r="C32" s="3015"/>
      <c r="D32" s="3086"/>
      <c r="E32" s="2988"/>
      <c r="F32" s="2988"/>
      <c r="G32" s="2988"/>
      <c r="H32" s="2988"/>
      <c r="I32" s="3121"/>
      <c r="J32" s="2988"/>
      <c r="K32" s="3128"/>
      <c r="L32" s="3116"/>
      <c r="M32" s="3116"/>
      <c r="N32" s="3116"/>
      <c r="O32" s="3116"/>
      <c r="P32" s="3116"/>
      <c r="Q32" s="3116"/>
      <c r="R32" s="3116"/>
      <c r="S32" s="3116"/>
      <c r="T32" s="3116"/>
      <c r="U32" s="3116"/>
    </row>
    <row r="33" spans="1:28">
      <c r="A33" s="3510"/>
      <c r="B33" s="2990" t="s">
        <v>403</v>
      </c>
      <c r="C33" s="3087"/>
      <c r="D33" s="3088"/>
      <c r="E33" s="2988"/>
      <c r="F33" s="2988"/>
      <c r="G33" s="2988"/>
      <c r="H33" s="2988"/>
      <c r="I33" s="3121"/>
      <c r="J33" s="2988"/>
      <c r="K33" s="3128"/>
      <c r="L33" s="3116"/>
      <c r="M33" s="3116"/>
      <c r="N33" s="3116"/>
      <c r="O33" s="3116"/>
      <c r="P33" s="3116"/>
      <c r="Q33" s="3116"/>
      <c r="R33" s="3116"/>
      <c r="S33" s="3116"/>
      <c r="T33" s="3116"/>
      <c r="U33" s="3116"/>
    </row>
    <row r="34" spans="1:28">
      <c r="A34" s="3511"/>
      <c r="B34" s="2990" t="s">
        <v>404</v>
      </c>
      <c r="C34" s="3518"/>
      <c r="D34" s="3519"/>
      <c r="E34" s="2988"/>
      <c r="F34" s="2988"/>
      <c r="G34" s="2988"/>
      <c r="H34" s="2988"/>
      <c r="I34" s="3121"/>
      <c r="J34" s="2988"/>
      <c r="K34" s="3128"/>
      <c r="L34" s="3116"/>
      <c r="M34" s="3116"/>
      <c r="N34" s="3116"/>
      <c r="O34" s="3116"/>
      <c r="P34" s="3116"/>
      <c r="Q34" s="3116"/>
      <c r="R34" s="3116"/>
      <c r="S34" s="3116"/>
      <c r="T34" s="3116"/>
      <c r="U34" s="3116"/>
    </row>
    <row r="35" spans="1:28">
      <c r="A35" s="3512" t="s">
        <v>405</v>
      </c>
      <c r="B35" s="3038"/>
      <c r="C35" s="3089" t="str">
        <f>IF(B35="场地平整","——","具体情况：")</f>
        <v>具体情况：</v>
      </c>
      <c r="D35" s="3520"/>
      <c r="E35" s="3521"/>
      <c r="F35" s="3521"/>
      <c r="G35" s="3521"/>
      <c r="H35" s="3521"/>
      <c r="I35" s="3522"/>
      <c r="J35" s="2988"/>
      <c r="K35" s="3129"/>
      <c r="L35" s="3115"/>
      <c r="M35" s="3115"/>
      <c r="N35" s="3116"/>
      <c r="O35" s="3117"/>
      <c r="P35" s="3116"/>
      <c r="Q35" s="3116"/>
      <c r="R35" s="3116"/>
      <c r="S35" s="3116"/>
      <c r="T35" s="3116"/>
      <c r="U35" s="3116"/>
    </row>
    <row r="36" spans="1:28">
      <c r="A36" s="3510"/>
      <c r="B36" s="3523" t="s">
        <v>406</v>
      </c>
      <c r="C36" s="3524"/>
      <c r="D36" s="3090"/>
      <c r="E36" s="3525"/>
      <c r="F36" s="3525"/>
      <c r="G36" s="3028" t="str">
        <f>IF(B35="场地未平整","估价结果处理","")</f>
        <v/>
      </c>
      <c r="H36" s="3526"/>
      <c r="I36" s="3526"/>
      <c r="J36" s="2988"/>
      <c r="K36" s="3129"/>
      <c r="L36" s="3115"/>
      <c r="M36" s="3115"/>
      <c r="N36" s="3116"/>
      <c r="O36" s="3117"/>
      <c r="P36" s="3116"/>
      <c r="Q36" s="3116"/>
      <c r="R36" s="3116"/>
      <c r="S36" s="3116"/>
      <c r="T36" s="3116"/>
      <c r="U36" s="3116"/>
    </row>
    <row r="37" spans="1:28" ht="28.5">
      <c r="A37" s="3510"/>
      <c r="B37" s="3513" t="s">
        <v>407</v>
      </c>
      <c r="C37" s="3092" t="s">
        <v>408</v>
      </c>
      <c r="D37" s="3093"/>
      <c r="E37" s="3094"/>
      <c r="F37" s="2988"/>
      <c r="G37" s="2988"/>
      <c r="H37" s="2988"/>
      <c r="I37" s="3121"/>
      <c r="J37" s="2988"/>
      <c r="K37" s="3129"/>
      <c r="L37" s="3116"/>
      <c r="M37" s="3116"/>
      <c r="N37" s="3116"/>
      <c r="O37" s="3116"/>
      <c r="P37" s="3116"/>
      <c r="Q37" s="3116"/>
      <c r="R37" s="3116"/>
      <c r="S37" s="3116"/>
      <c r="T37" s="3116"/>
      <c r="U37" s="3116"/>
    </row>
    <row r="38" spans="1:28">
      <c r="A38" s="3510"/>
      <c r="B38" s="3514"/>
      <c r="C38" s="3003" t="s">
        <v>409</v>
      </c>
      <c r="D38" s="3095">
        <f>ROUNDDOWN(MIN(('数据-取费表'!$B$2-D37)/365,D34),1)</f>
        <v>121.8</v>
      </c>
      <c r="E38" s="3096" t="s">
        <v>410</v>
      </c>
      <c r="F38" s="2988"/>
      <c r="G38" s="2988"/>
      <c r="H38" s="2988"/>
      <c r="I38" s="3121"/>
      <c r="J38" s="2988"/>
      <c r="K38" s="3129"/>
      <c r="L38" s="3116"/>
      <c r="M38" s="3116"/>
      <c r="N38" s="3116"/>
      <c r="O38" s="3116"/>
      <c r="P38" s="3116"/>
      <c r="Q38" s="3116"/>
      <c r="R38" s="3116"/>
      <c r="S38" s="3116"/>
      <c r="T38" s="3116"/>
      <c r="U38" s="3116"/>
    </row>
    <row r="39" spans="1:28">
      <c r="A39" s="3511"/>
      <c r="B39" s="3515"/>
      <c r="C39" s="3097" t="str">
        <f>IF(D38&lt;1,"不存在土地闲置",IF(B35="宗地内已开工建设","已开工，不存在土地闲置","估价对象已涉嫌土地闲置"))</f>
        <v>估价对象已涉嫌土地闲置</v>
      </c>
      <c r="D39" s="3032"/>
      <c r="E39" s="3098"/>
      <c r="F39" s="2988"/>
      <c r="G39" s="2988"/>
      <c r="H39" s="2988"/>
      <c r="I39" s="3121"/>
      <c r="J39" s="2988"/>
      <c r="K39" s="3119"/>
      <c r="L39" s="3115"/>
      <c r="M39" s="3115"/>
      <c r="N39" s="3116"/>
      <c r="O39" s="3117"/>
      <c r="P39" s="3116"/>
      <c r="Q39" s="3116"/>
      <c r="R39" s="3116"/>
      <c r="S39" s="3116"/>
      <c r="T39" s="3116"/>
      <c r="U39" s="3116"/>
    </row>
    <row r="40" spans="1:28">
      <c r="A40" s="3028" t="s">
        <v>411</v>
      </c>
      <c r="B40" s="3099"/>
      <c r="C40" s="3099"/>
      <c r="D40" s="3099"/>
      <c r="E40" s="3099"/>
      <c r="F40" s="3099"/>
      <c r="G40" s="3099"/>
      <c r="H40" s="3099"/>
      <c r="I40" s="3121"/>
      <c r="J40" s="2988"/>
      <c r="K40" s="3113">
        <f>COUNTIF(B40:H40,"——")</f>
        <v>0</v>
      </c>
      <c r="L40" s="3027" t="s">
        <v>412</v>
      </c>
      <c r="M40" s="3112" t="s">
        <v>413</v>
      </c>
      <c r="N40" s="3112" t="s">
        <v>288</v>
      </c>
      <c r="O40" s="3112" t="s">
        <v>280</v>
      </c>
      <c r="P40" s="3112" t="s">
        <v>270</v>
      </c>
      <c r="Q40" s="3112" t="s">
        <v>259</v>
      </c>
      <c r="R40" s="3112" t="s">
        <v>247</v>
      </c>
      <c r="S40" s="3508" t="s">
        <v>414</v>
      </c>
      <c r="T40" s="3143" t="str">
        <f>NUMBERSTRING(7-K40,1)&amp;"通"</f>
        <v>七通</v>
      </c>
      <c r="U40" s="3116"/>
    </row>
    <row r="41" spans="1:28">
      <c r="A41" s="3000"/>
      <c r="B41" s="3509" t="s">
        <v>359</v>
      </c>
      <c r="C41" s="3509"/>
      <c r="D41" s="3509"/>
      <c r="E41" s="3509"/>
      <c r="F41" s="3100">
        <f>C10</f>
        <v>0</v>
      </c>
      <c r="G41" s="2988"/>
      <c r="H41" s="2988"/>
      <c r="I41" s="3121"/>
      <c r="J41" s="2988"/>
      <c r="K41" s="3027"/>
      <c r="L41" s="3112">
        <f>B40</f>
        <v>0</v>
      </c>
      <c r="M41" s="3030" t="str">
        <f>B40&amp;"、"&amp;C40</f>
        <v>、</v>
      </c>
      <c r="N41" s="3130" t="str">
        <f>B40&amp;"、"&amp;C40&amp;"、"&amp;D40</f>
        <v>、、</v>
      </c>
      <c r="O41" s="3130" t="str">
        <f>B40&amp;"、"&amp;C40&amp;"、"&amp;D40&amp;"、"&amp;E40</f>
        <v>、、、</v>
      </c>
      <c r="P41" s="3130" t="str">
        <f>B40&amp;"、"&amp;C40&amp;"、"&amp;D40&amp;"、"&amp;E40&amp;"、"&amp;F40</f>
        <v>、、、、</v>
      </c>
      <c r="Q41" s="3130" t="str">
        <f>B40&amp;"、"&amp;C40&amp;"、"&amp;D40&amp;"、"&amp;E40&amp;"、"&amp;F40&amp;"、"&amp;G40</f>
        <v>、、、、、</v>
      </c>
      <c r="R41" s="3130" t="str">
        <f>B40&amp;"、"&amp;C40&amp;"、"&amp;D40&amp;"、"&amp;E40&amp;"、"&amp;F40&amp;"、"&amp;G40&amp;"、"&amp;H40</f>
        <v>、、、、、、</v>
      </c>
      <c r="S41" s="3508"/>
      <c r="T41" s="3030" t="str">
        <f>IF(T40="一通",L41,IF(T40="二通",M41,IF(T40="三通",N41,IF(T40="四通",O41,IF(T40="五通",P41,IF(T40="六通",Q41,R41))))))</f>
        <v>、、、、、、</v>
      </c>
      <c r="U41" s="3116"/>
    </row>
    <row r="42" spans="1:28">
      <c r="A42" s="3101"/>
      <c r="B42" s="3034" t="s">
        <v>369</v>
      </c>
      <c r="C42" s="3034" t="s">
        <v>370</v>
      </c>
      <c r="D42" s="3034" t="s">
        <v>368</v>
      </c>
      <c r="E42" s="3027" t="s">
        <v>164</v>
      </c>
      <c r="F42" s="3102"/>
      <c r="G42" s="2988"/>
      <c r="H42" s="2988"/>
      <c r="I42" s="3121"/>
      <c r="J42" s="2988"/>
      <c r="K42" s="3119"/>
      <c r="L42" s="3115"/>
      <c r="M42" s="3115"/>
      <c r="N42" s="3116"/>
      <c r="O42" s="3117"/>
      <c r="P42" s="3116"/>
      <c r="Q42" s="3116"/>
      <c r="R42" s="3116"/>
      <c r="S42" s="3116"/>
      <c r="T42" s="3116"/>
      <c r="U42" s="3116"/>
    </row>
    <row r="43" spans="1:28">
      <c r="A43" s="3103" t="s">
        <v>217</v>
      </c>
      <c r="B43" s="3104"/>
      <c r="C43" s="3104"/>
      <c r="D43" s="3104" t="s">
        <v>302</v>
      </c>
      <c r="E43" s="3104"/>
      <c r="F43" s="3105"/>
      <c r="G43" s="2988"/>
      <c r="H43" s="2988"/>
      <c r="I43" s="3121"/>
      <c r="J43" s="2988"/>
      <c r="K43" s="3119"/>
      <c r="L43" s="3115"/>
      <c r="M43" s="3115"/>
      <c r="N43" s="3116"/>
      <c r="O43" s="3117"/>
      <c r="P43" s="3116"/>
      <c r="Q43" s="3116"/>
      <c r="R43" s="3116"/>
      <c r="S43" s="3116"/>
      <c r="T43" s="3116"/>
      <c r="U43" s="3116"/>
    </row>
    <row r="44" spans="1:28">
      <c r="A44" s="3103" t="s">
        <v>415</v>
      </c>
      <c r="B44" s="3104"/>
      <c r="C44" s="3104"/>
      <c r="D44" s="3104" t="s">
        <v>1511</v>
      </c>
      <c r="E44" s="3090"/>
      <c r="F44" s="3105"/>
      <c r="G44" s="2988"/>
      <c r="H44" s="2988"/>
      <c r="I44" s="3121"/>
      <c r="J44" s="2988"/>
      <c r="K44" s="3119"/>
      <c r="L44" s="3115"/>
      <c r="M44" s="3115"/>
      <c r="N44" s="3116"/>
      <c r="O44" s="3117"/>
      <c r="P44" s="3116"/>
      <c r="Q44" s="3116"/>
      <c r="R44" s="3116"/>
      <c r="S44" s="3116"/>
      <c r="T44" s="3116"/>
      <c r="U44" s="3116"/>
    </row>
    <row r="45" spans="1:28" s="2978" customFormat="1" ht="20.25">
      <c r="A45" s="3106" t="s">
        <v>417</v>
      </c>
      <c r="B45" s="3107"/>
      <c r="C45" s="3107"/>
      <c r="D45" s="3107"/>
      <c r="E45" s="3107"/>
      <c r="F45" s="3107"/>
      <c r="G45" s="3108"/>
      <c r="H45" s="3108"/>
      <c r="I45" s="3131"/>
      <c r="J45" s="3132"/>
      <c r="K45" s="3133"/>
      <c r="L45" s="3134"/>
      <c r="M45" s="3134"/>
      <c r="N45" s="3108"/>
      <c r="O45" s="3131"/>
      <c r="P45" s="3108"/>
      <c r="Q45" s="3108"/>
      <c r="R45" s="3108"/>
      <c r="S45" s="3108"/>
      <c r="T45" s="3108"/>
      <c r="U45" s="3108"/>
      <c r="V45" s="3144"/>
      <c r="W45" s="3144"/>
      <c r="X45" s="3144"/>
      <c r="Y45" s="3144"/>
      <c r="Z45" s="3144"/>
      <c r="AA45" s="3144"/>
      <c r="AB45" s="3144"/>
    </row>
    <row r="46" spans="1:28">
      <c r="A46" s="3109"/>
      <c r="B46" s="3109"/>
      <c r="C46" s="3109"/>
      <c r="D46" s="3109"/>
      <c r="E46" s="3109"/>
      <c r="F46" s="3109"/>
      <c r="G46" s="3109"/>
      <c r="H46" s="3109"/>
      <c r="I46" s="3135"/>
      <c r="J46" s="3109"/>
      <c r="K46" s="3119"/>
      <c r="L46" s="3115"/>
      <c r="M46" s="3115"/>
      <c r="N46" s="3116"/>
      <c r="O46" s="3117"/>
      <c r="P46" s="3116"/>
      <c r="Q46" s="3116"/>
      <c r="R46" s="3116"/>
      <c r="S46" s="3116"/>
      <c r="T46" s="3116"/>
      <c r="U46" s="3116"/>
    </row>
    <row r="47" spans="1:28">
      <c r="A47" s="3110" t="s">
        <v>418</v>
      </c>
      <c r="B47" s="3111"/>
      <c r="C47" s="3098"/>
      <c r="D47" s="3109"/>
      <c r="E47" s="3109"/>
      <c r="F47" s="3109"/>
      <c r="G47" s="3109"/>
      <c r="H47" s="3109"/>
      <c r="I47" s="3136"/>
      <c r="J47" s="3109"/>
      <c r="K47" s="3119"/>
      <c r="L47" s="3115"/>
      <c r="M47" s="3115"/>
      <c r="N47" s="3116"/>
      <c r="O47" s="3117"/>
      <c r="P47" s="3116"/>
      <c r="Q47" s="3116"/>
      <c r="R47" s="3116"/>
      <c r="S47" s="3116"/>
      <c r="T47" s="3116"/>
      <c r="U47" s="3116"/>
    </row>
    <row r="48" spans="1:28" ht="28.5">
      <c r="A48" s="3027" t="s">
        <v>419</v>
      </c>
      <c r="B48" s="3035" t="s">
        <v>420</v>
      </c>
      <c r="C48" s="3035" t="s">
        <v>421</v>
      </c>
      <c r="D48" s="3035" t="s">
        <v>422</v>
      </c>
      <c r="E48" s="3035" t="s">
        <v>423</v>
      </c>
      <c r="F48" s="3035" t="s">
        <v>424</v>
      </c>
      <c r="G48" s="3035" t="s">
        <v>425</v>
      </c>
      <c r="H48" s="3035" t="s">
        <v>426</v>
      </c>
      <c r="I48" s="3035" t="s">
        <v>427</v>
      </c>
      <c r="J48" s="3137" t="s">
        <v>428</v>
      </c>
      <c r="K48" s="3138" t="s">
        <v>429</v>
      </c>
      <c r="L48" s="3138" t="s">
        <v>430</v>
      </c>
      <c r="M48" s="3138" t="s">
        <v>431</v>
      </c>
      <c r="N48" s="3139" t="s">
        <v>432</v>
      </c>
      <c r="O48" s="3139" t="s">
        <v>433</v>
      </c>
      <c r="P48" s="3139" t="s">
        <v>434</v>
      </c>
      <c r="Q48" s="3145" t="s">
        <v>435</v>
      </c>
      <c r="R48" s="3145" t="s">
        <v>436</v>
      </c>
      <c r="S48" s="3116"/>
      <c r="T48" s="3116"/>
      <c r="U48" s="3116"/>
    </row>
    <row r="49" spans="1:21">
      <c r="A49" s="3112"/>
      <c r="B49" s="3113"/>
      <c r="C49" s="3113"/>
      <c r="D49" s="3113"/>
      <c r="E49" s="3113"/>
      <c r="F49" s="3113"/>
      <c r="G49" s="3113"/>
      <c r="H49" s="3113"/>
      <c r="I49" s="3113"/>
      <c r="J49" s="3140"/>
      <c r="K49" s="3141"/>
      <c r="L49" s="3141"/>
      <c r="M49" s="3102"/>
      <c r="N49" s="3102"/>
      <c r="O49" s="3102"/>
      <c r="P49" s="3102"/>
      <c r="Q49" s="3102"/>
      <c r="R49" s="3102"/>
      <c r="S49" s="3116"/>
      <c r="T49" s="3116"/>
      <c r="U49" s="3116"/>
    </row>
    <row r="50" spans="1:21">
      <c r="A50" s="3112"/>
      <c r="B50" s="3112"/>
      <c r="C50" s="3113"/>
      <c r="D50" s="3113"/>
      <c r="E50" s="3113"/>
      <c r="F50" s="3113"/>
      <c r="G50" s="3113"/>
      <c r="H50" s="3113"/>
      <c r="I50" s="3113"/>
      <c r="J50" s="3140"/>
      <c r="K50" s="3141"/>
      <c r="L50" s="3141"/>
      <c r="M50" s="3102"/>
      <c r="N50" s="3102"/>
      <c r="O50" s="3102"/>
      <c r="P50" s="3102"/>
      <c r="Q50" s="3102"/>
      <c r="R50" s="3102"/>
      <c r="S50" s="3116"/>
      <c r="T50" s="3116"/>
      <c r="U50" s="3116"/>
    </row>
    <row r="51" spans="1:21">
      <c r="A51" s="3112"/>
      <c r="B51" s="3112"/>
      <c r="C51" s="3113"/>
      <c r="D51" s="3113"/>
      <c r="E51" s="3113"/>
      <c r="F51" s="3113"/>
      <c r="G51" s="3113"/>
      <c r="H51" s="3113"/>
      <c r="I51" s="3113"/>
      <c r="J51" s="3140"/>
      <c r="K51" s="3141"/>
      <c r="L51" s="3141"/>
      <c r="M51" s="3102"/>
      <c r="N51" s="3102"/>
      <c r="O51" s="3102"/>
      <c r="P51" s="3102"/>
      <c r="Q51" s="3102"/>
      <c r="R51" s="3102"/>
      <c r="S51" s="3116"/>
      <c r="T51" s="3116"/>
      <c r="U51" s="3116"/>
    </row>
    <row r="52" spans="1:21">
      <c r="A52" s="3112"/>
      <c r="B52" s="3112"/>
      <c r="C52" s="3113"/>
      <c r="D52" s="3113"/>
      <c r="E52" s="3113"/>
      <c r="F52" s="3113"/>
      <c r="G52" s="3113"/>
      <c r="H52" s="3113"/>
      <c r="I52" s="3113"/>
      <c r="J52" s="3140"/>
      <c r="K52" s="3141"/>
      <c r="L52" s="3141"/>
      <c r="M52" s="3102"/>
      <c r="N52" s="3102"/>
      <c r="O52" s="3102"/>
      <c r="P52" s="3102"/>
      <c r="Q52" s="3102"/>
      <c r="R52" s="3102"/>
      <c r="S52" s="3116"/>
      <c r="T52" s="3116"/>
      <c r="U52" s="3116"/>
    </row>
    <row r="53" spans="1:21">
      <c r="A53" s="3112"/>
      <c r="B53" s="3112"/>
      <c r="C53" s="3113"/>
      <c r="D53" s="3113"/>
      <c r="E53" s="3113"/>
      <c r="F53" s="3113"/>
      <c r="G53" s="3113"/>
      <c r="H53" s="3113"/>
      <c r="I53" s="3113"/>
      <c r="J53" s="3140"/>
      <c r="K53" s="3141"/>
      <c r="L53" s="3141"/>
      <c r="M53" s="3102"/>
      <c r="N53" s="3102"/>
      <c r="O53" s="3102"/>
      <c r="P53" s="3102"/>
      <c r="Q53" s="3102"/>
      <c r="R53" s="3102"/>
      <c r="S53" s="3116"/>
      <c r="T53" s="3116"/>
      <c r="U53" s="3116"/>
    </row>
    <row r="54" spans="1:21">
      <c r="A54" s="3112"/>
      <c r="B54" s="3112"/>
      <c r="C54" s="3112"/>
      <c r="D54" s="3112"/>
      <c r="E54" s="3112"/>
      <c r="F54" s="3113"/>
      <c r="G54" s="3112"/>
      <c r="H54" s="3112"/>
      <c r="I54" s="3112"/>
      <c r="J54" s="3142"/>
      <c r="K54" s="3141"/>
      <c r="L54" s="3141"/>
      <c r="M54" s="3141"/>
      <c r="N54" s="3091"/>
      <c r="O54" s="3091"/>
      <c r="P54" s="3091"/>
      <c r="Q54" s="3091"/>
      <c r="R54" s="3091"/>
      <c r="S54" s="3116"/>
      <c r="T54" s="3116"/>
      <c r="U54" s="3116"/>
    </row>
    <row r="55" spans="1:21">
      <c r="A55" s="3112"/>
      <c r="B55" s="3112"/>
      <c r="C55" s="3112"/>
      <c r="D55" s="3112"/>
      <c r="E55" s="3112"/>
      <c r="F55" s="3113"/>
      <c r="G55" s="3112"/>
      <c r="H55" s="3112"/>
      <c r="I55" s="3112"/>
      <c r="J55" s="3142"/>
      <c r="K55" s="3141"/>
      <c r="L55" s="3141"/>
      <c r="M55" s="3141"/>
      <c r="N55" s="3091"/>
      <c r="O55" s="3091"/>
      <c r="P55" s="3091"/>
      <c r="Q55" s="3091"/>
      <c r="R55" s="3091"/>
      <c r="S55" s="3116"/>
      <c r="T55" s="3116"/>
      <c r="U55" s="3116"/>
    </row>
    <row r="56" spans="1:21">
      <c r="A56" s="3112"/>
      <c r="B56" s="3112"/>
      <c r="C56" s="3112"/>
      <c r="D56" s="3112"/>
      <c r="E56" s="3112"/>
      <c r="F56" s="3113"/>
      <c r="G56" s="3112"/>
      <c r="H56" s="3112"/>
      <c r="I56" s="3112"/>
      <c r="J56" s="3142"/>
      <c r="K56" s="3141"/>
      <c r="L56" s="3141"/>
      <c r="M56" s="3141"/>
      <c r="N56" s="3091"/>
      <c r="O56" s="3091"/>
      <c r="P56" s="3091"/>
      <c r="Q56" s="3091"/>
      <c r="R56" s="3091"/>
      <c r="S56" s="3116"/>
      <c r="T56" s="3116"/>
      <c r="U56" s="3116"/>
    </row>
    <row r="57" spans="1:21">
      <c r="A57" s="3112"/>
      <c r="B57" s="3112"/>
      <c r="C57" s="3112"/>
      <c r="D57" s="3112"/>
      <c r="E57" s="3112"/>
      <c r="F57" s="3113"/>
      <c r="G57" s="3112"/>
      <c r="H57" s="3112"/>
      <c r="I57" s="3112"/>
      <c r="J57" s="3142"/>
      <c r="K57" s="3141"/>
      <c r="L57" s="3141"/>
      <c r="M57" s="3141"/>
      <c r="N57" s="3091"/>
      <c r="O57" s="3091"/>
      <c r="P57" s="3091"/>
      <c r="Q57" s="3091"/>
      <c r="R57" s="3091"/>
      <c r="S57" s="3116"/>
      <c r="T57" s="3116"/>
      <c r="U57" s="3116"/>
    </row>
    <row r="58" spans="1:21">
      <c r="A58" s="3112"/>
      <c r="B58" s="3112"/>
      <c r="C58" s="3112"/>
      <c r="D58" s="3112"/>
      <c r="E58" s="3112"/>
      <c r="F58" s="3113"/>
      <c r="G58" s="3112"/>
      <c r="H58" s="3112"/>
      <c r="I58" s="3112"/>
      <c r="J58" s="3142"/>
      <c r="K58" s="3141"/>
      <c r="L58" s="3141"/>
      <c r="M58" s="3141"/>
      <c r="N58" s="3091"/>
      <c r="O58" s="3091"/>
      <c r="P58" s="3091"/>
      <c r="Q58" s="3091"/>
      <c r="R58" s="3091"/>
      <c r="S58" s="3116"/>
      <c r="T58" s="3116"/>
      <c r="U58" s="3116"/>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1" type="noConversion"/>
  <dataValidations count="30">
    <dataValidation type="list" allowBlank="1" showInputMessage="1" showErrorMessage="1" sqref="B44" xr:uid="{00000000-0002-0000-0900-000000000000}">
      <formula1>INDIRECT($B$43)</formula1>
    </dataValidation>
    <dataValidation type="list" allowBlank="1" showInputMessage="1" showErrorMessage="1" sqref="B16" xr:uid="{00000000-0002-0000-0900-000001000000}">
      <formula1>"出让,储备,划拨"</formula1>
    </dataValidation>
    <dataValidation type="list" allowBlank="1" showInputMessage="1" showErrorMessage="1" sqref="B4 D4 F4 H4" xr:uid="{00000000-0002-0000-0900-000002000000}">
      <formula1>土地估价师</formula1>
    </dataValidation>
    <dataValidation type="list" allowBlank="1" showInputMessage="1" showErrorMessage="1" sqref="B10" xr:uid="{00000000-0002-0000-0900-000003000000}">
      <formula1>"北京市,其他："</formula1>
    </dataValidation>
    <dataValidation type="list" allowBlank="1" showInputMessage="1" showErrorMessage="1" sqref="C44" xr:uid="{00000000-0002-0000-0900-000004000000}">
      <formula1>INDIRECT($C$43)</formula1>
    </dataValidation>
    <dataValidation type="list" allowBlank="1" showInputMessage="1" showErrorMessage="1" sqref="B9" xr:uid="{00000000-0002-0000-0900-000005000000}">
      <formula1>"抵押价格,市场价格"</formula1>
    </dataValidation>
    <dataValidation type="list" allowBlank="1" showInputMessage="1" showErrorMessage="1" sqref="F14" xr:uid="{00000000-0002-0000-0900-000006000000}">
      <formula1>"符合,不符合,——"</formula1>
    </dataValidation>
    <dataValidation type="list" allowBlank="1" showInputMessage="1" showErrorMessage="1" sqref="B8" xr:uid="{00000000-0002-0000-0900-000007000000}">
      <formula1>"抵押,核定资产,出让"</formula1>
    </dataValidation>
    <dataValidation type="list" allowBlank="1" showInputMessage="1" showErrorMessage="1" sqref="E8" xr:uid="{00000000-0002-0000-0900-000008000000}">
      <formula1>价值类型2</formula1>
    </dataValidation>
    <dataValidation type="list" showInputMessage="1" showErrorMessage="1" sqref="B11" xr:uid="{00000000-0002-0000-0900-000009000000}">
      <formula1>"自然人,企业"</formula1>
    </dataValidation>
    <dataValidation type="list" allowBlank="1" showInputMessage="1" showErrorMessage="1" sqref="C23 E23 G23" xr:uid="{00000000-0002-0000-0900-00000A000000}">
      <formula1>判定</formula1>
    </dataValidation>
    <dataValidation type="list" allowBlank="1" showInputMessage="1" showErrorMessage="1" sqref="E9" xr:uid="{00000000-0002-0000-0900-00000B000000}">
      <formula1>"抵押净值,——"</formula1>
    </dataValidation>
    <dataValidation type="list" allowBlank="1" showInputMessage="1" showErrorMessage="1" sqref="C32" xr:uid="{00000000-0002-0000-0900-00000C000000}">
      <formula1>"无,低密度住宅,商场,酒店,旅游地产,仓储物流,高新技术产业用地,其他特殊："</formula1>
    </dataValidation>
    <dataValidation type="list" allowBlank="1" showInputMessage="1" showErrorMessage="1" sqref="B25 B26" xr:uid="{00000000-0002-0000-0900-00000D000000}">
      <formula1>"《房屋所有权证》,《国有土地使用证》,《不动产权证书》,——"</formula1>
    </dataValidation>
    <dataValidation type="list" allowBlank="1" showInputMessage="1" showErrorMessage="1" sqref="C14" xr:uid="{00000000-0002-0000-0900-00000E000000}">
      <formula1>"一致,不一致"</formula1>
    </dataValidation>
    <dataValidation type="list" allowBlank="1" showInputMessage="1" showErrorMessage="1" sqref="E16" xr:uid="{00000000-0002-0000-0900-00000F000000}">
      <formula1>"商业,地上商业,地下商业,商业及地下商业,旅游"</formula1>
    </dataValidation>
    <dataValidation type="list" allowBlank="1" showInputMessage="1" showErrorMessage="1" sqref="F16" xr:uid="{00000000-0002-0000-0900-000010000000}">
      <formula1>"办公,地上办公,地下办公,办公及地下办公"</formula1>
    </dataValidation>
    <dataValidation type="list" allowBlank="1" showInputMessage="1" showErrorMessage="1" sqref="G16" xr:uid="{00000000-0002-0000-0900-000011000000}">
      <formula1>"车库,地下车库"</formula1>
    </dataValidation>
    <dataValidation type="list" allowBlank="1" showInputMessage="1" showErrorMessage="1" sqref="H16" xr:uid="{00000000-0002-0000-0900-000012000000}">
      <formula1>"仓储,地下仓储"</formula1>
    </dataValidation>
    <dataValidation type="list" allowBlank="1" showInputMessage="1" showErrorMessage="1" sqref="D18:I18" xr:uid="{00000000-0002-0000-0900-000013000000}">
      <formula1>法定最高年限</formula1>
    </dataValidation>
    <dataValidation type="list" allowBlank="1" showInputMessage="1" showErrorMessage="1" sqref="A22" xr:uid="{00000000-0002-0000-0900-000014000000}">
      <formula1>"建筑与土地面积依据相同,——"</formula1>
    </dataValidation>
    <dataValidation type="list" allowBlank="1" showInputMessage="1" showErrorMessage="1" sqref="C31" xr:uid="{00000000-0002-0000-0900-000015000000}">
      <formula1>"居住项目,商业项目,办公项目,工业项目,综合项目（居住、综合）,综合项目（商业、办公）"</formula1>
    </dataValidation>
    <dataValidation type="list" allowBlank="1" showInputMessage="1" showErrorMessage="1" sqref="E25 C25:C26" xr:uid="{00000000-0002-0000-0900-000016000000}">
      <formula1>"原件,复印件,——"</formula1>
    </dataValidation>
    <dataValidation type="list" allowBlank="1" showInputMessage="1" showErrorMessage="1" sqref="B40:H40" xr:uid="{00000000-0002-0000-0900-000017000000}">
      <formula1>七通一平</formula1>
    </dataValidation>
    <dataValidation type="list" allowBlank="1" showInputMessage="1" showErrorMessage="1" sqref="C33" xr:uid="{00000000-0002-0000-0900-000018000000}">
      <formula1>"否,全部为保障性住房,含保障性住房"</formula1>
    </dataValidation>
    <dataValidation type="list" allowBlank="1" showInputMessage="1" showErrorMessage="1" sqref="B35" xr:uid="{00000000-0002-0000-0900-000019000000}">
      <formula1>"场地平整,宗地内已开工建设,场地未平整"</formula1>
    </dataValidation>
    <dataValidation type="list" allowBlank="1" showInputMessage="1" showErrorMessage="1" sqref="D36" xr:uid="{00000000-0002-0000-0900-00001A000000}">
      <formula1>"平整,未平整,——"</formula1>
    </dataValidation>
    <dataValidation type="list" allowBlank="1" showInputMessage="1" showErrorMessage="1" sqref="B43:E43" xr:uid="{00000000-0002-0000-0900-00001B000000}">
      <formula1>土地级别</formula1>
    </dataValidation>
    <dataValidation type="list" allowBlank="1" showInputMessage="1" showErrorMessage="1" sqref="D44" xr:uid="{00000000-0002-0000-0900-00001C000000}">
      <formula1>INDIRECT($D$43)</formula1>
    </dataValidation>
    <dataValidation type="list" allowBlank="1" showInputMessage="1" showErrorMessage="1" sqref="E44" xr:uid="{00000000-0002-0000-0900-00001D000000}">
      <formula1>INDIRECT($E$43)</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I16" sqref="I16"/>
    </sheetView>
  </sheetViews>
  <sheetFormatPr defaultColWidth="8.875" defaultRowHeight="14.25"/>
  <cols>
    <col min="1" max="1" width="10.625" style="2865" customWidth="1"/>
    <col min="2" max="2" width="11" style="2865" customWidth="1"/>
    <col min="3" max="3" width="10.375" style="2865" customWidth="1"/>
    <col min="4" max="4" width="9.125" style="2865" customWidth="1"/>
    <col min="5" max="6" width="10" style="2863" customWidth="1"/>
    <col min="7" max="8" width="10" style="2865" customWidth="1"/>
    <col min="9" max="9" width="10.625" style="2865" customWidth="1"/>
    <col min="10" max="10" width="9.5" style="2865" customWidth="1"/>
    <col min="11" max="11" width="11" style="2865" customWidth="1"/>
    <col min="12" max="14" width="9.5" style="2865" customWidth="1"/>
    <col min="15" max="15" width="9.875" style="2865" customWidth="1"/>
    <col min="16" max="16" width="9.75" style="2865" customWidth="1"/>
    <col min="17" max="17" width="9.375" style="2865" customWidth="1"/>
    <col min="18" max="18" width="9.25" style="2865" customWidth="1"/>
    <col min="19" max="19" width="10.875" style="2865" customWidth="1"/>
    <col min="20" max="21" width="10.75" style="2865" customWidth="1"/>
    <col min="22" max="22" width="10.875" style="2865" customWidth="1"/>
    <col min="23" max="27" width="10.75" style="2865" customWidth="1"/>
    <col min="28" max="28" width="10.875" style="2865" customWidth="1"/>
    <col min="29" max="29" width="11" style="2865" customWidth="1"/>
    <col min="30" max="30" width="10" style="2865" customWidth="1"/>
    <col min="31" max="31" width="9.75" style="2865" customWidth="1"/>
    <col min="32" max="46" width="9.5" style="2865" customWidth="1"/>
    <col min="47" max="47" width="18.125" style="2865" customWidth="1"/>
    <col min="48" max="50" width="9.75" style="2865" customWidth="1"/>
    <col min="51" max="55" width="10.5" style="2865" customWidth="1"/>
    <col min="56" max="56" width="9.5" style="2865" customWidth="1"/>
    <col min="57" max="63" width="9.125" style="2865" customWidth="1"/>
    <col min="64" max="64" width="9.5" style="2865" customWidth="1"/>
    <col min="65" max="65" width="9.125" style="2865" customWidth="1"/>
    <col min="66" max="66" width="9.5" style="2865" customWidth="1"/>
    <col min="67" max="69" width="9.125" style="2865" customWidth="1"/>
    <col min="70" max="70" width="9.5" style="2865" customWidth="1"/>
    <col min="71" max="71" width="9" style="2865" customWidth="1"/>
    <col min="72" max="72" width="9.125" style="2865" customWidth="1"/>
    <col min="73" max="16384" width="8.875" style="2865"/>
  </cols>
  <sheetData>
    <row r="1" spans="1:72" ht="20.25">
      <c r="A1" s="2866" t="s">
        <v>437</v>
      </c>
      <c r="B1" s="2867"/>
      <c r="C1" s="2867"/>
      <c r="D1" s="2867"/>
      <c r="E1" s="2867"/>
      <c r="F1" s="2867"/>
      <c r="G1" s="2867"/>
      <c r="H1" s="2867"/>
      <c r="I1" s="2867"/>
      <c r="J1" s="2867"/>
      <c r="K1" s="2867"/>
      <c r="L1" s="2867"/>
      <c r="M1" s="2867"/>
      <c r="N1" s="2867"/>
      <c r="O1" s="2867"/>
      <c r="P1" s="2867"/>
      <c r="Q1" s="2867"/>
      <c r="R1" s="2867"/>
      <c r="S1" s="2867"/>
      <c r="T1" s="2867"/>
      <c r="U1" s="2867"/>
      <c r="V1" s="2867"/>
      <c r="W1" s="2867"/>
      <c r="X1" s="2867"/>
      <c r="Y1" s="2867"/>
      <c r="Z1" s="2867"/>
      <c r="AA1" s="2867"/>
      <c r="AB1" s="2867"/>
      <c r="AC1" s="2867"/>
      <c r="AD1" s="2867"/>
      <c r="AE1" s="2867"/>
      <c r="AF1" s="2867"/>
      <c r="AG1" s="2867"/>
      <c r="AH1" s="2867"/>
      <c r="AI1" s="2867"/>
      <c r="AJ1" s="2867"/>
      <c r="AK1" s="2867"/>
      <c r="AL1" s="2867"/>
      <c r="AM1" s="2867"/>
      <c r="AN1" s="2867"/>
      <c r="AO1" s="2867"/>
      <c r="AP1" s="2867"/>
      <c r="AQ1" s="2867"/>
      <c r="AR1" s="2867"/>
      <c r="AS1" s="2867"/>
      <c r="AT1" s="2867"/>
      <c r="AU1" s="2867"/>
      <c r="AV1" s="2934" t="s">
        <v>438</v>
      </c>
      <c r="AW1" s="2867"/>
      <c r="AX1" s="2867"/>
      <c r="AY1" s="2867"/>
      <c r="AZ1" s="2867"/>
      <c r="BA1" s="2867"/>
      <c r="BB1" s="2867"/>
      <c r="BC1" s="2867"/>
      <c r="BD1" s="2867"/>
      <c r="BE1" s="2867"/>
      <c r="BF1" s="2867"/>
      <c r="BG1" s="2867"/>
      <c r="BH1" s="2867"/>
      <c r="BI1" s="2867"/>
      <c r="BJ1" s="2867"/>
      <c r="BK1" s="2867"/>
      <c r="BL1" s="2867"/>
      <c r="BM1" s="2867"/>
      <c r="BN1" s="2867"/>
      <c r="BO1" s="2867"/>
      <c r="BP1" s="2867"/>
      <c r="BQ1" s="2867"/>
      <c r="BR1" s="2867"/>
      <c r="BS1" s="2867"/>
      <c r="BT1" s="2867"/>
    </row>
    <row r="2" spans="1:72" s="186" customFormat="1" ht="24">
      <c r="A2" s="124" t="s">
        <v>439</v>
      </c>
      <c r="B2" s="124" t="s">
        <v>440</v>
      </c>
      <c r="C2" s="124" t="s">
        <v>441</v>
      </c>
      <c r="D2" s="2868"/>
      <c r="E2" s="2357"/>
      <c r="F2" s="2350"/>
      <c r="G2" s="2868"/>
      <c r="H2" s="2868"/>
      <c r="I2" s="2868"/>
      <c r="J2" s="2868"/>
      <c r="K2" s="2868"/>
      <c r="L2" s="2868"/>
      <c r="M2" s="2868"/>
      <c r="N2" s="2868"/>
      <c r="O2" s="2868"/>
      <c r="P2" s="2868"/>
      <c r="Q2" s="2868"/>
      <c r="R2" s="2868"/>
      <c r="S2" s="2868"/>
      <c r="T2" s="2868"/>
      <c r="U2" s="2868"/>
      <c r="V2" s="2868"/>
      <c r="W2" s="2868"/>
      <c r="X2" s="2868"/>
      <c r="Y2" s="2868"/>
      <c r="Z2" s="2868"/>
      <c r="AA2" s="2868"/>
      <c r="AB2" s="2868"/>
      <c r="AC2" s="2868"/>
      <c r="AD2" s="2868"/>
      <c r="AE2" s="2868"/>
      <c r="AF2" s="2868"/>
      <c r="AG2" s="2868"/>
      <c r="AH2" s="2868"/>
      <c r="AI2" s="2868"/>
      <c r="AJ2" s="2868"/>
      <c r="AK2" s="2868"/>
      <c r="AL2" s="2868"/>
      <c r="AM2" s="2868"/>
      <c r="AN2" s="2868"/>
      <c r="AO2" s="2868"/>
      <c r="AP2" s="2868"/>
      <c r="AQ2" s="2868"/>
      <c r="AR2" s="2868"/>
      <c r="AS2" s="2868"/>
      <c r="AT2" s="2868"/>
      <c r="AU2" s="2868"/>
      <c r="AV2" s="2868"/>
      <c r="AW2" s="2868"/>
      <c r="AX2" s="2868"/>
      <c r="AY2" s="2951" t="s">
        <v>442</v>
      </c>
      <c r="AZ2" s="2952" t="s">
        <v>443</v>
      </c>
      <c r="BA2" s="2953" t="s">
        <v>444</v>
      </c>
      <c r="BB2" s="2868"/>
      <c r="BC2" s="2868"/>
      <c r="BD2" s="2868"/>
      <c r="BE2" s="2868"/>
      <c r="BF2" s="2868"/>
      <c r="BG2" s="2868"/>
      <c r="BH2" s="2868"/>
      <c r="BI2" s="2868"/>
      <c r="BJ2" s="2868"/>
      <c r="BK2" s="2868"/>
      <c r="BL2" s="2868"/>
      <c r="BM2" s="2868"/>
      <c r="BN2" s="2868"/>
      <c r="BO2" s="2868"/>
      <c r="BP2" s="2868"/>
      <c r="BQ2" s="2868"/>
      <c r="BR2" s="2868"/>
      <c r="BS2" s="2868"/>
      <c r="BT2" s="2868"/>
    </row>
    <row r="3" spans="1:72" s="186" customFormat="1" ht="12.75">
      <c r="A3" s="2869">
        <v>25406.38</v>
      </c>
      <c r="B3" s="2870">
        <f>IF(C3="否",G5-AT5,G5)</f>
        <v>63500</v>
      </c>
      <c r="C3" s="2871"/>
      <c r="D3" s="2868"/>
      <c r="E3" s="2868"/>
      <c r="F3" s="2868"/>
      <c r="G3" s="2868"/>
      <c r="H3" s="2868"/>
      <c r="I3" s="2868"/>
      <c r="J3" s="2868"/>
      <c r="K3" s="2868"/>
      <c r="L3" s="2868"/>
      <c r="M3" s="2868"/>
      <c r="N3" s="2868"/>
      <c r="O3" s="2868"/>
      <c r="P3" s="2868"/>
      <c r="Q3" s="2868"/>
      <c r="R3" s="2868"/>
      <c r="S3" s="2868"/>
      <c r="T3" s="2868"/>
      <c r="U3" s="2868"/>
      <c r="V3" s="2868"/>
      <c r="W3" s="2868"/>
      <c r="X3" s="2868"/>
      <c r="Y3" s="2868"/>
      <c r="Z3" s="2868"/>
      <c r="AA3" s="2868"/>
      <c r="AB3" s="2868"/>
      <c r="AC3" s="2868"/>
      <c r="AD3" s="2868"/>
      <c r="AE3" s="2868"/>
      <c r="AF3" s="2868"/>
      <c r="AG3" s="2868"/>
      <c r="AH3" s="2868"/>
      <c r="AI3" s="2868"/>
      <c r="AJ3" s="2868"/>
      <c r="AK3" s="2868"/>
      <c r="AL3" s="2868"/>
      <c r="AM3" s="2868"/>
      <c r="AN3" s="2868"/>
      <c r="AO3" s="2868"/>
      <c r="AP3" s="2868"/>
      <c r="AQ3" s="2868"/>
      <c r="AR3" s="2868"/>
      <c r="AS3" s="2868"/>
      <c r="AT3" s="2868"/>
      <c r="AU3" s="2868"/>
      <c r="AV3" s="2868"/>
      <c r="AW3" s="2868"/>
      <c r="AX3" s="2868"/>
      <c r="AY3" s="2954"/>
      <c r="AZ3" s="2955"/>
      <c r="BA3" s="2956"/>
      <c r="BB3" s="2868"/>
      <c r="BC3" s="2868"/>
      <c r="BD3" s="2868"/>
      <c r="BE3" s="2868"/>
      <c r="BF3" s="2868"/>
      <c r="BG3" s="2868"/>
      <c r="BH3" s="2868"/>
      <c r="BI3" s="2868"/>
      <c r="BJ3" s="2868"/>
      <c r="BK3" s="2868"/>
      <c r="BL3" s="2868"/>
      <c r="BM3" s="2868"/>
      <c r="BN3" s="2868"/>
      <c r="BO3" s="2868"/>
      <c r="BP3" s="2868"/>
      <c r="BQ3" s="2868"/>
      <c r="BR3" s="2868"/>
      <c r="BS3" s="2868"/>
      <c r="BT3" s="2868"/>
    </row>
    <row r="4" spans="1:72" s="2861" customFormat="1" ht="12.75">
      <c r="A4" s="2872"/>
      <c r="B4" s="2873"/>
      <c r="C4" s="2874"/>
      <c r="D4" s="2868"/>
      <c r="E4" s="2868"/>
      <c r="F4" s="2868"/>
      <c r="G4" s="2868"/>
      <c r="H4" s="2868"/>
      <c r="I4" s="2868"/>
      <c r="J4" s="2868"/>
      <c r="K4" s="2868"/>
      <c r="L4" s="2868"/>
      <c r="M4" s="2868"/>
      <c r="N4" s="2868"/>
      <c r="O4" s="2868"/>
      <c r="P4" s="2868"/>
      <c r="Q4" s="2868"/>
      <c r="R4" s="2868"/>
      <c r="S4" s="2868"/>
      <c r="T4" s="2868"/>
      <c r="U4" s="2868"/>
      <c r="V4" s="2868"/>
      <c r="W4" s="2868"/>
      <c r="X4" s="2868"/>
      <c r="Y4" s="2868"/>
      <c r="Z4" s="2868"/>
      <c r="AA4" s="2868"/>
      <c r="AB4" s="2868"/>
      <c r="AC4" s="2868"/>
      <c r="AD4" s="2868"/>
      <c r="AE4" s="2868"/>
      <c r="AF4" s="2868"/>
      <c r="AG4" s="2868"/>
      <c r="AH4" s="2868"/>
      <c r="AI4" s="2868"/>
      <c r="AJ4" s="2868"/>
      <c r="AK4" s="2868"/>
      <c r="AL4" s="2868"/>
      <c r="AM4" s="2868"/>
      <c r="AN4" s="2868"/>
      <c r="AO4" s="2868"/>
      <c r="AP4" s="2868"/>
      <c r="AQ4" s="2868"/>
      <c r="AR4" s="2868"/>
      <c r="AS4" s="2868"/>
      <c r="AT4" s="2868"/>
      <c r="AU4" s="2868"/>
      <c r="AV4" s="2868"/>
      <c r="AW4" s="2868"/>
      <c r="AX4" s="2868"/>
      <c r="AY4" s="2868"/>
      <c r="AZ4" s="2868"/>
      <c r="BA4" s="2957"/>
      <c r="BB4" s="2868"/>
      <c r="BC4" s="2868"/>
      <c r="BD4" s="2868"/>
      <c r="BE4" s="2868"/>
      <c r="BF4" s="2868"/>
      <c r="BG4" s="2868"/>
      <c r="BH4" s="2868"/>
      <c r="BI4" s="2868"/>
      <c r="BJ4" s="2868"/>
      <c r="BK4" s="2868"/>
      <c r="BL4" s="2868"/>
      <c r="BM4" s="2868"/>
      <c r="BN4" s="2868"/>
      <c r="BO4" s="2868"/>
      <c r="BP4" s="2868"/>
      <c r="BQ4" s="2868"/>
      <c r="BR4" s="2868"/>
      <c r="BS4" s="2868"/>
      <c r="BT4" s="2868"/>
    </row>
    <row r="5" spans="1:72" s="186" customFormat="1" ht="12.75">
      <c r="A5" s="864" t="s">
        <v>445</v>
      </c>
      <c r="B5" s="973"/>
      <c r="C5" s="973"/>
      <c r="D5" s="2269"/>
      <c r="E5" s="2875" t="s">
        <v>138</v>
      </c>
      <c r="F5" s="2875">
        <f>SUM(F13:F572)</f>
        <v>0</v>
      </c>
      <c r="G5" s="2875">
        <f>SUM(G13:G572)</f>
        <v>63500</v>
      </c>
      <c r="H5" s="2875">
        <f t="shared" ref="H5:AT5" si="0">SUM(H13:H641)</f>
        <v>63500</v>
      </c>
      <c r="I5" s="2875">
        <f t="shared" si="0"/>
        <v>63500</v>
      </c>
      <c r="J5" s="2875">
        <f t="shared" si="0"/>
        <v>0</v>
      </c>
      <c r="K5" s="2875">
        <f t="shared" si="0"/>
        <v>0</v>
      </c>
      <c r="L5" s="2875">
        <f t="shared" si="0"/>
        <v>0</v>
      </c>
      <c r="M5" s="2875">
        <f t="shared" si="0"/>
        <v>0</v>
      </c>
      <c r="N5" s="2875">
        <f t="shared" si="0"/>
        <v>0</v>
      </c>
      <c r="O5" s="2875">
        <f t="shared" si="0"/>
        <v>0</v>
      </c>
      <c r="P5" s="2875">
        <f t="shared" si="0"/>
        <v>0</v>
      </c>
      <c r="Q5" s="2875">
        <f t="shared" si="0"/>
        <v>0</v>
      </c>
      <c r="R5" s="2875">
        <f t="shared" si="0"/>
        <v>0</v>
      </c>
      <c r="S5" s="2875">
        <f t="shared" si="0"/>
        <v>0</v>
      </c>
      <c r="T5" s="2875">
        <f t="shared" si="0"/>
        <v>0</v>
      </c>
      <c r="U5" s="2875">
        <f t="shared" si="0"/>
        <v>0</v>
      </c>
      <c r="V5" s="2875">
        <f t="shared" si="0"/>
        <v>0</v>
      </c>
      <c r="W5" s="2875">
        <f t="shared" si="0"/>
        <v>0</v>
      </c>
      <c r="X5" s="2875">
        <f t="shared" si="0"/>
        <v>0</v>
      </c>
      <c r="Y5" s="2875">
        <f t="shared" si="0"/>
        <v>0</v>
      </c>
      <c r="Z5" s="2875">
        <f t="shared" si="0"/>
        <v>0</v>
      </c>
      <c r="AA5" s="2875">
        <f t="shared" si="0"/>
        <v>0</v>
      </c>
      <c r="AB5" s="2875">
        <f t="shared" si="0"/>
        <v>0</v>
      </c>
      <c r="AC5" s="2875">
        <f t="shared" si="0"/>
        <v>0</v>
      </c>
      <c r="AD5" s="2875">
        <f t="shared" si="0"/>
        <v>0</v>
      </c>
      <c r="AE5" s="2875">
        <f t="shared" si="0"/>
        <v>0</v>
      </c>
      <c r="AF5" s="2875">
        <f t="shared" si="0"/>
        <v>0</v>
      </c>
      <c r="AG5" s="2875">
        <f t="shared" si="0"/>
        <v>0</v>
      </c>
      <c r="AH5" s="2875">
        <f t="shared" si="0"/>
        <v>0</v>
      </c>
      <c r="AI5" s="2875">
        <f t="shared" si="0"/>
        <v>0</v>
      </c>
      <c r="AJ5" s="2875">
        <f t="shared" si="0"/>
        <v>0</v>
      </c>
      <c r="AK5" s="2875">
        <f t="shared" si="0"/>
        <v>0</v>
      </c>
      <c r="AL5" s="2875">
        <f t="shared" si="0"/>
        <v>0</v>
      </c>
      <c r="AM5" s="2875">
        <f t="shared" si="0"/>
        <v>0</v>
      </c>
      <c r="AN5" s="2875">
        <f t="shared" si="0"/>
        <v>0</v>
      </c>
      <c r="AO5" s="2875">
        <f t="shared" si="0"/>
        <v>0</v>
      </c>
      <c r="AP5" s="2875">
        <f t="shared" si="0"/>
        <v>0</v>
      </c>
      <c r="AQ5" s="2875">
        <f t="shared" si="0"/>
        <v>0</v>
      </c>
      <c r="AR5" s="2875">
        <f t="shared" si="0"/>
        <v>0</v>
      </c>
      <c r="AS5" s="2875">
        <f t="shared" si="0"/>
        <v>0</v>
      </c>
      <c r="AT5" s="2875">
        <f t="shared" si="0"/>
        <v>0</v>
      </c>
      <c r="AU5" s="2159"/>
      <c r="AV5" s="864" t="s">
        <v>445</v>
      </c>
      <c r="AW5" s="973"/>
      <c r="AX5" s="973"/>
      <c r="AY5" s="2958" t="s">
        <v>138</v>
      </c>
      <c r="AZ5" s="2959">
        <f t="shared" ref="AZ5:BT5" si="1">SUM(AZ13:AZ641)</f>
        <v>63500</v>
      </c>
      <c r="BA5" s="2959">
        <f t="shared" si="1"/>
        <v>63500</v>
      </c>
      <c r="BB5" s="2959">
        <f t="shared" si="1"/>
        <v>63500</v>
      </c>
      <c r="BC5" s="2959">
        <f t="shared" si="1"/>
        <v>0</v>
      </c>
      <c r="BD5" s="2959">
        <f t="shared" si="1"/>
        <v>0</v>
      </c>
      <c r="BE5" s="2959">
        <f t="shared" si="1"/>
        <v>0</v>
      </c>
      <c r="BF5" s="2959">
        <f t="shared" si="1"/>
        <v>0</v>
      </c>
      <c r="BG5" s="2959">
        <f t="shared" si="1"/>
        <v>0</v>
      </c>
      <c r="BH5" s="2959">
        <f t="shared" si="1"/>
        <v>0</v>
      </c>
      <c r="BI5" s="2959">
        <f t="shared" si="1"/>
        <v>0</v>
      </c>
      <c r="BJ5" s="2959">
        <f t="shared" si="1"/>
        <v>0</v>
      </c>
      <c r="BK5" s="2959">
        <f t="shared" si="1"/>
        <v>0</v>
      </c>
      <c r="BL5" s="2959">
        <f t="shared" si="1"/>
        <v>0</v>
      </c>
      <c r="BM5" s="2959">
        <f t="shared" si="1"/>
        <v>0</v>
      </c>
      <c r="BN5" s="2959">
        <f t="shared" si="1"/>
        <v>0</v>
      </c>
      <c r="BO5" s="2959">
        <f t="shared" si="1"/>
        <v>0</v>
      </c>
      <c r="BP5" s="2959">
        <f t="shared" si="1"/>
        <v>0</v>
      </c>
      <c r="BQ5" s="2959">
        <f t="shared" si="1"/>
        <v>0</v>
      </c>
      <c r="BR5" s="2959">
        <f t="shared" si="1"/>
        <v>0</v>
      </c>
      <c r="BS5" s="2959">
        <f t="shared" si="1"/>
        <v>0</v>
      </c>
      <c r="BT5" s="2968">
        <f t="shared" si="1"/>
        <v>0</v>
      </c>
    </row>
    <row r="6" spans="1:72" s="2862" customFormat="1" ht="12.75">
      <c r="A6" s="864" t="s">
        <v>446</v>
      </c>
      <c r="B6" s="2876"/>
      <c r="C6" s="2876"/>
      <c r="D6" s="2877"/>
      <c r="E6" s="2875">
        <f>H6+AC6+AT6</f>
        <v>25406.38</v>
      </c>
      <c r="F6" s="2875" t="s">
        <v>138</v>
      </c>
      <c r="G6" s="2875" t="s">
        <v>138</v>
      </c>
      <c r="H6" s="2878">
        <f>SUMIF(I$12:AB$12,"总值",I6:AB6)</f>
        <v>25406.38</v>
      </c>
      <c r="I6" s="2875">
        <f t="shared" ref="I6:AB6" si="2">ROUND($A$3*I5/$B$3,2)</f>
        <v>25406.38</v>
      </c>
      <c r="J6" s="2875">
        <f t="shared" si="2"/>
        <v>0</v>
      </c>
      <c r="K6" s="2875">
        <f t="shared" si="2"/>
        <v>0</v>
      </c>
      <c r="L6" s="2875">
        <f t="shared" si="2"/>
        <v>0</v>
      </c>
      <c r="M6" s="2875">
        <f t="shared" si="2"/>
        <v>0</v>
      </c>
      <c r="N6" s="2875">
        <f t="shared" si="2"/>
        <v>0</v>
      </c>
      <c r="O6" s="2875">
        <f t="shared" si="2"/>
        <v>0</v>
      </c>
      <c r="P6" s="2875">
        <f t="shared" si="2"/>
        <v>0</v>
      </c>
      <c r="Q6" s="2875">
        <f t="shared" si="2"/>
        <v>0</v>
      </c>
      <c r="R6" s="2875">
        <f t="shared" si="2"/>
        <v>0</v>
      </c>
      <c r="S6" s="2875">
        <f t="shared" si="2"/>
        <v>0</v>
      </c>
      <c r="T6" s="2875">
        <f t="shared" si="2"/>
        <v>0</v>
      </c>
      <c r="U6" s="2875">
        <f t="shared" si="2"/>
        <v>0</v>
      </c>
      <c r="V6" s="2875">
        <f t="shared" si="2"/>
        <v>0</v>
      </c>
      <c r="W6" s="2875">
        <f t="shared" si="2"/>
        <v>0</v>
      </c>
      <c r="X6" s="2875">
        <f t="shared" si="2"/>
        <v>0</v>
      </c>
      <c r="Y6" s="2875">
        <f t="shared" si="2"/>
        <v>0</v>
      </c>
      <c r="Z6" s="2875">
        <f t="shared" si="2"/>
        <v>0</v>
      </c>
      <c r="AA6" s="2875">
        <f t="shared" si="2"/>
        <v>0</v>
      </c>
      <c r="AB6" s="2875">
        <f t="shared" si="2"/>
        <v>0</v>
      </c>
      <c r="AC6" s="2878">
        <f>SUMIF(AD$12:AS$12,"总值",AD6:AS6)</f>
        <v>0</v>
      </c>
      <c r="AD6" s="2875">
        <f t="shared" ref="AD6:AS6" si="3">ROUND($A$3*AD5/$B$3,2)</f>
        <v>0</v>
      </c>
      <c r="AE6" s="2875">
        <f t="shared" si="3"/>
        <v>0</v>
      </c>
      <c r="AF6" s="2875">
        <f t="shared" si="3"/>
        <v>0</v>
      </c>
      <c r="AG6" s="2875">
        <f t="shared" si="3"/>
        <v>0</v>
      </c>
      <c r="AH6" s="2875">
        <f t="shared" si="3"/>
        <v>0</v>
      </c>
      <c r="AI6" s="2875">
        <f t="shared" si="3"/>
        <v>0</v>
      </c>
      <c r="AJ6" s="2875">
        <f t="shared" si="3"/>
        <v>0</v>
      </c>
      <c r="AK6" s="2875">
        <f t="shared" si="3"/>
        <v>0</v>
      </c>
      <c r="AL6" s="2875">
        <f t="shared" si="3"/>
        <v>0</v>
      </c>
      <c r="AM6" s="2875">
        <f t="shared" si="3"/>
        <v>0</v>
      </c>
      <c r="AN6" s="2875">
        <f t="shared" si="3"/>
        <v>0</v>
      </c>
      <c r="AO6" s="2875">
        <f t="shared" si="3"/>
        <v>0</v>
      </c>
      <c r="AP6" s="2875">
        <f t="shared" si="3"/>
        <v>0</v>
      </c>
      <c r="AQ6" s="2875">
        <f t="shared" si="3"/>
        <v>0</v>
      </c>
      <c r="AR6" s="2875">
        <f t="shared" si="3"/>
        <v>0</v>
      </c>
      <c r="AS6" s="2875">
        <f t="shared" si="3"/>
        <v>0</v>
      </c>
      <c r="AT6" s="2878">
        <f>IF(C3="是",ROUND($A$3*AT5/$B$3,2),0)</f>
        <v>0</v>
      </c>
      <c r="AU6" s="2935"/>
      <c r="AV6" s="864" t="s">
        <v>446</v>
      </c>
      <c r="AW6" s="2876"/>
      <c r="AX6" s="2876"/>
      <c r="AY6" s="2960">
        <f>IF(AY3&gt;0,AY3,ROUND($A$3*AZ5/$B$3,2))</f>
        <v>25406.38</v>
      </c>
      <c r="AZ6" s="2875" t="s">
        <v>138</v>
      </c>
      <c r="BA6" s="2875">
        <f>ROUND($AY$6*BA5/$AZ$5,2)</f>
        <v>25406.38</v>
      </c>
      <c r="BB6" s="2875">
        <f>ROUND($AY$6*BB5/$AZ$5,2)</f>
        <v>25406.38</v>
      </c>
      <c r="BC6" s="2875">
        <f t="shared" ref="BC6:BH6" si="4">ROUND($AY$6*BC5/$AZ$5,2)</f>
        <v>0</v>
      </c>
      <c r="BD6" s="2875">
        <f t="shared" si="4"/>
        <v>0</v>
      </c>
      <c r="BE6" s="2875">
        <f t="shared" si="4"/>
        <v>0</v>
      </c>
      <c r="BF6" s="2875">
        <f t="shared" si="4"/>
        <v>0</v>
      </c>
      <c r="BG6" s="2875">
        <f t="shared" si="4"/>
        <v>0</v>
      </c>
      <c r="BH6" s="2875">
        <f t="shared" si="4"/>
        <v>0</v>
      </c>
      <c r="BI6" s="2875">
        <f t="shared" ref="BI6:BT6" si="5">ROUND($AY$6*BI5/$AZ$5,2)</f>
        <v>0</v>
      </c>
      <c r="BJ6" s="2875">
        <f t="shared" si="5"/>
        <v>0</v>
      </c>
      <c r="BK6" s="2875">
        <f t="shared" si="5"/>
        <v>0</v>
      </c>
      <c r="BL6" s="2875">
        <f t="shared" si="5"/>
        <v>0</v>
      </c>
      <c r="BM6" s="2875">
        <f t="shared" si="5"/>
        <v>0</v>
      </c>
      <c r="BN6" s="2875">
        <f t="shared" si="5"/>
        <v>0</v>
      </c>
      <c r="BO6" s="2875">
        <f t="shared" si="5"/>
        <v>0</v>
      </c>
      <c r="BP6" s="2875">
        <f t="shared" si="5"/>
        <v>0</v>
      </c>
      <c r="BQ6" s="2875">
        <f t="shared" si="5"/>
        <v>0</v>
      </c>
      <c r="BR6" s="2875">
        <f t="shared" si="5"/>
        <v>0</v>
      </c>
      <c r="BS6" s="2875">
        <f t="shared" si="5"/>
        <v>0</v>
      </c>
      <c r="BT6" s="2969">
        <f t="shared" si="5"/>
        <v>0</v>
      </c>
    </row>
    <row r="7" spans="1:72" s="186" customFormat="1" ht="24.75">
      <c r="A7" s="2879" t="s">
        <v>447</v>
      </c>
      <c r="B7" s="2879" t="s">
        <v>448</v>
      </c>
      <c r="C7" s="2879" t="s">
        <v>449</v>
      </c>
      <c r="D7" s="2879" t="s">
        <v>450</v>
      </c>
      <c r="E7" s="2879" t="s">
        <v>446</v>
      </c>
      <c r="F7" s="2879" t="s">
        <v>451</v>
      </c>
      <c r="G7" s="2880" t="s">
        <v>452</v>
      </c>
      <c r="H7" s="2881"/>
      <c r="I7" s="2881"/>
      <c r="J7" s="2881"/>
      <c r="K7" s="2881"/>
      <c r="L7" s="2881"/>
      <c r="M7" s="2881"/>
      <c r="N7" s="2881"/>
      <c r="O7" s="2881"/>
      <c r="P7" s="2881"/>
      <c r="Q7" s="2881"/>
      <c r="R7" s="2881"/>
      <c r="S7" s="2881"/>
      <c r="T7" s="2881"/>
      <c r="U7" s="2881"/>
      <c r="V7" s="2881"/>
      <c r="W7" s="2881"/>
      <c r="X7" s="2881"/>
      <c r="Y7" s="2881"/>
      <c r="Z7" s="2881"/>
      <c r="AA7" s="2881"/>
      <c r="AB7" s="2881"/>
      <c r="AC7" s="2881"/>
      <c r="AD7" s="2881"/>
      <c r="AE7" s="2881"/>
      <c r="AF7" s="2881"/>
      <c r="AG7" s="2881"/>
      <c r="AH7" s="2881"/>
      <c r="AI7" s="2881"/>
      <c r="AJ7" s="2881"/>
      <c r="AK7" s="2881"/>
      <c r="AL7" s="2881"/>
      <c r="AM7" s="2881"/>
      <c r="AN7" s="2881"/>
      <c r="AO7" s="2881"/>
      <c r="AP7" s="2881"/>
      <c r="AQ7" s="2881"/>
      <c r="AR7" s="2881"/>
      <c r="AS7" s="2881"/>
      <c r="AT7" s="2936"/>
      <c r="AU7" s="2881" t="s">
        <v>453</v>
      </c>
      <c r="AV7" s="2329" t="s">
        <v>447</v>
      </c>
      <c r="AW7" s="2350" t="s">
        <v>448</v>
      </c>
      <c r="AX7" s="2329" t="s">
        <v>449</v>
      </c>
      <c r="AY7" s="973" t="s">
        <v>454</v>
      </c>
      <c r="AZ7" s="2924"/>
      <c r="BA7" s="2881"/>
      <c r="BB7" s="2881"/>
      <c r="BC7" s="2881"/>
      <c r="BD7" s="2881"/>
      <c r="BE7" s="2881"/>
      <c r="BF7" s="2881"/>
      <c r="BG7" s="2881"/>
      <c r="BH7" s="2881"/>
      <c r="BI7" s="2881"/>
      <c r="BJ7" s="2881"/>
      <c r="BK7" s="2881"/>
      <c r="BL7" s="2881"/>
      <c r="BM7" s="2881"/>
      <c r="BN7" s="2881"/>
      <c r="BO7" s="2881"/>
      <c r="BP7" s="2881"/>
      <c r="BQ7" s="2881"/>
      <c r="BR7" s="2881"/>
      <c r="BS7" s="2881"/>
      <c r="BT7" s="2970"/>
    </row>
    <row r="8" spans="1:72" s="190" customFormat="1" ht="24">
      <c r="A8" s="2882"/>
      <c r="B8" s="2882"/>
      <c r="C8" s="2882"/>
      <c r="D8" s="2882"/>
      <c r="E8" s="2882"/>
      <c r="F8" s="2882"/>
      <c r="G8" s="2883" t="s">
        <v>455</v>
      </c>
      <c r="H8" s="2884" t="s">
        <v>456</v>
      </c>
      <c r="I8" s="2908"/>
      <c r="J8" s="123"/>
      <c r="K8" s="123"/>
      <c r="L8" s="123"/>
      <c r="M8" s="123"/>
      <c r="N8" s="123"/>
      <c r="O8" s="123"/>
      <c r="P8" s="123"/>
      <c r="Q8" s="123"/>
      <c r="R8" s="123"/>
      <c r="S8" s="123"/>
      <c r="T8" s="123"/>
      <c r="U8" s="123"/>
      <c r="V8" s="2920"/>
      <c r="W8" s="123"/>
      <c r="X8" s="123"/>
      <c r="Y8" s="123"/>
      <c r="Z8" s="123"/>
      <c r="AA8" s="2920"/>
      <c r="AB8" s="2922"/>
      <c r="AC8" s="2069" t="s">
        <v>457</v>
      </c>
      <c r="AD8" s="2923"/>
      <c r="AE8" s="2924"/>
      <c r="AF8" s="123"/>
      <c r="AG8" s="123"/>
      <c r="AH8" s="123"/>
      <c r="AI8" s="123"/>
      <c r="AJ8" s="123"/>
      <c r="AK8" s="123"/>
      <c r="AL8" s="123"/>
      <c r="AM8" s="123"/>
      <c r="AN8" s="123"/>
      <c r="AO8" s="123"/>
      <c r="AP8" s="123"/>
      <c r="AQ8" s="123"/>
      <c r="AR8" s="123"/>
      <c r="AS8" s="183"/>
      <c r="AT8" s="2937" t="s">
        <v>458</v>
      </c>
      <c r="AU8" s="2882" t="s">
        <v>459</v>
      </c>
      <c r="AV8" s="740"/>
      <c r="AW8" s="2357"/>
      <c r="AX8" s="740"/>
      <c r="AY8" s="2350" t="s">
        <v>446</v>
      </c>
      <c r="AZ8" s="122" t="s">
        <v>440</v>
      </c>
      <c r="BA8" s="123"/>
      <c r="BB8" s="123"/>
      <c r="BC8" s="123"/>
      <c r="BD8" s="123"/>
      <c r="BE8" s="123"/>
      <c r="BF8" s="123"/>
      <c r="BG8" s="123"/>
      <c r="BH8" s="123"/>
      <c r="BI8" s="123"/>
      <c r="BJ8" s="123"/>
      <c r="BK8" s="123"/>
      <c r="BL8" s="123"/>
      <c r="BM8" s="123"/>
      <c r="BN8" s="123"/>
      <c r="BO8" s="123"/>
      <c r="BP8" s="123"/>
      <c r="BQ8" s="123"/>
      <c r="BR8" s="123"/>
      <c r="BS8" s="123"/>
      <c r="BT8" s="790"/>
    </row>
    <row r="9" spans="1:72" s="190" customFormat="1" ht="12.75">
      <c r="A9" s="2882"/>
      <c r="B9" s="2882"/>
      <c r="C9" s="2882"/>
      <c r="D9" s="2882"/>
      <c r="E9" s="2882"/>
      <c r="F9" s="2882"/>
      <c r="G9" s="740"/>
      <c r="H9" s="2885" t="s">
        <v>460</v>
      </c>
      <c r="I9" s="2909" t="s">
        <v>2661</v>
      </c>
      <c r="J9" s="2069"/>
      <c r="K9" s="2909"/>
      <c r="L9" s="2069"/>
      <c r="M9" s="2909"/>
      <c r="N9" s="2069"/>
      <c r="O9" s="2910"/>
      <c r="P9" s="2069"/>
      <c r="Q9" s="2910"/>
      <c r="R9" s="2069"/>
      <c r="S9" s="2910"/>
      <c r="T9" s="2069"/>
      <c r="U9" s="2910"/>
      <c r="V9" s="2069"/>
      <c r="W9" s="2910"/>
      <c r="X9" s="2921"/>
      <c r="Y9" s="2910"/>
      <c r="Z9" s="2069"/>
      <c r="AA9" s="2910"/>
      <c r="AB9" s="2069"/>
      <c r="AC9" s="2883" t="s">
        <v>460</v>
      </c>
      <c r="AD9" s="864" t="s">
        <v>461</v>
      </c>
      <c r="AE9" s="997"/>
      <c r="AF9" s="864" t="s">
        <v>462</v>
      </c>
      <c r="AG9" s="997"/>
      <c r="AH9" s="864" t="s">
        <v>461</v>
      </c>
      <c r="AI9" s="997"/>
      <c r="AJ9" s="864" t="s">
        <v>462</v>
      </c>
      <c r="AK9" s="997"/>
      <c r="AL9" s="864" t="s">
        <v>461</v>
      </c>
      <c r="AM9" s="997"/>
      <c r="AN9" s="864" t="s">
        <v>462</v>
      </c>
      <c r="AO9" s="997"/>
      <c r="AP9" s="2938" t="s">
        <v>461</v>
      </c>
      <c r="AQ9" s="2939"/>
      <c r="AR9" s="2938" t="s">
        <v>462</v>
      </c>
      <c r="AS9" s="2940"/>
      <c r="AT9" s="2882"/>
      <c r="AU9" s="2882" t="s">
        <v>463</v>
      </c>
      <c r="AV9" s="740"/>
      <c r="AW9" s="2357"/>
      <c r="AX9" s="740"/>
      <c r="AY9" s="2330"/>
      <c r="AZ9" s="2330" t="s">
        <v>455</v>
      </c>
      <c r="BA9" s="2961" t="s">
        <v>464</v>
      </c>
      <c r="BB9" s="2962"/>
      <c r="BC9" s="810"/>
      <c r="BD9" s="810"/>
      <c r="BE9" s="810"/>
      <c r="BF9" s="810"/>
      <c r="BG9" s="810"/>
      <c r="BH9" s="810"/>
      <c r="BI9" s="810"/>
      <c r="BJ9" s="810"/>
      <c r="BK9" s="2967"/>
      <c r="BL9" s="864" t="s">
        <v>465</v>
      </c>
      <c r="BM9" s="123"/>
      <c r="BN9" s="2908"/>
      <c r="BO9" s="123"/>
      <c r="BP9" s="123"/>
      <c r="BQ9" s="123"/>
      <c r="BR9" s="123"/>
      <c r="BS9" s="123"/>
      <c r="BT9" s="790"/>
    </row>
    <row r="10" spans="1:72" s="190" customFormat="1" ht="12.75">
      <c r="A10" s="2882"/>
      <c r="B10" s="2882"/>
      <c r="C10" s="2882"/>
      <c r="D10" s="2882"/>
      <c r="E10" s="2882"/>
      <c r="F10" s="2882"/>
      <c r="G10" s="740"/>
      <c r="H10" s="2330"/>
      <c r="I10" s="2909" t="s">
        <v>368</v>
      </c>
      <c r="J10" s="2069"/>
      <c r="K10" s="2911"/>
      <c r="L10" s="2069"/>
      <c r="M10" s="2911"/>
      <c r="N10" s="2069"/>
      <c r="O10" s="2912"/>
      <c r="P10" s="2069"/>
      <c r="Q10" s="2912"/>
      <c r="R10" s="2069"/>
      <c r="S10" s="2912"/>
      <c r="T10" s="2069"/>
      <c r="U10" s="2912"/>
      <c r="V10" s="2069"/>
      <c r="W10" s="2912"/>
      <c r="X10" s="2069"/>
      <c r="Y10" s="2912"/>
      <c r="Z10" s="2069"/>
      <c r="AA10" s="2912"/>
      <c r="AB10" s="2069"/>
      <c r="AC10" s="740"/>
      <c r="AD10" s="2453" t="s">
        <v>231</v>
      </c>
      <c r="AE10" s="2925"/>
      <c r="AF10" s="2453" t="s">
        <v>231</v>
      </c>
      <c r="AG10" s="2925"/>
      <c r="AH10" s="2453" t="s">
        <v>466</v>
      </c>
      <c r="AI10" s="2925"/>
      <c r="AJ10" s="864" t="s">
        <v>467</v>
      </c>
      <c r="AK10" s="2931"/>
      <c r="AL10" s="2453" t="s">
        <v>468</v>
      </c>
      <c r="AM10" s="2932"/>
      <c r="AN10" s="864" t="s">
        <v>469</v>
      </c>
      <c r="AO10" s="997"/>
      <c r="AP10" s="2938" t="s">
        <v>470</v>
      </c>
      <c r="AQ10" s="2939"/>
      <c r="AR10" s="2938" t="s">
        <v>470</v>
      </c>
      <c r="AS10" s="2939"/>
      <c r="AT10" s="2882"/>
      <c r="AU10" s="2882"/>
      <c r="AV10" s="740"/>
      <c r="AW10" s="2357"/>
      <c r="AX10" s="740"/>
      <c r="AY10" s="2330"/>
      <c r="AZ10" s="2330"/>
      <c r="BA10" s="2886" t="s">
        <v>460</v>
      </c>
      <c r="BB10" s="2963" t="str">
        <f>I9</f>
        <v>地上</v>
      </c>
      <c r="BC10" s="824">
        <f>K9</f>
        <v>0</v>
      </c>
      <c r="BD10" s="824">
        <f>M9</f>
        <v>0</v>
      </c>
      <c r="BE10" s="824">
        <f>O9</f>
        <v>0</v>
      </c>
      <c r="BF10" s="824">
        <f>Q9</f>
        <v>0</v>
      </c>
      <c r="BG10" s="824">
        <f>S9</f>
        <v>0</v>
      </c>
      <c r="BH10" s="824">
        <f>U9</f>
        <v>0</v>
      </c>
      <c r="BI10" s="824">
        <f>W9</f>
        <v>0</v>
      </c>
      <c r="BJ10" s="824">
        <f>Y9</f>
        <v>0</v>
      </c>
      <c r="BK10" s="824">
        <f>AA9</f>
        <v>0</v>
      </c>
      <c r="BL10" s="820" t="s">
        <v>460</v>
      </c>
      <c r="BM10" s="122" t="str">
        <f>AD9</f>
        <v>地上</v>
      </c>
      <c r="BN10" s="824" t="str">
        <f>AF9</f>
        <v>地下</v>
      </c>
      <c r="BO10" s="122" t="str">
        <f>AH9</f>
        <v>地上</v>
      </c>
      <c r="BP10" s="824" t="str">
        <f>AJ9</f>
        <v>地下</v>
      </c>
      <c r="BQ10" s="122" t="str">
        <f>AL9</f>
        <v>地上</v>
      </c>
      <c r="BR10" s="824" t="str">
        <f>AN9</f>
        <v>地下</v>
      </c>
      <c r="BS10" s="122" t="str">
        <f>AP9</f>
        <v>地上</v>
      </c>
      <c r="BT10" s="2341" t="str">
        <f>AR9</f>
        <v>地下</v>
      </c>
    </row>
    <row r="11" spans="1:72" s="190" customFormat="1" ht="12.75">
      <c r="A11" s="2882"/>
      <c r="B11" s="2882"/>
      <c r="C11" s="2882"/>
      <c r="D11" s="2882"/>
      <c r="E11" s="2882"/>
      <c r="F11" s="2882"/>
      <c r="G11" s="740"/>
      <c r="H11" s="2886"/>
      <c r="I11" s="2913" t="s">
        <v>2662</v>
      </c>
      <c r="J11" s="2914"/>
      <c r="K11" s="2913"/>
      <c r="L11" s="2914"/>
      <c r="M11" s="2915"/>
      <c r="N11" s="2914"/>
      <c r="O11" s="2915"/>
      <c r="P11" s="2914"/>
      <c r="Q11" s="2915"/>
      <c r="R11" s="2914"/>
      <c r="S11" s="2915"/>
      <c r="T11" s="2914"/>
      <c r="U11" s="2915"/>
      <c r="V11" s="2914"/>
      <c r="W11" s="2915"/>
      <c r="X11" s="2914"/>
      <c r="Y11" s="2915"/>
      <c r="Z11" s="2914"/>
      <c r="AA11" s="2915"/>
      <c r="AB11" s="2914"/>
      <c r="AC11" s="740"/>
      <c r="AD11" s="2926" t="s">
        <v>471</v>
      </c>
      <c r="AE11" s="183"/>
      <c r="AF11" s="2926" t="s">
        <v>471</v>
      </c>
      <c r="AG11" s="183"/>
      <c r="AH11" s="2926" t="s">
        <v>472</v>
      </c>
      <c r="AI11" s="2933"/>
      <c r="AJ11" s="2926" t="s">
        <v>472</v>
      </c>
      <c r="AK11" s="2931"/>
      <c r="AL11" s="122"/>
      <c r="AM11" s="183"/>
      <c r="AN11" s="122"/>
      <c r="AO11" s="183"/>
      <c r="AP11" s="2941"/>
      <c r="AQ11" s="2942"/>
      <c r="AR11" s="2941"/>
      <c r="AS11" s="2942"/>
      <c r="AT11" s="2357"/>
      <c r="AU11" s="2882"/>
      <c r="AV11" s="740"/>
      <c r="AW11" s="2357"/>
      <c r="AX11" s="740"/>
      <c r="AY11" s="2330"/>
      <c r="AZ11" s="2330"/>
      <c r="BA11" s="2330"/>
      <c r="BB11" s="2922" t="str">
        <f>I10</f>
        <v>住宅</v>
      </c>
      <c r="BC11" s="2922">
        <f>K10</f>
        <v>0</v>
      </c>
      <c r="BD11" s="2922">
        <f>M10</f>
        <v>0</v>
      </c>
      <c r="BE11" s="2922">
        <f>O10</f>
        <v>0</v>
      </c>
      <c r="BF11" s="2922">
        <f>Q10</f>
        <v>0</v>
      </c>
      <c r="BG11" s="2922">
        <f>S10</f>
        <v>0</v>
      </c>
      <c r="BH11" s="2922">
        <f>U10</f>
        <v>0</v>
      </c>
      <c r="BI11" s="2922">
        <f>W10</f>
        <v>0</v>
      </c>
      <c r="BJ11" s="2922">
        <f>Y10</f>
        <v>0</v>
      </c>
      <c r="BK11" s="2922">
        <f>AA10</f>
        <v>0</v>
      </c>
      <c r="BL11" s="740"/>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20" t="str">
        <f>AP10</f>
        <v>未注明</v>
      </c>
      <c r="BT11" s="2331" t="str">
        <f>AR10</f>
        <v>未注明</v>
      </c>
    </row>
    <row r="12" spans="1:72" s="186" customFormat="1" ht="12.75">
      <c r="A12" s="2887"/>
      <c r="B12" s="2887"/>
      <c r="C12" s="2887"/>
      <c r="D12" s="2887"/>
      <c r="E12" s="2887"/>
      <c r="F12" s="2887"/>
      <c r="G12" s="2340"/>
      <c r="H12" s="2888"/>
      <c r="I12" s="2269" t="s">
        <v>473</v>
      </c>
      <c r="J12" s="124" t="s">
        <v>474</v>
      </c>
      <c r="K12" s="124" t="s">
        <v>473</v>
      </c>
      <c r="L12" s="124" t="s">
        <v>474</v>
      </c>
      <c r="M12" s="124" t="s">
        <v>473</v>
      </c>
      <c r="N12" s="124" t="s">
        <v>474</v>
      </c>
      <c r="O12" s="124" t="s">
        <v>473</v>
      </c>
      <c r="P12" s="124" t="s">
        <v>474</v>
      </c>
      <c r="Q12" s="124" t="s">
        <v>473</v>
      </c>
      <c r="R12" s="124" t="s">
        <v>474</v>
      </c>
      <c r="S12" s="124" t="s">
        <v>473</v>
      </c>
      <c r="T12" s="124" t="s">
        <v>474</v>
      </c>
      <c r="U12" s="124" t="s">
        <v>473</v>
      </c>
      <c r="V12" s="2159" t="s">
        <v>474</v>
      </c>
      <c r="W12" s="124" t="s">
        <v>473</v>
      </c>
      <c r="X12" s="124" t="s">
        <v>474</v>
      </c>
      <c r="Y12" s="124" t="s">
        <v>473</v>
      </c>
      <c r="Z12" s="124" t="s">
        <v>474</v>
      </c>
      <c r="AA12" s="124" t="s">
        <v>473</v>
      </c>
      <c r="AB12" s="124" t="s">
        <v>474</v>
      </c>
      <c r="AC12" s="2927"/>
      <c r="AD12" s="2269" t="s">
        <v>473</v>
      </c>
      <c r="AE12" s="124" t="s">
        <v>474</v>
      </c>
      <c r="AF12" s="124" t="s">
        <v>473</v>
      </c>
      <c r="AG12" s="124" t="s">
        <v>474</v>
      </c>
      <c r="AH12" s="124" t="s">
        <v>473</v>
      </c>
      <c r="AI12" s="124" t="s">
        <v>474</v>
      </c>
      <c r="AJ12" s="124" t="s">
        <v>473</v>
      </c>
      <c r="AK12" s="124" t="s">
        <v>474</v>
      </c>
      <c r="AL12" s="124" t="s">
        <v>473</v>
      </c>
      <c r="AM12" s="124" t="s">
        <v>474</v>
      </c>
      <c r="AN12" s="124" t="s">
        <v>473</v>
      </c>
      <c r="AO12" s="124" t="s">
        <v>474</v>
      </c>
      <c r="AP12" s="2943" t="s">
        <v>473</v>
      </c>
      <c r="AQ12" s="2943" t="s">
        <v>474</v>
      </c>
      <c r="AR12" s="2944" t="s">
        <v>473</v>
      </c>
      <c r="AS12" s="2945" t="s">
        <v>474</v>
      </c>
      <c r="AT12" s="2946"/>
      <c r="AU12" s="2887"/>
      <c r="AV12" s="2335"/>
      <c r="AW12" s="2350"/>
      <c r="AX12" s="2335"/>
      <c r="AY12" s="2964"/>
      <c r="AZ12" s="2330"/>
      <c r="BA12" s="2886"/>
      <c r="BB12" s="121" t="str">
        <f>I11</f>
        <v>普通住宅</v>
      </c>
      <c r="BC12" s="2965">
        <f>K11</f>
        <v>0</v>
      </c>
      <c r="BD12" s="2965">
        <f>M11</f>
        <v>0</v>
      </c>
      <c r="BE12" s="2922">
        <f>O11</f>
        <v>0</v>
      </c>
      <c r="BF12" s="2922">
        <f>Q11</f>
        <v>0</v>
      </c>
      <c r="BG12" s="2922">
        <f>S11</f>
        <v>0</v>
      </c>
      <c r="BH12" s="2922">
        <f>U11</f>
        <v>0</v>
      </c>
      <c r="BI12" s="2922">
        <f>W11</f>
        <v>0</v>
      </c>
      <c r="BJ12" s="2922">
        <f>Y11</f>
        <v>0</v>
      </c>
      <c r="BK12" s="2922">
        <f>AA11</f>
        <v>0</v>
      </c>
      <c r="BL12" s="740"/>
      <c r="BM12" s="122" t="str">
        <f>AD11</f>
        <v>（住宅）</v>
      </c>
      <c r="BN12" s="122" t="str">
        <f>AF11</f>
        <v>（住宅）</v>
      </c>
      <c r="BO12" s="121" t="str">
        <f>AH11</f>
        <v>（住宅、计出让金）</v>
      </c>
      <c r="BP12" s="121" t="str">
        <f>AJ11</f>
        <v>（住宅、计出让金）</v>
      </c>
      <c r="BQ12" s="121">
        <f>AL11</f>
        <v>0</v>
      </c>
      <c r="BR12" s="121">
        <f>AN11</f>
        <v>0</v>
      </c>
      <c r="BS12" s="820">
        <f>AP11</f>
        <v>0</v>
      </c>
      <c r="BT12" s="2331">
        <f>AR11</f>
        <v>0</v>
      </c>
    </row>
    <row r="13" spans="1:72" s="186" customFormat="1" ht="12.75">
      <c r="A13" s="2889"/>
      <c r="B13" s="2889"/>
      <c r="C13" s="2889"/>
      <c r="D13" s="2890" t="s">
        <v>475</v>
      </c>
      <c r="E13" s="2875">
        <f t="shared" ref="E13:E20" si="6">IF($C$3="是",ROUND($A$3*G13/$B$3,2),ROUND($A$3*(G13-AT13)/$B$3,2))</f>
        <v>25406.38</v>
      </c>
      <c r="F13" s="2891"/>
      <c r="G13" s="2892">
        <f t="shared" ref="G13:G20" si="7">H13+AC13+AT13</f>
        <v>63500</v>
      </c>
      <c r="H13" s="2878">
        <f t="shared" ref="H13:H20" si="8">SUMIF(I$12:AB$12,"总值",I13:AB13)</f>
        <v>63500</v>
      </c>
      <c r="I13" s="2916">
        <v>63500</v>
      </c>
      <c r="J13" s="2916"/>
      <c r="K13" s="2916"/>
      <c r="L13" s="2916"/>
      <c r="M13" s="2916"/>
      <c r="N13" s="2917"/>
      <c r="O13" s="2917"/>
      <c r="P13" s="2917"/>
      <c r="Q13" s="2917"/>
      <c r="R13" s="2917"/>
      <c r="S13" s="2917"/>
      <c r="T13" s="2917"/>
      <c r="U13" s="2917"/>
      <c r="V13" s="2917"/>
      <c r="W13" s="2917"/>
      <c r="X13" s="2917"/>
      <c r="Y13" s="2917"/>
      <c r="Z13" s="2917"/>
      <c r="AA13" s="2917"/>
      <c r="AB13" s="2917"/>
      <c r="AC13" s="2875">
        <f t="shared" ref="AC13:AC20" si="9">SUMIF(AD$12:AS$12,"总值",AD13:AS13)</f>
        <v>0</v>
      </c>
      <c r="AD13" s="2928"/>
      <c r="AE13" s="2928"/>
      <c r="AF13" s="2928"/>
      <c r="AG13" s="2928"/>
      <c r="AH13" s="2928"/>
      <c r="AI13" s="2928"/>
      <c r="AJ13" s="2928"/>
      <c r="AK13" s="2928"/>
      <c r="AL13" s="2928"/>
      <c r="AM13" s="2928"/>
      <c r="AN13" s="2928"/>
      <c r="AO13" s="2928"/>
      <c r="AP13" s="2928"/>
      <c r="AQ13" s="2928"/>
      <c r="AR13" s="2928"/>
      <c r="AS13" s="2928"/>
      <c r="AT13" s="2947"/>
      <c r="AU13" s="2948"/>
      <c r="AV13" s="124">
        <f t="shared" ref="AV13:AX20" si="10">A13</f>
        <v>0</v>
      </c>
      <c r="AW13" s="124">
        <f t="shared" si="10"/>
        <v>0</v>
      </c>
      <c r="AX13" s="124">
        <f t="shared" si="10"/>
        <v>0</v>
      </c>
      <c r="AY13" s="2269">
        <f t="shared" ref="AY13:AY20" si="11">ROUND($AY$6*AZ13/$AZ$5,2)</f>
        <v>25406.38</v>
      </c>
      <c r="AZ13" s="2875">
        <f t="shared" ref="AZ13:AZ20" si="12">BA13+BL13</f>
        <v>63500</v>
      </c>
      <c r="BA13" s="2875">
        <f t="shared" ref="BA13:BA20" si="13">SUM(BB13:BK13)</f>
        <v>63500</v>
      </c>
      <c r="BB13" s="2875">
        <f t="shared" ref="BB13:BB20" si="14">IF($D13="是",I13-J13,0)</f>
        <v>63500</v>
      </c>
      <c r="BC13" s="2875">
        <f t="shared" ref="BC13:BC20" si="15">IF($D13="是",K13-L13,0)</f>
        <v>0</v>
      </c>
      <c r="BD13" s="2875">
        <f t="shared" ref="BD13:BD20" si="16">IF($D13="是",M13-N13,0)</f>
        <v>0</v>
      </c>
      <c r="BE13" s="2875">
        <f t="shared" ref="BE13:BE20" si="17">IF($D13="是",O13-P13,0)</f>
        <v>0</v>
      </c>
      <c r="BF13" s="2875">
        <f t="shared" ref="BF13:BF20" si="18">IF($D13="是",Q13-R13,0)</f>
        <v>0</v>
      </c>
      <c r="BG13" s="2875">
        <f t="shared" ref="BG13:BG20" si="19">IF($D13="是",S13-T13,0)</f>
        <v>0</v>
      </c>
      <c r="BH13" s="2875">
        <f t="shared" ref="BH13:BH20" si="20">IF($D13="是",U13-V13,0)</f>
        <v>0</v>
      </c>
      <c r="BI13" s="2875">
        <f t="shared" ref="BI13:BI20" si="21">IF($D13="是",W13-X13,0)</f>
        <v>0</v>
      </c>
      <c r="BJ13" s="2875">
        <f t="shared" ref="BJ13:BJ20" si="22">IF($D13="是",Y13-Z13,0)</f>
        <v>0</v>
      </c>
      <c r="BK13" s="2875">
        <f t="shared" ref="BK13:BK20" si="23">IF($D13="是",AA13-AB13,0)</f>
        <v>0</v>
      </c>
      <c r="BL13" s="2875">
        <f t="shared" ref="BL13:BL20" si="24">SUM(BM13:BT13)</f>
        <v>0</v>
      </c>
      <c r="BM13" s="2875">
        <f t="shared" ref="BM13:BM20" si="25">IF($D13="是",AD13-AE13,0)</f>
        <v>0</v>
      </c>
      <c r="BN13" s="2875">
        <f t="shared" ref="BN13:BN20" si="26">IF($D13="是",AF13-AG13,0)</f>
        <v>0</v>
      </c>
      <c r="BO13" s="2875">
        <f t="shared" ref="BO13:BO20" si="27">IF($D13="是",AH13-AI13,0)</f>
        <v>0</v>
      </c>
      <c r="BP13" s="2875">
        <f t="shared" ref="BP13:BP20" si="28">IF($D13="是",AJ13-AK13,0)</f>
        <v>0</v>
      </c>
      <c r="BQ13" s="2875">
        <f t="shared" ref="BQ13:BQ20" si="29">IF($D13="是",AL13-AM13,0)</f>
        <v>0</v>
      </c>
      <c r="BR13" s="2875">
        <f t="shared" ref="BR13:BR20" si="30">IF($D13="是",AN13-AO13,0)</f>
        <v>0</v>
      </c>
      <c r="BS13" s="2875">
        <f t="shared" ref="BS13:BS20" si="31">IF($D13="是",AP13-AQ13,0)</f>
        <v>0</v>
      </c>
      <c r="BT13" s="2969">
        <f t="shared" ref="BT13:BT20" si="32">IF($D13="是",AR13-AS13,0)</f>
        <v>0</v>
      </c>
    </row>
    <row r="14" spans="1:72" s="186" customFormat="1" ht="12.75">
      <c r="A14" s="2889"/>
      <c r="B14" s="2889"/>
      <c r="C14" s="2893"/>
      <c r="D14" s="2890"/>
      <c r="E14" s="2875">
        <f t="shared" si="6"/>
        <v>0</v>
      </c>
      <c r="F14" s="2891"/>
      <c r="G14" s="2892">
        <f t="shared" si="7"/>
        <v>0</v>
      </c>
      <c r="H14" s="2878">
        <f t="shared" si="8"/>
        <v>0</v>
      </c>
      <c r="I14" s="2916"/>
      <c r="J14" s="2916"/>
      <c r="K14" s="2916"/>
      <c r="L14" s="2916"/>
      <c r="M14" s="2916"/>
      <c r="N14" s="2917"/>
      <c r="O14" s="2917"/>
      <c r="P14" s="2917"/>
      <c r="Q14" s="2917"/>
      <c r="R14" s="2917"/>
      <c r="S14" s="2917"/>
      <c r="T14" s="2917"/>
      <c r="U14" s="2917"/>
      <c r="V14" s="2917"/>
      <c r="W14" s="2917"/>
      <c r="X14" s="2917"/>
      <c r="Y14" s="2917"/>
      <c r="Z14" s="2917"/>
      <c r="AA14" s="2917"/>
      <c r="AB14" s="2917"/>
      <c r="AC14" s="2875">
        <f t="shared" si="9"/>
        <v>0</v>
      </c>
      <c r="AD14" s="2928"/>
      <c r="AE14" s="2928"/>
      <c r="AF14" s="2928"/>
      <c r="AG14" s="2928"/>
      <c r="AH14" s="2928"/>
      <c r="AI14" s="2928"/>
      <c r="AJ14" s="2928"/>
      <c r="AK14" s="2928"/>
      <c r="AL14" s="2928"/>
      <c r="AM14" s="2928"/>
      <c r="AN14" s="2928"/>
      <c r="AO14" s="2928"/>
      <c r="AP14" s="2928"/>
      <c r="AQ14" s="2928"/>
      <c r="AR14" s="2928"/>
      <c r="AS14" s="2928"/>
      <c r="AT14" s="2947"/>
      <c r="AU14" s="2948"/>
      <c r="AV14" s="124">
        <f t="shared" si="10"/>
        <v>0</v>
      </c>
      <c r="AW14" s="124">
        <f t="shared" si="10"/>
        <v>0</v>
      </c>
      <c r="AX14" s="124">
        <f t="shared" si="10"/>
        <v>0</v>
      </c>
      <c r="AY14" s="2269">
        <f t="shared" si="11"/>
        <v>0</v>
      </c>
      <c r="AZ14" s="2875">
        <f t="shared" si="12"/>
        <v>0</v>
      </c>
      <c r="BA14" s="2875">
        <f t="shared" si="13"/>
        <v>0</v>
      </c>
      <c r="BB14" s="2875">
        <f t="shared" si="14"/>
        <v>0</v>
      </c>
      <c r="BC14" s="2875">
        <f t="shared" si="15"/>
        <v>0</v>
      </c>
      <c r="BD14" s="2875">
        <f t="shared" si="16"/>
        <v>0</v>
      </c>
      <c r="BE14" s="2875">
        <f t="shared" si="17"/>
        <v>0</v>
      </c>
      <c r="BF14" s="2875">
        <f t="shared" si="18"/>
        <v>0</v>
      </c>
      <c r="BG14" s="2875">
        <f t="shared" si="19"/>
        <v>0</v>
      </c>
      <c r="BH14" s="2875">
        <f t="shared" si="20"/>
        <v>0</v>
      </c>
      <c r="BI14" s="2875">
        <f t="shared" si="21"/>
        <v>0</v>
      </c>
      <c r="BJ14" s="2875">
        <f t="shared" si="22"/>
        <v>0</v>
      </c>
      <c r="BK14" s="2875">
        <f t="shared" si="23"/>
        <v>0</v>
      </c>
      <c r="BL14" s="2875">
        <f t="shared" si="24"/>
        <v>0</v>
      </c>
      <c r="BM14" s="2875">
        <f t="shared" si="25"/>
        <v>0</v>
      </c>
      <c r="BN14" s="2875">
        <f t="shared" si="26"/>
        <v>0</v>
      </c>
      <c r="BO14" s="2875">
        <f t="shared" si="27"/>
        <v>0</v>
      </c>
      <c r="BP14" s="2875">
        <f t="shared" si="28"/>
        <v>0</v>
      </c>
      <c r="BQ14" s="2875">
        <f t="shared" si="29"/>
        <v>0</v>
      </c>
      <c r="BR14" s="2875">
        <f t="shared" si="30"/>
        <v>0</v>
      </c>
      <c r="BS14" s="2875">
        <f t="shared" si="31"/>
        <v>0</v>
      </c>
      <c r="BT14" s="2969">
        <f t="shared" si="32"/>
        <v>0</v>
      </c>
    </row>
    <row r="15" spans="1:72" s="186" customFormat="1" ht="12.75">
      <c r="A15" s="2889"/>
      <c r="B15" s="2889"/>
      <c r="C15" s="2893"/>
      <c r="D15" s="2890"/>
      <c r="E15" s="2875">
        <f t="shared" si="6"/>
        <v>0</v>
      </c>
      <c r="F15" s="2891"/>
      <c r="G15" s="2892">
        <f t="shared" si="7"/>
        <v>0</v>
      </c>
      <c r="H15" s="2878">
        <f t="shared" si="8"/>
        <v>0</v>
      </c>
      <c r="I15" s="2916"/>
      <c r="J15" s="2916"/>
      <c r="K15" s="2916"/>
      <c r="L15" s="2916"/>
      <c r="M15" s="2916"/>
      <c r="N15" s="2917"/>
      <c r="O15" s="2917"/>
      <c r="P15" s="2917"/>
      <c r="Q15" s="2917"/>
      <c r="R15" s="2917"/>
      <c r="S15" s="2917"/>
      <c r="T15" s="2917"/>
      <c r="U15" s="2917"/>
      <c r="V15" s="2917"/>
      <c r="W15" s="2917"/>
      <c r="X15" s="2917"/>
      <c r="Y15" s="2917"/>
      <c r="Z15" s="2917"/>
      <c r="AA15" s="2917"/>
      <c r="AB15" s="2917"/>
      <c r="AC15" s="2875">
        <f t="shared" si="9"/>
        <v>0</v>
      </c>
      <c r="AD15" s="2928"/>
      <c r="AE15" s="2928"/>
      <c r="AF15" s="2928"/>
      <c r="AG15" s="2928"/>
      <c r="AH15" s="2928"/>
      <c r="AI15" s="2928"/>
      <c r="AJ15" s="2928"/>
      <c r="AK15" s="2928"/>
      <c r="AL15" s="2928"/>
      <c r="AM15" s="2928"/>
      <c r="AN15" s="2928"/>
      <c r="AO15" s="2928"/>
      <c r="AP15" s="2928"/>
      <c r="AQ15" s="2928"/>
      <c r="AR15" s="2928"/>
      <c r="AS15" s="2928"/>
      <c r="AT15" s="2947"/>
      <c r="AU15" s="2948"/>
      <c r="AV15" s="124">
        <f t="shared" si="10"/>
        <v>0</v>
      </c>
      <c r="AW15" s="124">
        <f t="shared" si="10"/>
        <v>0</v>
      </c>
      <c r="AX15" s="124">
        <f t="shared" si="10"/>
        <v>0</v>
      </c>
      <c r="AY15" s="2269">
        <f t="shared" si="11"/>
        <v>0</v>
      </c>
      <c r="AZ15" s="2875">
        <f t="shared" si="12"/>
        <v>0</v>
      </c>
      <c r="BA15" s="2875">
        <f t="shared" si="13"/>
        <v>0</v>
      </c>
      <c r="BB15" s="2875">
        <f t="shared" si="14"/>
        <v>0</v>
      </c>
      <c r="BC15" s="2875">
        <f t="shared" si="15"/>
        <v>0</v>
      </c>
      <c r="BD15" s="2875">
        <f t="shared" si="16"/>
        <v>0</v>
      </c>
      <c r="BE15" s="2875">
        <f t="shared" si="17"/>
        <v>0</v>
      </c>
      <c r="BF15" s="2875">
        <f t="shared" si="18"/>
        <v>0</v>
      </c>
      <c r="BG15" s="2875">
        <f t="shared" si="19"/>
        <v>0</v>
      </c>
      <c r="BH15" s="2875">
        <f t="shared" si="20"/>
        <v>0</v>
      </c>
      <c r="BI15" s="2875">
        <f t="shared" si="21"/>
        <v>0</v>
      </c>
      <c r="BJ15" s="2875">
        <f t="shared" si="22"/>
        <v>0</v>
      </c>
      <c r="BK15" s="2875">
        <f t="shared" si="23"/>
        <v>0</v>
      </c>
      <c r="BL15" s="2875">
        <f t="shared" si="24"/>
        <v>0</v>
      </c>
      <c r="BM15" s="2875">
        <f t="shared" si="25"/>
        <v>0</v>
      </c>
      <c r="BN15" s="2875">
        <f t="shared" si="26"/>
        <v>0</v>
      </c>
      <c r="BO15" s="2875">
        <f t="shared" si="27"/>
        <v>0</v>
      </c>
      <c r="BP15" s="2875">
        <f t="shared" si="28"/>
        <v>0</v>
      </c>
      <c r="BQ15" s="2875">
        <f t="shared" si="29"/>
        <v>0</v>
      </c>
      <c r="BR15" s="2875">
        <f t="shared" si="30"/>
        <v>0</v>
      </c>
      <c r="BS15" s="2875">
        <f t="shared" si="31"/>
        <v>0</v>
      </c>
      <c r="BT15" s="2969">
        <f t="shared" si="32"/>
        <v>0</v>
      </c>
    </row>
    <row r="16" spans="1:72" s="186" customFormat="1" ht="12.75">
      <c r="A16" s="2889"/>
      <c r="B16" s="2889"/>
      <c r="C16" s="2893"/>
      <c r="D16" s="2890"/>
      <c r="E16" s="2875">
        <f t="shared" si="6"/>
        <v>0</v>
      </c>
      <c r="F16" s="2891"/>
      <c r="G16" s="2892">
        <f t="shared" si="7"/>
        <v>0</v>
      </c>
      <c r="H16" s="2878">
        <f t="shared" si="8"/>
        <v>0</v>
      </c>
      <c r="I16" s="2916"/>
      <c r="J16" s="2916"/>
      <c r="K16" s="2916"/>
      <c r="L16" s="2916"/>
      <c r="M16" s="2916"/>
      <c r="N16" s="2917"/>
      <c r="O16" s="2917"/>
      <c r="P16" s="2917"/>
      <c r="Q16" s="2917"/>
      <c r="R16" s="2917"/>
      <c r="S16" s="2917"/>
      <c r="T16" s="2917"/>
      <c r="U16" s="2917"/>
      <c r="V16" s="2917"/>
      <c r="W16" s="2917"/>
      <c r="X16" s="2917"/>
      <c r="Y16" s="2917"/>
      <c r="Z16" s="2917"/>
      <c r="AA16" s="2917"/>
      <c r="AB16" s="2917"/>
      <c r="AC16" s="2875">
        <f t="shared" si="9"/>
        <v>0</v>
      </c>
      <c r="AD16" s="2928"/>
      <c r="AE16" s="2928"/>
      <c r="AF16" s="2928"/>
      <c r="AG16" s="2928"/>
      <c r="AH16" s="2928"/>
      <c r="AI16" s="2928"/>
      <c r="AJ16" s="2928"/>
      <c r="AK16" s="2928"/>
      <c r="AL16" s="2928"/>
      <c r="AM16" s="2928"/>
      <c r="AN16" s="2928"/>
      <c r="AO16" s="2928"/>
      <c r="AP16" s="2928"/>
      <c r="AQ16" s="2928"/>
      <c r="AR16" s="2928"/>
      <c r="AS16" s="2928"/>
      <c r="AT16" s="2947"/>
      <c r="AU16" s="2948"/>
      <c r="AV16" s="124">
        <f t="shared" si="10"/>
        <v>0</v>
      </c>
      <c r="AW16" s="124">
        <f t="shared" si="10"/>
        <v>0</v>
      </c>
      <c r="AX16" s="124">
        <f t="shared" si="10"/>
        <v>0</v>
      </c>
      <c r="AY16" s="2269">
        <f t="shared" si="11"/>
        <v>0</v>
      </c>
      <c r="AZ16" s="2875">
        <f t="shared" si="12"/>
        <v>0</v>
      </c>
      <c r="BA16" s="2875">
        <f t="shared" si="13"/>
        <v>0</v>
      </c>
      <c r="BB16" s="2875">
        <f t="shared" si="14"/>
        <v>0</v>
      </c>
      <c r="BC16" s="2875">
        <f t="shared" si="15"/>
        <v>0</v>
      </c>
      <c r="BD16" s="2875">
        <f t="shared" si="16"/>
        <v>0</v>
      </c>
      <c r="BE16" s="2875">
        <f t="shared" si="17"/>
        <v>0</v>
      </c>
      <c r="BF16" s="2875">
        <f t="shared" si="18"/>
        <v>0</v>
      </c>
      <c r="BG16" s="2875">
        <f t="shared" si="19"/>
        <v>0</v>
      </c>
      <c r="BH16" s="2875">
        <f t="shared" si="20"/>
        <v>0</v>
      </c>
      <c r="BI16" s="2875">
        <f t="shared" si="21"/>
        <v>0</v>
      </c>
      <c r="BJ16" s="2875">
        <f t="shared" si="22"/>
        <v>0</v>
      </c>
      <c r="BK16" s="2875">
        <f t="shared" si="23"/>
        <v>0</v>
      </c>
      <c r="BL16" s="2875">
        <f t="shared" si="24"/>
        <v>0</v>
      </c>
      <c r="BM16" s="2875">
        <f t="shared" si="25"/>
        <v>0</v>
      </c>
      <c r="BN16" s="2875">
        <f t="shared" si="26"/>
        <v>0</v>
      </c>
      <c r="BO16" s="2875">
        <f t="shared" si="27"/>
        <v>0</v>
      </c>
      <c r="BP16" s="2875">
        <f t="shared" si="28"/>
        <v>0</v>
      </c>
      <c r="BQ16" s="2875">
        <f t="shared" si="29"/>
        <v>0</v>
      </c>
      <c r="BR16" s="2875">
        <f t="shared" si="30"/>
        <v>0</v>
      </c>
      <c r="BS16" s="2875">
        <f t="shared" si="31"/>
        <v>0</v>
      </c>
      <c r="BT16" s="2969">
        <f t="shared" si="32"/>
        <v>0</v>
      </c>
    </row>
    <row r="17" spans="1:72" s="186" customFormat="1" ht="12.75">
      <c r="A17" s="2889"/>
      <c r="B17" s="2889"/>
      <c r="C17" s="2893"/>
      <c r="D17" s="2890"/>
      <c r="E17" s="2875">
        <f t="shared" si="6"/>
        <v>0</v>
      </c>
      <c r="F17" s="2891"/>
      <c r="G17" s="2892">
        <f t="shared" si="7"/>
        <v>0</v>
      </c>
      <c r="H17" s="2878">
        <f t="shared" si="8"/>
        <v>0</v>
      </c>
      <c r="I17" s="2916"/>
      <c r="J17" s="2916"/>
      <c r="K17" s="2916"/>
      <c r="L17" s="2916"/>
      <c r="M17" s="2916"/>
      <c r="N17" s="2917"/>
      <c r="O17" s="2917"/>
      <c r="P17" s="2917"/>
      <c r="Q17" s="2917"/>
      <c r="R17" s="2917"/>
      <c r="S17" s="2917"/>
      <c r="T17" s="2917"/>
      <c r="U17" s="2917"/>
      <c r="V17" s="2917"/>
      <c r="W17" s="2917"/>
      <c r="X17" s="2917"/>
      <c r="Y17" s="2917"/>
      <c r="Z17" s="2917"/>
      <c r="AA17" s="2917"/>
      <c r="AB17" s="2917"/>
      <c r="AC17" s="2875">
        <f t="shared" si="9"/>
        <v>0</v>
      </c>
      <c r="AD17" s="2928"/>
      <c r="AE17" s="2928"/>
      <c r="AF17" s="2928"/>
      <c r="AG17" s="2928"/>
      <c r="AH17" s="2928"/>
      <c r="AI17" s="2928"/>
      <c r="AJ17" s="2928"/>
      <c r="AK17" s="2928"/>
      <c r="AL17" s="2928"/>
      <c r="AM17" s="2928"/>
      <c r="AN17" s="2928"/>
      <c r="AO17" s="2928"/>
      <c r="AP17" s="2928"/>
      <c r="AQ17" s="2928"/>
      <c r="AR17" s="2928"/>
      <c r="AS17" s="2928"/>
      <c r="AT17" s="2947"/>
      <c r="AU17" s="2948"/>
      <c r="AV17" s="124">
        <f t="shared" si="10"/>
        <v>0</v>
      </c>
      <c r="AW17" s="124">
        <f t="shared" si="10"/>
        <v>0</v>
      </c>
      <c r="AX17" s="124">
        <f t="shared" si="10"/>
        <v>0</v>
      </c>
      <c r="AY17" s="2269">
        <f t="shared" si="11"/>
        <v>0</v>
      </c>
      <c r="AZ17" s="2875">
        <f t="shared" si="12"/>
        <v>0</v>
      </c>
      <c r="BA17" s="2875">
        <f t="shared" si="13"/>
        <v>0</v>
      </c>
      <c r="BB17" s="2875">
        <f t="shared" si="14"/>
        <v>0</v>
      </c>
      <c r="BC17" s="2875">
        <f t="shared" si="15"/>
        <v>0</v>
      </c>
      <c r="BD17" s="2875">
        <f t="shared" si="16"/>
        <v>0</v>
      </c>
      <c r="BE17" s="2875">
        <f t="shared" si="17"/>
        <v>0</v>
      </c>
      <c r="BF17" s="2875">
        <f t="shared" si="18"/>
        <v>0</v>
      </c>
      <c r="BG17" s="2875">
        <f t="shared" si="19"/>
        <v>0</v>
      </c>
      <c r="BH17" s="2875">
        <f t="shared" si="20"/>
        <v>0</v>
      </c>
      <c r="BI17" s="2875">
        <f t="shared" si="21"/>
        <v>0</v>
      </c>
      <c r="BJ17" s="2875">
        <f t="shared" si="22"/>
        <v>0</v>
      </c>
      <c r="BK17" s="2875">
        <f t="shared" si="23"/>
        <v>0</v>
      </c>
      <c r="BL17" s="2875">
        <f t="shared" si="24"/>
        <v>0</v>
      </c>
      <c r="BM17" s="2875">
        <f t="shared" si="25"/>
        <v>0</v>
      </c>
      <c r="BN17" s="2875">
        <f t="shared" si="26"/>
        <v>0</v>
      </c>
      <c r="BO17" s="2875">
        <f t="shared" si="27"/>
        <v>0</v>
      </c>
      <c r="BP17" s="2875">
        <f t="shared" si="28"/>
        <v>0</v>
      </c>
      <c r="BQ17" s="2875">
        <f t="shared" si="29"/>
        <v>0</v>
      </c>
      <c r="BR17" s="2875">
        <f t="shared" si="30"/>
        <v>0</v>
      </c>
      <c r="BS17" s="2875">
        <f t="shared" si="31"/>
        <v>0</v>
      </c>
      <c r="BT17" s="2969">
        <f t="shared" si="32"/>
        <v>0</v>
      </c>
    </row>
    <row r="18" spans="1:72">
      <c r="A18" s="2894"/>
      <c r="B18" s="2895"/>
      <c r="C18" s="2895"/>
      <c r="D18" s="2896"/>
      <c r="E18" s="2897">
        <f t="shared" si="6"/>
        <v>0</v>
      </c>
      <c r="F18" s="2898"/>
      <c r="G18" s="2899">
        <f t="shared" si="7"/>
        <v>0</v>
      </c>
      <c r="H18" s="2900">
        <f t="shared" si="8"/>
        <v>0</v>
      </c>
      <c r="I18" s="2902"/>
      <c r="J18" s="2918"/>
      <c r="K18" s="2902"/>
      <c r="L18" s="2918"/>
      <c r="M18" s="2918"/>
      <c r="N18" s="2918"/>
      <c r="O18" s="2918"/>
      <c r="P18" s="2918"/>
      <c r="Q18" s="2918"/>
      <c r="R18" s="2918"/>
      <c r="S18" s="2918"/>
      <c r="T18" s="2918"/>
      <c r="U18" s="2918"/>
      <c r="V18" s="2918"/>
      <c r="W18" s="2918"/>
      <c r="X18" s="2918"/>
      <c r="Y18" s="2918"/>
      <c r="Z18" s="2918"/>
      <c r="AA18" s="2918"/>
      <c r="AB18" s="2918"/>
      <c r="AC18" s="2897">
        <f t="shared" si="9"/>
        <v>0</v>
      </c>
      <c r="AD18" s="2929"/>
      <c r="AE18" s="2929"/>
      <c r="AF18" s="2902"/>
      <c r="AG18" s="2929"/>
      <c r="AH18" s="2929"/>
      <c r="AI18" s="2929"/>
      <c r="AJ18" s="2929"/>
      <c r="AK18" s="2929"/>
      <c r="AL18" s="2919"/>
      <c r="AM18" s="2929"/>
      <c r="AN18" s="2902"/>
      <c r="AO18" s="2929"/>
      <c r="AP18" s="2929"/>
      <c r="AQ18" s="2929"/>
      <c r="AR18" s="2929"/>
      <c r="AS18" s="2929"/>
      <c r="AT18" s="2949"/>
      <c r="AU18" s="2950"/>
      <c r="AV18" s="454">
        <f t="shared" si="10"/>
        <v>0</v>
      </c>
      <c r="AW18" s="454">
        <f t="shared" si="10"/>
        <v>0</v>
      </c>
      <c r="AX18" s="454">
        <f t="shared" si="10"/>
        <v>0</v>
      </c>
      <c r="AY18" s="2966">
        <f t="shared" si="11"/>
        <v>0</v>
      </c>
      <c r="AZ18" s="2897">
        <f t="shared" si="12"/>
        <v>0</v>
      </c>
      <c r="BA18" s="2897">
        <f t="shared" si="13"/>
        <v>0</v>
      </c>
      <c r="BB18" s="2897">
        <f t="shared" si="14"/>
        <v>0</v>
      </c>
      <c r="BC18" s="2897">
        <f t="shared" si="15"/>
        <v>0</v>
      </c>
      <c r="BD18" s="2897">
        <f t="shared" si="16"/>
        <v>0</v>
      </c>
      <c r="BE18" s="2897">
        <f t="shared" si="17"/>
        <v>0</v>
      </c>
      <c r="BF18" s="2897">
        <f t="shared" si="18"/>
        <v>0</v>
      </c>
      <c r="BG18" s="2897">
        <f t="shared" si="19"/>
        <v>0</v>
      </c>
      <c r="BH18" s="2897">
        <f t="shared" si="20"/>
        <v>0</v>
      </c>
      <c r="BI18" s="2897">
        <f t="shared" si="21"/>
        <v>0</v>
      </c>
      <c r="BJ18" s="2897">
        <f t="shared" si="22"/>
        <v>0</v>
      </c>
      <c r="BK18" s="2897">
        <f t="shared" si="23"/>
        <v>0</v>
      </c>
      <c r="BL18" s="2897">
        <f t="shared" si="24"/>
        <v>0</v>
      </c>
      <c r="BM18" s="2897">
        <f t="shared" si="25"/>
        <v>0</v>
      </c>
      <c r="BN18" s="2897">
        <f t="shared" si="26"/>
        <v>0</v>
      </c>
      <c r="BO18" s="2897">
        <f t="shared" si="27"/>
        <v>0</v>
      </c>
      <c r="BP18" s="2897">
        <f t="shared" si="28"/>
        <v>0</v>
      </c>
      <c r="BQ18" s="2897">
        <f t="shared" si="29"/>
        <v>0</v>
      </c>
      <c r="BR18" s="2897">
        <f t="shared" si="30"/>
        <v>0</v>
      </c>
      <c r="BS18" s="2897">
        <f t="shared" si="31"/>
        <v>0</v>
      </c>
      <c r="BT18" s="2971">
        <f t="shared" si="32"/>
        <v>0</v>
      </c>
    </row>
    <row r="19" spans="1:72">
      <c r="A19" s="2894"/>
      <c r="B19" s="2901"/>
      <c r="C19" s="2902"/>
      <c r="D19" s="2903"/>
      <c r="E19" s="2897">
        <f t="shared" si="6"/>
        <v>0</v>
      </c>
      <c r="F19" s="2898"/>
      <c r="G19" s="2899">
        <f t="shared" si="7"/>
        <v>0</v>
      </c>
      <c r="H19" s="2900">
        <f t="shared" si="8"/>
        <v>0</v>
      </c>
      <c r="I19" s="2902"/>
      <c r="J19" s="2918"/>
      <c r="K19" s="2902"/>
      <c r="L19" s="2918"/>
      <c r="M19" s="2918"/>
      <c r="N19" s="2918"/>
      <c r="O19" s="2918"/>
      <c r="P19" s="2918"/>
      <c r="Q19" s="2918"/>
      <c r="R19" s="2918"/>
      <c r="S19" s="2918"/>
      <c r="T19" s="2918"/>
      <c r="U19" s="2918"/>
      <c r="V19" s="2918"/>
      <c r="W19" s="2918"/>
      <c r="X19" s="2918"/>
      <c r="Y19" s="2918"/>
      <c r="Z19" s="2918"/>
      <c r="AA19" s="2918"/>
      <c r="AB19" s="2918"/>
      <c r="AC19" s="2897">
        <f t="shared" si="9"/>
        <v>0</v>
      </c>
      <c r="AD19" s="2929"/>
      <c r="AE19" s="2929"/>
      <c r="AF19" s="2902"/>
      <c r="AG19" s="2929"/>
      <c r="AH19" s="2929"/>
      <c r="AI19" s="2929"/>
      <c r="AJ19" s="2929"/>
      <c r="AK19" s="2929"/>
      <c r="AL19" s="2929"/>
      <c r="AM19" s="2929"/>
      <c r="AN19" s="2902"/>
      <c r="AO19" s="2929"/>
      <c r="AP19" s="2929"/>
      <c r="AQ19" s="2929"/>
      <c r="AR19" s="2929"/>
      <c r="AS19" s="2929"/>
      <c r="AT19" s="2949"/>
      <c r="AU19" s="2950"/>
      <c r="AV19" s="454">
        <f t="shared" si="10"/>
        <v>0</v>
      </c>
      <c r="AW19" s="454">
        <f t="shared" si="10"/>
        <v>0</v>
      </c>
      <c r="AX19" s="454">
        <f t="shared" si="10"/>
        <v>0</v>
      </c>
      <c r="AY19" s="2966">
        <f t="shared" si="11"/>
        <v>0</v>
      </c>
      <c r="AZ19" s="2897">
        <f t="shared" si="12"/>
        <v>0</v>
      </c>
      <c r="BA19" s="2897">
        <f t="shared" si="13"/>
        <v>0</v>
      </c>
      <c r="BB19" s="2897">
        <f t="shared" si="14"/>
        <v>0</v>
      </c>
      <c r="BC19" s="2897">
        <f t="shared" si="15"/>
        <v>0</v>
      </c>
      <c r="BD19" s="2897">
        <f t="shared" si="16"/>
        <v>0</v>
      </c>
      <c r="BE19" s="2897">
        <f t="shared" si="17"/>
        <v>0</v>
      </c>
      <c r="BF19" s="2897">
        <f t="shared" si="18"/>
        <v>0</v>
      </c>
      <c r="BG19" s="2897">
        <f t="shared" si="19"/>
        <v>0</v>
      </c>
      <c r="BH19" s="2897">
        <f t="shared" si="20"/>
        <v>0</v>
      </c>
      <c r="BI19" s="2897">
        <f t="shared" si="21"/>
        <v>0</v>
      </c>
      <c r="BJ19" s="2897">
        <f t="shared" si="22"/>
        <v>0</v>
      </c>
      <c r="BK19" s="2897">
        <f t="shared" si="23"/>
        <v>0</v>
      </c>
      <c r="BL19" s="2897">
        <f t="shared" si="24"/>
        <v>0</v>
      </c>
      <c r="BM19" s="2897">
        <f t="shared" si="25"/>
        <v>0</v>
      </c>
      <c r="BN19" s="2897">
        <f t="shared" si="26"/>
        <v>0</v>
      </c>
      <c r="BO19" s="2897">
        <f t="shared" si="27"/>
        <v>0</v>
      </c>
      <c r="BP19" s="2897">
        <f t="shared" si="28"/>
        <v>0</v>
      </c>
      <c r="BQ19" s="2897">
        <f t="shared" si="29"/>
        <v>0</v>
      </c>
      <c r="BR19" s="2897">
        <f t="shared" si="30"/>
        <v>0</v>
      </c>
      <c r="BS19" s="2897">
        <f t="shared" si="31"/>
        <v>0</v>
      </c>
      <c r="BT19" s="2971">
        <f t="shared" si="32"/>
        <v>0</v>
      </c>
    </row>
    <row r="20" spans="1:72">
      <c r="A20" s="2894"/>
      <c r="B20" s="2901"/>
      <c r="C20" s="2902"/>
      <c r="D20" s="2903"/>
      <c r="E20" s="2897">
        <f t="shared" si="6"/>
        <v>0</v>
      </c>
      <c r="F20" s="2898"/>
      <c r="G20" s="2899">
        <f t="shared" si="7"/>
        <v>0</v>
      </c>
      <c r="H20" s="2900">
        <f t="shared" si="8"/>
        <v>0</v>
      </c>
      <c r="I20" s="2902"/>
      <c r="J20" s="2918"/>
      <c r="K20" s="2902"/>
      <c r="L20" s="2918"/>
      <c r="M20" s="2918"/>
      <c r="N20" s="2918"/>
      <c r="O20" s="2918"/>
      <c r="P20" s="2918"/>
      <c r="Q20" s="2918"/>
      <c r="R20" s="2918"/>
      <c r="S20" s="2918"/>
      <c r="T20" s="2918"/>
      <c r="U20" s="2918"/>
      <c r="V20" s="2918"/>
      <c r="W20" s="2918"/>
      <c r="X20" s="2918"/>
      <c r="Y20" s="2918"/>
      <c r="Z20" s="2918"/>
      <c r="AA20" s="2918"/>
      <c r="AB20" s="2918"/>
      <c r="AC20" s="2897">
        <f t="shared" si="9"/>
        <v>0</v>
      </c>
      <c r="AD20" s="2929"/>
      <c r="AE20" s="2929"/>
      <c r="AF20" s="2902"/>
      <c r="AG20" s="2929"/>
      <c r="AH20" s="2929"/>
      <c r="AI20" s="2929"/>
      <c r="AJ20" s="2929"/>
      <c r="AK20" s="2929"/>
      <c r="AL20" s="2929"/>
      <c r="AM20" s="2929"/>
      <c r="AN20" s="2902"/>
      <c r="AO20" s="2929"/>
      <c r="AP20" s="2929"/>
      <c r="AQ20" s="2929"/>
      <c r="AR20" s="2929"/>
      <c r="AS20" s="2929"/>
      <c r="AT20" s="2949"/>
      <c r="AU20" s="2950"/>
      <c r="AV20" s="454">
        <f t="shared" si="10"/>
        <v>0</v>
      </c>
      <c r="AW20" s="454">
        <f t="shared" si="10"/>
        <v>0</v>
      </c>
      <c r="AX20" s="454">
        <f t="shared" si="10"/>
        <v>0</v>
      </c>
      <c r="AY20" s="2966">
        <f t="shared" si="11"/>
        <v>0</v>
      </c>
      <c r="AZ20" s="2897">
        <f t="shared" si="12"/>
        <v>0</v>
      </c>
      <c r="BA20" s="2897">
        <f t="shared" si="13"/>
        <v>0</v>
      </c>
      <c r="BB20" s="2897">
        <f t="shared" si="14"/>
        <v>0</v>
      </c>
      <c r="BC20" s="2897">
        <f t="shared" si="15"/>
        <v>0</v>
      </c>
      <c r="BD20" s="2897">
        <f t="shared" si="16"/>
        <v>0</v>
      </c>
      <c r="BE20" s="2897">
        <f t="shared" si="17"/>
        <v>0</v>
      </c>
      <c r="BF20" s="2897">
        <f t="shared" si="18"/>
        <v>0</v>
      </c>
      <c r="BG20" s="2897">
        <f t="shared" si="19"/>
        <v>0</v>
      </c>
      <c r="BH20" s="2897">
        <f t="shared" si="20"/>
        <v>0</v>
      </c>
      <c r="BI20" s="2897">
        <f t="shared" si="21"/>
        <v>0</v>
      </c>
      <c r="BJ20" s="2897">
        <f t="shared" si="22"/>
        <v>0</v>
      </c>
      <c r="BK20" s="2897">
        <f t="shared" si="23"/>
        <v>0</v>
      </c>
      <c r="BL20" s="2897">
        <f t="shared" si="24"/>
        <v>0</v>
      </c>
      <c r="BM20" s="2897">
        <f t="shared" si="25"/>
        <v>0</v>
      </c>
      <c r="BN20" s="2897">
        <f t="shared" si="26"/>
        <v>0</v>
      </c>
      <c r="BO20" s="2897">
        <f t="shared" si="27"/>
        <v>0</v>
      </c>
      <c r="BP20" s="2897">
        <f t="shared" si="28"/>
        <v>0</v>
      </c>
      <c r="BQ20" s="2897">
        <f t="shared" si="29"/>
        <v>0</v>
      </c>
      <c r="BR20" s="2897">
        <f t="shared" si="30"/>
        <v>0</v>
      </c>
      <c r="BS20" s="2897">
        <f t="shared" si="31"/>
        <v>0</v>
      </c>
      <c r="BT20" s="2971">
        <f t="shared" si="32"/>
        <v>0</v>
      </c>
    </row>
    <row r="21" spans="1:72">
      <c r="A21" s="2894"/>
      <c r="B21" s="2904"/>
      <c r="C21" s="2902"/>
      <c r="D21" s="2903"/>
      <c r="E21" s="2897">
        <f t="shared" ref="E21:E112" si="33">IF($C$3="是",ROUND($A$3*G21/$B$3,2),ROUND($A$3*(G21-AT21)/$B$3,2))</f>
        <v>0</v>
      </c>
      <c r="F21" s="2898"/>
      <c r="G21" s="2899">
        <f t="shared" ref="G21:G109" si="34">H21+AC21+AT21</f>
        <v>0</v>
      </c>
      <c r="H21" s="2900">
        <f t="shared" ref="H21:H109" si="35">SUMIF(I$12:AB$12,"总值",I21:AB21)</f>
        <v>0</v>
      </c>
      <c r="I21" s="2906"/>
      <c r="J21" s="2918"/>
      <c r="K21" s="2906"/>
      <c r="L21" s="2918"/>
      <c r="M21" s="2918"/>
      <c r="N21" s="2918"/>
      <c r="O21" s="2918"/>
      <c r="P21" s="2918"/>
      <c r="Q21" s="2918"/>
      <c r="R21" s="2918"/>
      <c r="S21" s="2918"/>
      <c r="T21" s="2918"/>
      <c r="U21" s="2918"/>
      <c r="V21" s="2918"/>
      <c r="W21" s="2918"/>
      <c r="X21" s="2918"/>
      <c r="Y21" s="2918"/>
      <c r="Z21" s="2918"/>
      <c r="AA21" s="2918"/>
      <c r="AB21" s="2918"/>
      <c r="AC21" s="2897">
        <f t="shared" ref="AC21:AC109" si="36">SUMIF(AD$12:AS$12,"总值",AD21:AS21)</f>
        <v>0</v>
      </c>
      <c r="AD21" s="2929"/>
      <c r="AE21" s="2929"/>
      <c r="AF21" s="2930"/>
      <c r="AG21" s="2929"/>
      <c r="AH21" s="2929"/>
      <c r="AI21" s="2929"/>
      <c r="AJ21" s="2929"/>
      <c r="AK21" s="2929"/>
      <c r="AL21" s="2929"/>
      <c r="AM21" s="2929"/>
      <c r="AN21" s="2919"/>
      <c r="AO21" s="2929"/>
      <c r="AP21" s="2929"/>
      <c r="AQ21" s="2929"/>
      <c r="AR21" s="2929"/>
      <c r="AS21" s="2929"/>
      <c r="AT21" s="2949"/>
      <c r="AU21" s="2950"/>
      <c r="AV21" s="454">
        <f t="shared" ref="AV21:AV112" si="37">A21</f>
        <v>0</v>
      </c>
      <c r="AW21" s="454">
        <f t="shared" ref="AW21:AW112" si="38">B21</f>
        <v>0</v>
      </c>
      <c r="AX21" s="454">
        <f t="shared" ref="AX21:AX112" si="39">C21</f>
        <v>0</v>
      </c>
      <c r="AY21" s="2966">
        <f t="shared" ref="AY21:AY109" si="40">ROUND($AY$6*AZ21/$AZ$5,2)</f>
        <v>0</v>
      </c>
      <c r="AZ21" s="2897">
        <f t="shared" ref="AZ21:AZ109" si="41">BA21+BL21</f>
        <v>0</v>
      </c>
      <c r="BA21" s="2897">
        <f t="shared" ref="BA21:BA109" si="42">SUM(BB21:BK21)</f>
        <v>0</v>
      </c>
      <c r="BB21" s="2897">
        <f t="shared" ref="BB21:BB109" si="43">IF($D21="是",I21-J21,0)</f>
        <v>0</v>
      </c>
      <c r="BC21" s="2897">
        <f t="shared" ref="BC21:BC109" si="44">IF($D21="是",K21-L21,0)</f>
        <v>0</v>
      </c>
      <c r="BD21" s="2897">
        <f t="shared" ref="BD21:BD109" si="45">IF($D21="是",M21-N21,0)</f>
        <v>0</v>
      </c>
      <c r="BE21" s="2897">
        <f t="shared" ref="BE21:BE109" si="46">IF($D21="是",O21-P21,0)</f>
        <v>0</v>
      </c>
      <c r="BF21" s="2897">
        <f t="shared" ref="BF21:BF109" si="47">IF($D21="是",Q21-R21,0)</f>
        <v>0</v>
      </c>
      <c r="BG21" s="2897">
        <f t="shared" ref="BG21:BG109" si="48">IF($D21="是",S21-T21,0)</f>
        <v>0</v>
      </c>
      <c r="BH21" s="2897">
        <f t="shared" ref="BH21:BH109" si="49">IF($D21="是",U21-V21,0)</f>
        <v>0</v>
      </c>
      <c r="BI21" s="2897">
        <f t="shared" ref="BI21:BI109" si="50">IF($D21="是",W21-X21,0)</f>
        <v>0</v>
      </c>
      <c r="BJ21" s="2897">
        <f t="shared" ref="BJ21:BJ109" si="51">IF($D21="是",Y21-Z21,0)</f>
        <v>0</v>
      </c>
      <c r="BK21" s="2897">
        <f t="shared" ref="BK21:BK109" si="52">IF($D21="是",AA21-AB21,0)</f>
        <v>0</v>
      </c>
      <c r="BL21" s="2897">
        <f t="shared" ref="BL21:BL109" si="53">SUM(BM21:BT21)</f>
        <v>0</v>
      </c>
      <c r="BM21" s="2897">
        <f t="shared" ref="BM21:BM109" si="54">IF($D21="是",AD21-AE21,0)</f>
        <v>0</v>
      </c>
      <c r="BN21" s="2897">
        <f t="shared" ref="BN21:BN109" si="55">IF($D21="是",AF21-AG21,0)</f>
        <v>0</v>
      </c>
      <c r="BO21" s="2897">
        <f t="shared" ref="BO21:BO109" si="56">IF($D21="是",AH21-AI21,0)</f>
        <v>0</v>
      </c>
      <c r="BP21" s="2897">
        <f t="shared" ref="BP21:BP109" si="57">IF($D21="是",AJ21-AK21,0)</f>
        <v>0</v>
      </c>
      <c r="BQ21" s="2897">
        <f t="shared" ref="BQ21:BQ109" si="58">IF($D21="是",AL21-AM21,0)</f>
        <v>0</v>
      </c>
      <c r="BR21" s="2897">
        <f t="shared" ref="BR21:BR109" si="59">IF($D21="是",AN21-AO21,0)</f>
        <v>0</v>
      </c>
      <c r="BS21" s="2897">
        <f t="shared" ref="BS21:BS109" si="60">IF($D21="是",AP21-AQ21,0)</f>
        <v>0</v>
      </c>
      <c r="BT21" s="2971">
        <f t="shared" ref="BT21:BT109" si="61">IF($D21="是",AR21-AS21,0)</f>
        <v>0</v>
      </c>
    </row>
    <row r="22" spans="1:72">
      <c r="A22" s="2894"/>
      <c r="B22" s="2904"/>
      <c r="C22" s="2902"/>
      <c r="D22" s="2903"/>
      <c r="E22" s="2897">
        <f t="shared" si="33"/>
        <v>0</v>
      </c>
      <c r="F22" s="2898"/>
      <c r="G22" s="2899">
        <f t="shared" si="34"/>
        <v>0</v>
      </c>
      <c r="H22" s="2900">
        <f t="shared" si="35"/>
        <v>0</v>
      </c>
      <c r="I22" s="2906"/>
      <c r="J22" s="2918"/>
      <c r="K22" s="2906"/>
      <c r="L22" s="2918"/>
      <c r="M22" s="2919"/>
      <c r="N22" s="2918"/>
      <c r="O22" s="2918"/>
      <c r="P22" s="2918"/>
      <c r="Q22" s="2918"/>
      <c r="R22" s="2918"/>
      <c r="S22" s="2918"/>
      <c r="T22" s="2918"/>
      <c r="U22" s="2918"/>
      <c r="V22" s="2918"/>
      <c r="W22" s="2918"/>
      <c r="X22" s="2918"/>
      <c r="Y22" s="2918"/>
      <c r="Z22" s="2918"/>
      <c r="AA22" s="2918"/>
      <c r="AB22" s="2918"/>
      <c r="AC22" s="2897">
        <f t="shared" si="36"/>
        <v>0</v>
      </c>
      <c r="AD22" s="2919"/>
      <c r="AE22" s="2929"/>
      <c r="AF22" s="2930"/>
      <c r="AG22" s="2929"/>
      <c r="AH22" s="2929"/>
      <c r="AI22" s="2929"/>
      <c r="AJ22" s="2929"/>
      <c r="AK22" s="2929"/>
      <c r="AL22" s="2919"/>
      <c r="AM22" s="2929"/>
      <c r="AN22" s="2919"/>
      <c r="AO22" s="2929"/>
      <c r="AP22" s="2929"/>
      <c r="AQ22" s="2929"/>
      <c r="AR22" s="2929"/>
      <c r="AS22" s="2929"/>
      <c r="AT22" s="2949"/>
      <c r="AU22" s="2950"/>
      <c r="AV22" s="454">
        <f t="shared" si="37"/>
        <v>0</v>
      </c>
      <c r="AW22" s="454">
        <f t="shared" si="38"/>
        <v>0</v>
      </c>
      <c r="AX22" s="454">
        <f t="shared" si="39"/>
        <v>0</v>
      </c>
      <c r="AY22" s="2966">
        <f t="shared" si="40"/>
        <v>0</v>
      </c>
      <c r="AZ22" s="2897">
        <f t="shared" si="41"/>
        <v>0</v>
      </c>
      <c r="BA22" s="2897">
        <f t="shared" si="42"/>
        <v>0</v>
      </c>
      <c r="BB22" s="2897">
        <f t="shared" si="43"/>
        <v>0</v>
      </c>
      <c r="BC22" s="2897">
        <f t="shared" si="44"/>
        <v>0</v>
      </c>
      <c r="BD22" s="2897">
        <f t="shared" si="45"/>
        <v>0</v>
      </c>
      <c r="BE22" s="2897">
        <f t="shared" si="46"/>
        <v>0</v>
      </c>
      <c r="BF22" s="2897">
        <f t="shared" si="47"/>
        <v>0</v>
      </c>
      <c r="BG22" s="2897">
        <f t="shared" si="48"/>
        <v>0</v>
      </c>
      <c r="BH22" s="2897">
        <f t="shared" si="49"/>
        <v>0</v>
      </c>
      <c r="BI22" s="2897">
        <f t="shared" si="50"/>
        <v>0</v>
      </c>
      <c r="BJ22" s="2897">
        <f t="shared" si="51"/>
        <v>0</v>
      </c>
      <c r="BK22" s="2897">
        <f t="shared" si="52"/>
        <v>0</v>
      </c>
      <c r="BL22" s="2897">
        <f t="shared" si="53"/>
        <v>0</v>
      </c>
      <c r="BM22" s="2897">
        <f t="shared" si="54"/>
        <v>0</v>
      </c>
      <c r="BN22" s="2897">
        <f t="shared" si="55"/>
        <v>0</v>
      </c>
      <c r="BO22" s="2897">
        <f t="shared" si="56"/>
        <v>0</v>
      </c>
      <c r="BP22" s="2897">
        <f t="shared" si="57"/>
        <v>0</v>
      </c>
      <c r="BQ22" s="2897">
        <f t="shared" si="58"/>
        <v>0</v>
      </c>
      <c r="BR22" s="2897">
        <f t="shared" si="59"/>
        <v>0</v>
      </c>
      <c r="BS22" s="2897">
        <f t="shared" si="60"/>
        <v>0</v>
      </c>
      <c r="BT22" s="2971">
        <f t="shared" si="61"/>
        <v>0</v>
      </c>
    </row>
    <row r="23" spans="1:72">
      <c r="A23" s="2894"/>
      <c r="B23" s="2904"/>
      <c r="C23" s="2902"/>
      <c r="D23" s="2903"/>
      <c r="E23" s="2897">
        <f t="shared" si="33"/>
        <v>0</v>
      </c>
      <c r="F23" s="2898"/>
      <c r="G23" s="2899">
        <f t="shared" si="34"/>
        <v>0</v>
      </c>
      <c r="H23" s="2900">
        <f t="shared" si="35"/>
        <v>0</v>
      </c>
      <c r="I23" s="2906"/>
      <c r="J23" s="2918"/>
      <c r="K23" s="2906"/>
      <c r="L23" s="2918"/>
      <c r="M23" s="2919"/>
      <c r="N23" s="2918"/>
      <c r="O23" s="2918"/>
      <c r="P23" s="2918"/>
      <c r="Q23" s="2918"/>
      <c r="R23" s="2918"/>
      <c r="S23" s="2918"/>
      <c r="T23" s="2918"/>
      <c r="U23" s="2918"/>
      <c r="V23" s="2918"/>
      <c r="W23" s="2918"/>
      <c r="X23" s="2918"/>
      <c r="Y23" s="2918"/>
      <c r="Z23" s="2918"/>
      <c r="AA23" s="2918"/>
      <c r="AB23" s="2918"/>
      <c r="AC23" s="2897">
        <f t="shared" si="36"/>
        <v>0</v>
      </c>
      <c r="AD23" s="2929"/>
      <c r="AE23" s="2929"/>
      <c r="AF23" s="2930"/>
      <c r="AG23" s="2929"/>
      <c r="AH23" s="2929"/>
      <c r="AI23" s="2929"/>
      <c r="AJ23" s="2929"/>
      <c r="AK23" s="2929"/>
      <c r="AL23" s="2919"/>
      <c r="AM23" s="2929"/>
      <c r="AN23" s="2919"/>
      <c r="AO23" s="2929"/>
      <c r="AP23" s="2929"/>
      <c r="AQ23" s="2929"/>
      <c r="AR23" s="2929"/>
      <c r="AS23" s="2929"/>
      <c r="AT23" s="2949"/>
      <c r="AU23" s="2950"/>
      <c r="AV23" s="454">
        <f t="shared" si="37"/>
        <v>0</v>
      </c>
      <c r="AW23" s="454">
        <f t="shared" si="38"/>
        <v>0</v>
      </c>
      <c r="AX23" s="454">
        <f t="shared" si="39"/>
        <v>0</v>
      </c>
      <c r="AY23" s="2966">
        <f t="shared" si="40"/>
        <v>0</v>
      </c>
      <c r="AZ23" s="2897">
        <f t="shared" si="41"/>
        <v>0</v>
      </c>
      <c r="BA23" s="2897">
        <f t="shared" si="42"/>
        <v>0</v>
      </c>
      <c r="BB23" s="2897">
        <f t="shared" si="43"/>
        <v>0</v>
      </c>
      <c r="BC23" s="2897">
        <f t="shared" si="44"/>
        <v>0</v>
      </c>
      <c r="BD23" s="2897">
        <f t="shared" si="45"/>
        <v>0</v>
      </c>
      <c r="BE23" s="2897">
        <f t="shared" si="46"/>
        <v>0</v>
      </c>
      <c r="BF23" s="2897">
        <f t="shared" si="47"/>
        <v>0</v>
      </c>
      <c r="BG23" s="2897">
        <f t="shared" si="48"/>
        <v>0</v>
      </c>
      <c r="BH23" s="2897">
        <f t="shared" si="49"/>
        <v>0</v>
      </c>
      <c r="BI23" s="2897">
        <f t="shared" si="50"/>
        <v>0</v>
      </c>
      <c r="BJ23" s="2897">
        <f t="shared" si="51"/>
        <v>0</v>
      </c>
      <c r="BK23" s="2897">
        <f t="shared" si="52"/>
        <v>0</v>
      </c>
      <c r="BL23" s="2897">
        <f t="shared" si="53"/>
        <v>0</v>
      </c>
      <c r="BM23" s="2897">
        <f t="shared" si="54"/>
        <v>0</v>
      </c>
      <c r="BN23" s="2897">
        <f t="shared" si="55"/>
        <v>0</v>
      </c>
      <c r="BO23" s="2897">
        <f t="shared" si="56"/>
        <v>0</v>
      </c>
      <c r="BP23" s="2897">
        <f t="shared" si="57"/>
        <v>0</v>
      </c>
      <c r="BQ23" s="2897">
        <f t="shared" si="58"/>
        <v>0</v>
      </c>
      <c r="BR23" s="2897">
        <f t="shared" si="59"/>
        <v>0</v>
      </c>
      <c r="BS23" s="2897">
        <f t="shared" si="60"/>
        <v>0</v>
      </c>
      <c r="BT23" s="2971">
        <f t="shared" si="61"/>
        <v>0</v>
      </c>
    </row>
    <row r="24" spans="1:72">
      <c r="A24" s="2894"/>
      <c r="B24" s="2904"/>
      <c r="C24" s="2902"/>
      <c r="D24" s="2903"/>
      <c r="E24" s="2897">
        <f t="shared" si="33"/>
        <v>0</v>
      </c>
      <c r="F24" s="2898"/>
      <c r="G24" s="2899">
        <f t="shared" si="34"/>
        <v>0</v>
      </c>
      <c r="H24" s="2900">
        <f t="shared" si="35"/>
        <v>0</v>
      </c>
      <c r="I24" s="2906"/>
      <c r="J24" s="2918"/>
      <c r="K24" s="2906"/>
      <c r="L24" s="2918"/>
      <c r="M24" s="2918"/>
      <c r="N24" s="2918"/>
      <c r="O24" s="2919"/>
      <c r="P24" s="2918"/>
      <c r="Q24" s="2918"/>
      <c r="R24" s="2918"/>
      <c r="S24" s="2918"/>
      <c r="T24" s="2918"/>
      <c r="U24" s="2918"/>
      <c r="V24" s="2918"/>
      <c r="W24" s="2918"/>
      <c r="X24" s="2918"/>
      <c r="Y24" s="2918"/>
      <c r="Z24" s="2918"/>
      <c r="AA24" s="2918"/>
      <c r="AB24" s="2918"/>
      <c r="AC24" s="2897">
        <f t="shared" si="36"/>
        <v>0</v>
      </c>
      <c r="AD24" s="2929"/>
      <c r="AE24" s="2929"/>
      <c r="AF24" s="2930"/>
      <c r="AG24" s="2929"/>
      <c r="AH24" s="2929"/>
      <c r="AI24" s="2929"/>
      <c r="AJ24" s="2929"/>
      <c r="AK24" s="2929"/>
      <c r="AL24" s="2929"/>
      <c r="AM24" s="2929"/>
      <c r="AN24" s="2919"/>
      <c r="AO24" s="2929"/>
      <c r="AP24" s="2929"/>
      <c r="AQ24" s="2929"/>
      <c r="AR24" s="2929"/>
      <c r="AS24" s="2929"/>
      <c r="AT24" s="2949"/>
      <c r="AU24" s="2950"/>
      <c r="AV24" s="454">
        <f t="shared" si="37"/>
        <v>0</v>
      </c>
      <c r="AW24" s="454">
        <f t="shared" si="38"/>
        <v>0</v>
      </c>
      <c r="AX24" s="454">
        <f t="shared" si="39"/>
        <v>0</v>
      </c>
      <c r="AY24" s="2966">
        <f t="shared" si="40"/>
        <v>0</v>
      </c>
      <c r="AZ24" s="2897">
        <f t="shared" si="41"/>
        <v>0</v>
      </c>
      <c r="BA24" s="2897">
        <f t="shared" si="42"/>
        <v>0</v>
      </c>
      <c r="BB24" s="2897">
        <f t="shared" si="43"/>
        <v>0</v>
      </c>
      <c r="BC24" s="2897">
        <f t="shared" si="44"/>
        <v>0</v>
      </c>
      <c r="BD24" s="2897">
        <f t="shared" si="45"/>
        <v>0</v>
      </c>
      <c r="BE24" s="2897">
        <f t="shared" si="46"/>
        <v>0</v>
      </c>
      <c r="BF24" s="2897">
        <f t="shared" si="47"/>
        <v>0</v>
      </c>
      <c r="BG24" s="2897">
        <f t="shared" si="48"/>
        <v>0</v>
      </c>
      <c r="BH24" s="2897">
        <f t="shared" si="49"/>
        <v>0</v>
      </c>
      <c r="BI24" s="2897">
        <f t="shared" si="50"/>
        <v>0</v>
      </c>
      <c r="BJ24" s="2897">
        <f t="shared" si="51"/>
        <v>0</v>
      </c>
      <c r="BK24" s="2897">
        <f t="shared" si="52"/>
        <v>0</v>
      </c>
      <c r="BL24" s="2897">
        <f t="shared" si="53"/>
        <v>0</v>
      </c>
      <c r="BM24" s="2897">
        <f t="shared" si="54"/>
        <v>0</v>
      </c>
      <c r="BN24" s="2897">
        <f t="shared" si="55"/>
        <v>0</v>
      </c>
      <c r="BO24" s="2897">
        <f t="shared" si="56"/>
        <v>0</v>
      </c>
      <c r="BP24" s="2897">
        <f t="shared" si="57"/>
        <v>0</v>
      </c>
      <c r="BQ24" s="2897">
        <f t="shared" si="58"/>
        <v>0</v>
      </c>
      <c r="BR24" s="2897">
        <f t="shared" si="59"/>
        <v>0</v>
      </c>
      <c r="BS24" s="2897">
        <f t="shared" si="60"/>
        <v>0</v>
      </c>
      <c r="BT24" s="2971">
        <f t="shared" si="61"/>
        <v>0</v>
      </c>
    </row>
    <row r="25" spans="1:72">
      <c r="A25" s="2894"/>
      <c r="B25" s="2904"/>
      <c r="C25" s="2902"/>
      <c r="D25" s="2903"/>
      <c r="E25" s="2897">
        <f t="shared" si="33"/>
        <v>0</v>
      </c>
      <c r="F25" s="2898"/>
      <c r="G25" s="2899">
        <f t="shared" si="34"/>
        <v>0</v>
      </c>
      <c r="H25" s="2900">
        <f t="shared" si="35"/>
        <v>0</v>
      </c>
      <c r="I25" s="2906"/>
      <c r="J25" s="2918"/>
      <c r="K25" s="2906"/>
      <c r="L25" s="2918"/>
      <c r="M25" s="2918"/>
      <c r="N25" s="2918"/>
      <c r="O25" s="2918"/>
      <c r="P25" s="2918"/>
      <c r="Q25" s="2918"/>
      <c r="R25" s="2918"/>
      <c r="S25" s="2918"/>
      <c r="T25" s="2918"/>
      <c r="U25" s="2918"/>
      <c r="V25" s="2918"/>
      <c r="W25" s="2918"/>
      <c r="X25" s="2918"/>
      <c r="Y25" s="2918"/>
      <c r="Z25" s="2918"/>
      <c r="AA25" s="2918"/>
      <c r="AB25" s="2918"/>
      <c r="AC25" s="2897">
        <f t="shared" si="36"/>
        <v>0</v>
      </c>
      <c r="AD25" s="2929"/>
      <c r="AE25" s="2929"/>
      <c r="AF25" s="2930"/>
      <c r="AG25" s="2929"/>
      <c r="AH25" s="2929"/>
      <c r="AI25" s="2929"/>
      <c r="AJ25" s="2929"/>
      <c r="AK25" s="2929"/>
      <c r="AL25" s="2929"/>
      <c r="AM25" s="2929"/>
      <c r="AN25" s="2929"/>
      <c r="AO25" s="2929"/>
      <c r="AP25" s="2929"/>
      <c r="AQ25" s="2929"/>
      <c r="AR25" s="2929"/>
      <c r="AS25" s="2929"/>
      <c r="AT25" s="2949"/>
      <c r="AU25" s="2950"/>
      <c r="AV25" s="454">
        <f t="shared" si="37"/>
        <v>0</v>
      </c>
      <c r="AW25" s="454">
        <f t="shared" si="38"/>
        <v>0</v>
      </c>
      <c r="AX25" s="454">
        <f t="shared" si="39"/>
        <v>0</v>
      </c>
      <c r="AY25" s="2966">
        <f t="shared" si="40"/>
        <v>0</v>
      </c>
      <c r="AZ25" s="2897">
        <f t="shared" si="41"/>
        <v>0</v>
      </c>
      <c r="BA25" s="2897">
        <f t="shared" si="42"/>
        <v>0</v>
      </c>
      <c r="BB25" s="2897">
        <f t="shared" si="43"/>
        <v>0</v>
      </c>
      <c r="BC25" s="2897">
        <f t="shared" si="44"/>
        <v>0</v>
      </c>
      <c r="BD25" s="2897">
        <f t="shared" si="45"/>
        <v>0</v>
      </c>
      <c r="BE25" s="2897">
        <f t="shared" si="46"/>
        <v>0</v>
      </c>
      <c r="BF25" s="2897">
        <f t="shared" si="47"/>
        <v>0</v>
      </c>
      <c r="BG25" s="2897">
        <f t="shared" si="48"/>
        <v>0</v>
      </c>
      <c r="BH25" s="2897">
        <f t="shared" si="49"/>
        <v>0</v>
      </c>
      <c r="BI25" s="2897">
        <f t="shared" si="50"/>
        <v>0</v>
      </c>
      <c r="BJ25" s="2897">
        <f t="shared" si="51"/>
        <v>0</v>
      </c>
      <c r="BK25" s="2897">
        <f t="shared" si="52"/>
        <v>0</v>
      </c>
      <c r="BL25" s="2897">
        <f t="shared" si="53"/>
        <v>0</v>
      </c>
      <c r="BM25" s="2897">
        <f t="shared" si="54"/>
        <v>0</v>
      </c>
      <c r="BN25" s="2897">
        <f t="shared" si="55"/>
        <v>0</v>
      </c>
      <c r="BO25" s="2897">
        <f t="shared" si="56"/>
        <v>0</v>
      </c>
      <c r="BP25" s="2897">
        <f t="shared" si="57"/>
        <v>0</v>
      </c>
      <c r="BQ25" s="2897">
        <f t="shared" si="58"/>
        <v>0</v>
      </c>
      <c r="BR25" s="2897">
        <f t="shared" si="59"/>
        <v>0</v>
      </c>
      <c r="BS25" s="2897">
        <f t="shared" si="60"/>
        <v>0</v>
      </c>
      <c r="BT25" s="2971">
        <f t="shared" si="61"/>
        <v>0</v>
      </c>
    </row>
    <row r="26" spans="1:72">
      <c r="A26" s="2894"/>
      <c r="B26" s="2904"/>
      <c r="C26" s="2902"/>
      <c r="D26" s="2903"/>
      <c r="E26" s="2897">
        <f t="shared" si="33"/>
        <v>0</v>
      </c>
      <c r="F26" s="2898"/>
      <c r="G26" s="2899">
        <f t="shared" si="34"/>
        <v>0</v>
      </c>
      <c r="H26" s="2900">
        <f t="shared" si="35"/>
        <v>0</v>
      </c>
      <c r="I26" s="2906"/>
      <c r="J26" s="2918"/>
      <c r="K26" s="2906"/>
      <c r="L26" s="2918"/>
      <c r="M26" s="2918"/>
      <c r="N26" s="2918"/>
      <c r="O26" s="2918"/>
      <c r="P26" s="2918"/>
      <c r="Q26" s="2918"/>
      <c r="R26" s="2918"/>
      <c r="S26" s="2918"/>
      <c r="T26" s="2918"/>
      <c r="U26" s="2918"/>
      <c r="V26" s="2918"/>
      <c r="W26" s="2918"/>
      <c r="X26" s="2918"/>
      <c r="Y26" s="2918"/>
      <c r="Z26" s="2918"/>
      <c r="AA26" s="2918"/>
      <c r="AB26" s="2918"/>
      <c r="AC26" s="2897">
        <f t="shared" si="36"/>
        <v>0</v>
      </c>
      <c r="AD26" s="2929"/>
      <c r="AE26" s="2929"/>
      <c r="AF26" s="2930"/>
      <c r="AG26" s="2929"/>
      <c r="AH26" s="2929"/>
      <c r="AI26" s="2929"/>
      <c r="AJ26" s="2929"/>
      <c r="AK26" s="2929"/>
      <c r="AL26" s="2929"/>
      <c r="AM26" s="2929"/>
      <c r="AN26" s="2929"/>
      <c r="AO26" s="2929"/>
      <c r="AP26" s="2929"/>
      <c r="AQ26" s="2929"/>
      <c r="AR26" s="2929"/>
      <c r="AS26" s="2929"/>
      <c r="AT26" s="2949"/>
      <c r="AU26" s="2950"/>
      <c r="AV26" s="454">
        <f t="shared" si="37"/>
        <v>0</v>
      </c>
      <c r="AW26" s="454">
        <f t="shared" si="38"/>
        <v>0</v>
      </c>
      <c r="AX26" s="454">
        <f t="shared" si="39"/>
        <v>0</v>
      </c>
      <c r="AY26" s="2966">
        <f t="shared" si="40"/>
        <v>0</v>
      </c>
      <c r="AZ26" s="2897">
        <f t="shared" si="41"/>
        <v>0</v>
      </c>
      <c r="BA26" s="2897">
        <f t="shared" si="42"/>
        <v>0</v>
      </c>
      <c r="BB26" s="2897">
        <f t="shared" si="43"/>
        <v>0</v>
      </c>
      <c r="BC26" s="2897">
        <f t="shared" si="44"/>
        <v>0</v>
      </c>
      <c r="BD26" s="2897">
        <f t="shared" si="45"/>
        <v>0</v>
      </c>
      <c r="BE26" s="2897">
        <f t="shared" si="46"/>
        <v>0</v>
      </c>
      <c r="BF26" s="2897">
        <f t="shared" si="47"/>
        <v>0</v>
      </c>
      <c r="BG26" s="2897">
        <f t="shared" si="48"/>
        <v>0</v>
      </c>
      <c r="BH26" s="2897">
        <f t="shared" si="49"/>
        <v>0</v>
      </c>
      <c r="BI26" s="2897">
        <f t="shared" si="50"/>
        <v>0</v>
      </c>
      <c r="BJ26" s="2897">
        <f t="shared" si="51"/>
        <v>0</v>
      </c>
      <c r="BK26" s="2897">
        <f t="shared" si="52"/>
        <v>0</v>
      </c>
      <c r="BL26" s="2897">
        <f t="shared" si="53"/>
        <v>0</v>
      </c>
      <c r="BM26" s="2897">
        <f t="shared" si="54"/>
        <v>0</v>
      </c>
      <c r="BN26" s="2897">
        <f t="shared" si="55"/>
        <v>0</v>
      </c>
      <c r="BO26" s="2897">
        <f t="shared" si="56"/>
        <v>0</v>
      </c>
      <c r="BP26" s="2897">
        <f t="shared" si="57"/>
        <v>0</v>
      </c>
      <c r="BQ26" s="2897">
        <f t="shared" si="58"/>
        <v>0</v>
      </c>
      <c r="BR26" s="2897">
        <f t="shared" si="59"/>
        <v>0</v>
      </c>
      <c r="BS26" s="2897">
        <f t="shared" si="60"/>
        <v>0</v>
      </c>
      <c r="BT26" s="2971">
        <f t="shared" si="61"/>
        <v>0</v>
      </c>
    </row>
    <row r="27" spans="1:72">
      <c r="A27" s="2894"/>
      <c r="B27" s="2904"/>
      <c r="C27" s="2902"/>
      <c r="D27" s="2903"/>
      <c r="E27" s="2897">
        <f t="shared" si="33"/>
        <v>0</v>
      </c>
      <c r="F27" s="2898"/>
      <c r="G27" s="2899">
        <f t="shared" si="34"/>
        <v>0</v>
      </c>
      <c r="H27" s="2900">
        <f t="shared" si="35"/>
        <v>0</v>
      </c>
      <c r="I27" s="2906"/>
      <c r="J27" s="2918"/>
      <c r="K27" s="2906"/>
      <c r="L27" s="2918"/>
      <c r="M27" s="2918"/>
      <c r="N27" s="2918"/>
      <c r="O27" s="2918"/>
      <c r="P27" s="2918"/>
      <c r="Q27" s="2918"/>
      <c r="R27" s="2918"/>
      <c r="S27" s="2918"/>
      <c r="T27" s="2918"/>
      <c r="U27" s="2918"/>
      <c r="V27" s="2918"/>
      <c r="W27" s="2918"/>
      <c r="X27" s="2918"/>
      <c r="Y27" s="2918"/>
      <c r="Z27" s="2918"/>
      <c r="AA27" s="2918"/>
      <c r="AB27" s="2918"/>
      <c r="AC27" s="2897">
        <f t="shared" si="36"/>
        <v>0</v>
      </c>
      <c r="AD27" s="2929"/>
      <c r="AE27" s="2929"/>
      <c r="AF27" s="2930"/>
      <c r="AG27" s="2929"/>
      <c r="AH27" s="2929"/>
      <c r="AI27" s="2929"/>
      <c r="AJ27" s="2929"/>
      <c r="AK27" s="2929"/>
      <c r="AL27" s="2929"/>
      <c r="AM27" s="2929"/>
      <c r="AN27" s="2929"/>
      <c r="AO27" s="2929"/>
      <c r="AP27" s="2929"/>
      <c r="AQ27" s="2929"/>
      <c r="AR27" s="2929"/>
      <c r="AS27" s="2929"/>
      <c r="AT27" s="2949"/>
      <c r="AU27" s="2950"/>
      <c r="AV27" s="454">
        <f t="shared" si="37"/>
        <v>0</v>
      </c>
      <c r="AW27" s="454">
        <f t="shared" si="38"/>
        <v>0</v>
      </c>
      <c r="AX27" s="454">
        <f t="shared" si="39"/>
        <v>0</v>
      </c>
      <c r="AY27" s="2966">
        <f t="shared" si="40"/>
        <v>0</v>
      </c>
      <c r="AZ27" s="2897">
        <f t="shared" si="41"/>
        <v>0</v>
      </c>
      <c r="BA27" s="2897">
        <f t="shared" si="42"/>
        <v>0</v>
      </c>
      <c r="BB27" s="2897">
        <f t="shared" si="43"/>
        <v>0</v>
      </c>
      <c r="BC27" s="2897">
        <f t="shared" si="44"/>
        <v>0</v>
      </c>
      <c r="BD27" s="2897">
        <f t="shared" si="45"/>
        <v>0</v>
      </c>
      <c r="BE27" s="2897">
        <f t="shared" si="46"/>
        <v>0</v>
      </c>
      <c r="BF27" s="2897">
        <f t="shared" si="47"/>
        <v>0</v>
      </c>
      <c r="BG27" s="2897">
        <f t="shared" si="48"/>
        <v>0</v>
      </c>
      <c r="BH27" s="2897">
        <f t="shared" si="49"/>
        <v>0</v>
      </c>
      <c r="BI27" s="2897">
        <f t="shared" si="50"/>
        <v>0</v>
      </c>
      <c r="BJ27" s="2897">
        <f t="shared" si="51"/>
        <v>0</v>
      </c>
      <c r="BK27" s="2897">
        <f t="shared" si="52"/>
        <v>0</v>
      </c>
      <c r="BL27" s="2897">
        <f t="shared" si="53"/>
        <v>0</v>
      </c>
      <c r="BM27" s="2897">
        <f t="shared" si="54"/>
        <v>0</v>
      </c>
      <c r="BN27" s="2897">
        <f t="shared" si="55"/>
        <v>0</v>
      </c>
      <c r="BO27" s="2897">
        <f t="shared" si="56"/>
        <v>0</v>
      </c>
      <c r="BP27" s="2897">
        <f t="shared" si="57"/>
        <v>0</v>
      </c>
      <c r="BQ27" s="2897">
        <f t="shared" si="58"/>
        <v>0</v>
      </c>
      <c r="BR27" s="2897">
        <f t="shared" si="59"/>
        <v>0</v>
      </c>
      <c r="BS27" s="2897">
        <f t="shared" si="60"/>
        <v>0</v>
      </c>
      <c r="BT27" s="2971">
        <f t="shared" si="61"/>
        <v>0</v>
      </c>
    </row>
    <row r="28" spans="1:72">
      <c r="A28" s="2894"/>
      <c r="B28" s="2904"/>
      <c r="C28" s="2902"/>
      <c r="D28" s="2903"/>
      <c r="E28" s="2897">
        <f t="shared" si="33"/>
        <v>0</v>
      </c>
      <c r="F28" s="2898"/>
      <c r="G28" s="2899">
        <f t="shared" si="34"/>
        <v>0</v>
      </c>
      <c r="H28" s="2900">
        <f t="shared" si="35"/>
        <v>0</v>
      </c>
      <c r="I28" s="2906"/>
      <c r="J28" s="2918"/>
      <c r="K28" s="2906"/>
      <c r="L28" s="2918"/>
      <c r="M28" s="2918"/>
      <c r="N28" s="2918"/>
      <c r="O28" s="2918"/>
      <c r="P28" s="2918"/>
      <c r="Q28" s="2918"/>
      <c r="R28" s="2918"/>
      <c r="S28" s="2918"/>
      <c r="T28" s="2918"/>
      <c r="U28" s="2918"/>
      <c r="V28" s="2918"/>
      <c r="W28" s="2918"/>
      <c r="X28" s="2918"/>
      <c r="Y28" s="2918"/>
      <c r="Z28" s="2918"/>
      <c r="AA28" s="2918"/>
      <c r="AB28" s="2918"/>
      <c r="AC28" s="2897">
        <f t="shared" si="36"/>
        <v>0</v>
      </c>
      <c r="AD28" s="2929"/>
      <c r="AE28" s="2929"/>
      <c r="AF28" s="2906"/>
      <c r="AG28" s="2929"/>
      <c r="AH28" s="2929"/>
      <c r="AI28" s="2929"/>
      <c r="AJ28" s="2929"/>
      <c r="AK28" s="2929"/>
      <c r="AL28" s="2929"/>
      <c r="AM28" s="2929"/>
      <c r="AN28" s="2929"/>
      <c r="AO28" s="2929"/>
      <c r="AP28" s="2929"/>
      <c r="AQ28" s="2929"/>
      <c r="AR28" s="2929"/>
      <c r="AS28" s="2929"/>
      <c r="AT28" s="2949"/>
      <c r="AU28" s="2950"/>
      <c r="AV28" s="454">
        <f t="shared" si="37"/>
        <v>0</v>
      </c>
      <c r="AW28" s="454">
        <f t="shared" si="38"/>
        <v>0</v>
      </c>
      <c r="AX28" s="454">
        <f t="shared" si="39"/>
        <v>0</v>
      </c>
      <c r="AY28" s="2966">
        <f t="shared" si="40"/>
        <v>0</v>
      </c>
      <c r="AZ28" s="2897">
        <f t="shared" si="41"/>
        <v>0</v>
      </c>
      <c r="BA28" s="2897">
        <f t="shared" si="42"/>
        <v>0</v>
      </c>
      <c r="BB28" s="2897">
        <f t="shared" si="43"/>
        <v>0</v>
      </c>
      <c r="BC28" s="2897">
        <f t="shared" si="44"/>
        <v>0</v>
      </c>
      <c r="BD28" s="2897">
        <f t="shared" si="45"/>
        <v>0</v>
      </c>
      <c r="BE28" s="2897">
        <f t="shared" si="46"/>
        <v>0</v>
      </c>
      <c r="BF28" s="2897">
        <f t="shared" si="47"/>
        <v>0</v>
      </c>
      <c r="BG28" s="2897">
        <f t="shared" si="48"/>
        <v>0</v>
      </c>
      <c r="BH28" s="2897">
        <f t="shared" si="49"/>
        <v>0</v>
      </c>
      <c r="BI28" s="2897">
        <f t="shared" si="50"/>
        <v>0</v>
      </c>
      <c r="BJ28" s="2897">
        <f t="shared" si="51"/>
        <v>0</v>
      </c>
      <c r="BK28" s="2897">
        <f t="shared" si="52"/>
        <v>0</v>
      </c>
      <c r="BL28" s="2897">
        <f t="shared" si="53"/>
        <v>0</v>
      </c>
      <c r="BM28" s="2897">
        <f t="shared" si="54"/>
        <v>0</v>
      </c>
      <c r="BN28" s="2897">
        <f t="shared" si="55"/>
        <v>0</v>
      </c>
      <c r="BO28" s="2897">
        <f t="shared" si="56"/>
        <v>0</v>
      </c>
      <c r="BP28" s="2897">
        <f t="shared" si="57"/>
        <v>0</v>
      </c>
      <c r="BQ28" s="2897">
        <f t="shared" si="58"/>
        <v>0</v>
      </c>
      <c r="BR28" s="2897">
        <f t="shared" si="59"/>
        <v>0</v>
      </c>
      <c r="BS28" s="2897">
        <f t="shared" si="60"/>
        <v>0</v>
      </c>
      <c r="BT28" s="2971">
        <f t="shared" si="61"/>
        <v>0</v>
      </c>
    </row>
    <row r="29" spans="1:72">
      <c r="A29" s="2894"/>
      <c r="B29" s="2905"/>
      <c r="C29" s="2906"/>
      <c r="D29" s="2903"/>
      <c r="E29" s="2897">
        <f t="shared" si="33"/>
        <v>0</v>
      </c>
      <c r="F29" s="2898"/>
      <c r="G29" s="2899">
        <f t="shared" si="34"/>
        <v>0</v>
      </c>
      <c r="H29" s="2900">
        <f t="shared" si="35"/>
        <v>0</v>
      </c>
      <c r="I29" s="2906"/>
      <c r="J29" s="2918"/>
      <c r="K29" s="2906"/>
      <c r="L29" s="2918"/>
      <c r="M29" s="2918"/>
      <c r="N29" s="2918"/>
      <c r="O29" s="2918"/>
      <c r="P29" s="2918"/>
      <c r="Q29" s="2918"/>
      <c r="R29" s="2918"/>
      <c r="S29" s="2918"/>
      <c r="T29" s="2918"/>
      <c r="U29" s="2918"/>
      <c r="V29" s="2918"/>
      <c r="W29" s="2918"/>
      <c r="X29" s="2918"/>
      <c r="Y29" s="2918"/>
      <c r="Z29" s="2918"/>
      <c r="AA29" s="2918"/>
      <c r="AB29" s="2918"/>
      <c r="AC29" s="2897">
        <f t="shared" si="36"/>
        <v>0</v>
      </c>
      <c r="AD29" s="2929"/>
      <c r="AE29" s="2929"/>
      <c r="AF29" s="2906"/>
      <c r="AG29" s="2929"/>
      <c r="AH29" s="2929"/>
      <c r="AI29" s="2929"/>
      <c r="AJ29" s="2929"/>
      <c r="AK29" s="2929"/>
      <c r="AL29" s="2929"/>
      <c r="AM29" s="2929"/>
      <c r="AN29" s="2929"/>
      <c r="AO29" s="2929"/>
      <c r="AP29" s="2929"/>
      <c r="AQ29" s="2929"/>
      <c r="AR29" s="2929"/>
      <c r="AS29" s="2929"/>
      <c r="AT29" s="2949"/>
      <c r="AU29" s="2950"/>
      <c r="AV29" s="454">
        <f t="shared" si="37"/>
        <v>0</v>
      </c>
      <c r="AW29" s="454">
        <f t="shared" si="38"/>
        <v>0</v>
      </c>
      <c r="AX29" s="454">
        <f t="shared" si="39"/>
        <v>0</v>
      </c>
      <c r="AY29" s="2966">
        <f t="shared" si="40"/>
        <v>0</v>
      </c>
      <c r="AZ29" s="2897">
        <f t="shared" si="41"/>
        <v>0</v>
      </c>
      <c r="BA29" s="2897">
        <f t="shared" si="42"/>
        <v>0</v>
      </c>
      <c r="BB29" s="2897">
        <f t="shared" si="43"/>
        <v>0</v>
      </c>
      <c r="BC29" s="2897">
        <f t="shared" si="44"/>
        <v>0</v>
      </c>
      <c r="BD29" s="2897">
        <f t="shared" si="45"/>
        <v>0</v>
      </c>
      <c r="BE29" s="2897">
        <f t="shared" si="46"/>
        <v>0</v>
      </c>
      <c r="BF29" s="2897">
        <f t="shared" si="47"/>
        <v>0</v>
      </c>
      <c r="BG29" s="2897">
        <f t="shared" si="48"/>
        <v>0</v>
      </c>
      <c r="BH29" s="2897">
        <f t="shared" si="49"/>
        <v>0</v>
      </c>
      <c r="BI29" s="2897">
        <f t="shared" si="50"/>
        <v>0</v>
      </c>
      <c r="BJ29" s="2897">
        <f t="shared" si="51"/>
        <v>0</v>
      </c>
      <c r="BK29" s="2897">
        <f t="shared" si="52"/>
        <v>0</v>
      </c>
      <c r="BL29" s="2897">
        <f t="shared" si="53"/>
        <v>0</v>
      </c>
      <c r="BM29" s="2897">
        <f t="shared" si="54"/>
        <v>0</v>
      </c>
      <c r="BN29" s="2897">
        <f t="shared" si="55"/>
        <v>0</v>
      </c>
      <c r="BO29" s="2897">
        <f t="shared" si="56"/>
        <v>0</v>
      </c>
      <c r="BP29" s="2897">
        <f t="shared" si="57"/>
        <v>0</v>
      </c>
      <c r="BQ29" s="2897">
        <f t="shared" si="58"/>
        <v>0</v>
      </c>
      <c r="BR29" s="2897">
        <f t="shared" si="59"/>
        <v>0</v>
      </c>
      <c r="BS29" s="2897">
        <f t="shared" si="60"/>
        <v>0</v>
      </c>
      <c r="BT29" s="2971">
        <f t="shared" si="61"/>
        <v>0</v>
      </c>
    </row>
    <row r="30" spans="1:72">
      <c r="A30" s="2894"/>
      <c r="B30" s="2904"/>
      <c r="C30" s="2902"/>
      <c r="D30" s="2903"/>
      <c r="E30" s="2897">
        <f t="shared" si="33"/>
        <v>0</v>
      </c>
      <c r="F30" s="2898"/>
      <c r="G30" s="2899">
        <f t="shared" si="34"/>
        <v>0</v>
      </c>
      <c r="H30" s="2900">
        <f t="shared" si="35"/>
        <v>0</v>
      </c>
      <c r="I30" s="2906"/>
      <c r="J30" s="2918"/>
      <c r="K30" s="2906"/>
      <c r="L30" s="2918"/>
      <c r="M30" s="2918"/>
      <c r="N30" s="2918"/>
      <c r="O30" s="2918"/>
      <c r="P30" s="2918"/>
      <c r="Q30" s="2918"/>
      <c r="R30" s="2918"/>
      <c r="S30" s="2918"/>
      <c r="T30" s="2918"/>
      <c r="U30" s="2918"/>
      <c r="V30" s="2918"/>
      <c r="W30" s="2918"/>
      <c r="X30" s="2918"/>
      <c r="Y30" s="2918"/>
      <c r="Z30" s="2918"/>
      <c r="AA30" s="2918"/>
      <c r="AB30" s="2918"/>
      <c r="AC30" s="2897">
        <f t="shared" si="36"/>
        <v>0</v>
      </c>
      <c r="AD30" s="2929"/>
      <c r="AE30" s="2929"/>
      <c r="AF30" s="2906"/>
      <c r="AG30" s="2929"/>
      <c r="AH30" s="2929"/>
      <c r="AI30" s="2929"/>
      <c r="AJ30" s="2929"/>
      <c r="AK30" s="2929"/>
      <c r="AL30" s="2929"/>
      <c r="AM30" s="2929"/>
      <c r="AN30" s="2929"/>
      <c r="AO30" s="2929"/>
      <c r="AP30" s="2929"/>
      <c r="AQ30" s="2929"/>
      <c r="AR30" s="2929"/>
      <c r="AS30" s="2929"/>
      <c r="AT30" s="2949"/>
      <c r="AU30" s="2950"/>
      <c r="AV30" s="454">
        <f t="shared" si="37"/>
        <v>0</v>
      </c>
      <c r="AW30" s="454">
        <f t="shared" si="38"/>
        <v>0</v>
      </c>
      <c r="AX30" s="454">
        <f t="shared" si="39"/>
        <v>0</v>
      </c>
      <c r="AY30" s="2966">
        <f t="shared" si="40"/>
        <v>0</v>
      </c>
      <c r="AZ30" s="2897">
        <f t="shared" si="41"/>
        <v>0</v>
      </c>
      <c r="BA30" s="2897">
        <f t="shared" si="42"/>
        <v>0</v>
      </c>
      <c r="BB30" s="2897">
        <f t="shared" si="43"/>
        <v>0</v>
      </c>
      <c r="BC30" s="2897">
        <f t="shared" si="44"/>
        <v>0</v>
      </c>
      <c r="BD30" s="2897">
        <f t="shared" si="45"/>
        <v>0</v>
      </c>
      <c r="BE30" s="2897">
        <f t="shared" si="46"/>
        <v>0</v>
      </c>
      <c r="BF30" s="2897">
        <f t="shared" si="47"/>
        <v>0</v>
      </c>
      <c r="BG30" s="2897">
        <f t="shared" si="48"/>
        <v>0</v>
      </c>
      <c r="BH30" s="2897">
        <f t="shared" si="49"/>
        <v>0</v>
      </c>
      <c r="BI30" s="2897">
        <f t="shared" si="50"/>
        <v>0</v>
      </c>
      <c r="BJ30" s="2897">
        <f t="shared" si="51"/>
        <v>0</v>
      </c>
      <c r="BK30" s="2897">
        <f t="shared" si="52"/>
        <v>0</v>
      </c>
      <c r="BL30" s="2897">
        <f t="shared" si="53"/>
        <v>0</v>
      </c>
      <c r="BM30" s="2897">
        <f t="shared" si="54"/>
        <v>0</v>
      </c>
      <c r="BN30" s="2897">
        <f t="shared" si="55"/>
        <v>0</v>
      </c>
      <c r="BO30" s="2897">
        <f t="shared" si="56"/>
        <v>0</v>
      </c>
      <c r="BP30" s="2897">
        <f t="shared" si="57"/>
        <v>0</v>
      </c>
      <c r="BQ30" s="2897">
        <f t="shared" si="58"/>
        <v>0</v>
      </c>
      <c r="BR30" s="2897">
        <f t="shared" si="59"/>
        <v>0</v>
      </c>
      <c r="BS30" s="2897">
        <f t="shared" si="60"/>
        <v>0</v>
      </c>
      <c r="BT30" s="2971">
        <f t="shared" si="61"/>
        <v>0</v>
      </c>
    </row>
    <row r="31" spans="1:72">
      <c r="A31" s="2894"/>
      <c r="B31" s="2904"/>
      <c r="C31" s="2902"/>
      <c r="D31" s="2903"/>
      <c r="E31" s="2897">
        <f t="shared" si="33"/>
        <v>0</v>
      </c>
      <c r="F31" s="2898"/>
      <c r="G31" s="2899">
        <f t="shared" si="34"/>
        <v>0</v>
      </c>
      <c r="H31" s="2900">
        <f t="shared" si="35"/>
        <v>0</v>
      </c>
      <c r="I31" s="2906"/>
      <c r="J31" s="2918"/>
      <c r="K31" s="2906"/>
      <c r="L31" s="2918"/>
      <c r="M31" s="2918"/>
      <c r="N31" s="2918"/>
      <c r="O31" s="2918"/>
      <c r="P31" s="2918"/>
      <c r="Q31" s="2918"/>
      <c r="R31" s="2918"/>
      <c r="S31" s="2918"/>
      <c r="T31" s="2918"/>
      <c r="U31" s="2918"/>
      <c r="V31" s="2918"/>
      <c r="W31" s="2918"/>
      <c r="X31" s="2918"/>
      <c r="Y31" s="2918"/>
      <c r="Z31" s="2918"/>
      <c r="AA31" s="2918"/>
      <c r="AB31" s="2918"/>
      <c r="AC31" s="2897">
        <f t="shared" si="36"/>
        <v>0</v>
      </c>
      <c r="AD31" s="2929"/>
      <c r="AE31" s="2929"/>
      <c r="AF31" s="2906"/>
      <c r="AG31" s="2929"/>
      <c r="AH31" s="2929"/>
      <c r="AI31" s="2929"/>
      <c r="AJ31" s="2929"/>
      <c r="AK31" s="2929"/>
      <c r="AL31" s="2929"/>
      <c r="AM31" s="2929"/>
      <c r="AN31" s="2929"/>
      <c r="AO31" s="2929"/>
      <c r="AP31" s="2929"/>
      <c r="AQ31" s="2929"/>
      <c r="AR31" s="2929"/>
      <c r="AS31" s="2929"/>
      <c r="AT31" s="2949"/>
      <c r="AU31" s="2950"/>
      <c r="AV31" s="454">
        <f t="shared" si="37"/>
        <v>0</v>
      </c>
      <c r="AW31" s="454">
        <f t="shared" si="38"/>
        <v>0</v>
      </c>
      <c r="AX31" s="454">
        <f t="shared" si="39"/>
        <v>0</v>
      </c>
      <c r="AY31" s="2966">
        <f t="shared" si="40"/>
        <v>0</v>
      </c>
      <c r="AZ31" s="2897">
        <f t="shared" si="41"/>
        <v>0</v>
      </c>
      <c r="BA31" s="2897">
        <f t="shared" si="42"/>
        <v>0</v>
      </c>
      <c r="BB31" s="2897">
        <f t="shared" si="43"/>
        <v>0</v>
      </c>
      <c r="BC31" s="2897">
        <f t="shared" si="44"/>
        <v>0</v>
      </c>
      <c r="BD31" s="2897">
        <f t="shared" si="45"/>
        <v>0</v>
      </c>
      <c r="BE31" s="2897">
        <f t="shared" si="46"/>
        <v>0</v>
      </c>
      <c r="BF31" s="2897">
        <f t="shared" si="47"/>
        <v>0</v>
      </c>
      <c r="BG31" s="2897">
        <f t="shared" si="48"/>
        <v>0</v>
      </c>
      <c r="BH31" s="2897">
        <f t="shared" si="49"/>
        <v>0</v>
      </c>
      <c r="BI31" s="2897">
        <f t="shared" si="50"/>
        <v>0</v>
      </c>
      <c r="BJ31" s="2897">
        <f t="shared" si="51"/>
        <v>0</v>
      </c>
      <c r="BK31" s="2897">
        <f t="shared" si="52"/>
        <v>0</v>
      </c>
      <c r="BL31" s="2897">
        <f t="shared" si="53"/>
        <v>0</v>
      </c>
      <c r="BM31" s="2897">
        <f t="shared" si="54"/>
        <v>0</v>
      </c>
      <c r="BN31" s="2897">
        <f t="shared" si="55"/>
        <v>0</v>
      </c>
      <c r="BO31" s="2897">
        <f t="shared" si="56"/>
        <v>0</v>
      </c>
      <c r="BP31" s="2897">
        <f t="shared" si="57"/>
        <v>0</v>
      </c>
      <c r="BQ31" s="2897">
        <f t="shared" si="58"/>
        <v>0</v>
      </c>
      <c r="BR31" s="2897">
        <f t="shared" si="59"/>
        <v>0</v>
      </c>
      <c r="BS31" s="2897">
        <f t="shared" si="60"/>
        <v>0</v>
      </c>
      <c r="BT31" s="2971">
        <f t="shared" si="61"/>
        <v>0</v>
      </c>
    </row>
    <row r="32" spans="1:72">
      <c r="A32" s="2894"/>
      <c r="B32" s="2904"/>
      <c r="C32" s="2902"/>
      <c r="D32" s="2903"/>
      <c r="E32" s="2897">
        <f t="shared" si="33"/>
        <v>0</v>
      </c>
      <c r="F32" s="2898"/>
      <c r="G32" s="2899">
        <f t="shared" si="34"/>
        <v>0</v>
      </c>
      <c r="H32" s="2900">
        <f t="shared" si="35"/>
        <v>0</v>
      </c>
      <c r="I32" s="2906"/>
      <c r="J32" s="2918"/>
      <c r="K32" s="2906"/>
      <c r="L32" s="2918"/>
      <c r="M32" s="2918"/>
      <c r="N32" s="2918"/>
      <c r="O32" s="2918"/>
      <c r="P32" s="2918"/>
      <c r="Q32" s="2918"/>
      <c r="R32" s="2918"/>
      <c r="S32" s="2918"/>
      <c r="T32" s="2918"/>
      <c r="U32" s="2918"/>
      <c r="V32" s="2918"/>
      <c r="W32" s="2918"/>
      <c r="X32" s="2918"/>
      <c r="Y32" s="2918"/>
      <c r="Z32" s="2918"/>
      <c r="AA32" s="2918"/>
      <c r="AB32" s="2918"/>
      <c r="AC32" s="2897">
        <f t="shared" si="36"/>
        <v>0</v>
      </c>
      <c r="AD32" s="2929"/>
      <c r="AE32" s="2929"/>
      <c r="AF32" s="2906"/>
      <c r="AG32" s="2929"/>
      <c r="AH32" s="2929"/>
      <c r="AI32" s="2929"/>
      <c r="AJ32" s="2929"/>
      <c r="AK32" s="2929"/>
      <c r="AL32" s="2929"/>
      <c r="AM32" s="2929"/>
      <c r="AN32" s="2929"/>
      <c r="AO32" s="2929"/>
      <c r="AP32" s="2929"/>
      <c r="AQ32" s="2929"/>
      <c r="AR32" s="2929"/>
      <c r="AS32" s="2929"/>
      <c r="AT32" s="2949"/>
      <c r="AU32" s="2950"/>
      <c r="AV32" s="454">
        <f t="shared" si="37"/>
        <v>0</v>
      </c>
      <c r="AW32" s="454">
        <f t="shared" si="38"/>
        <v>0</v>
      </c>
      <c r="AX32" s="454">
        <f t="shared" si="39"/>
        <v>0</v>
      </c>
      <c r="AY32" s="2966">
        <f t="shared" si="40"/>
        <v>0</v>
      </c>
      <c r="AZ32" s="2897">
        <f t="shared" si="41"/>
        <v>0</v>
      </c>
      <c r="BA32" s="2897">
        <f t="shared" si="42"/>
        <v>0</v>
      </c>
      <c r="BB32" s="2897">
        <f t="shared" si="43"/>
        <v>0</v>
      </c>
      <c r="BC32" s="2897">
        <f t="shared" si="44"/>
        <v>0</v>
      </c>
      <c r="BD32" s="2897">
        <f t="shared" si="45"/>
        <v>0</v>
      </c>
      <c r="BE32" s="2897">
        <f t="shared" si="46"/>
        <v>0</v>
      </c>
      <c r="BF32" s="2897">
        <f t="shared" si="47"/>
        <v>0</v>
      </c>
      <c r="BG32" s="2897">
        <f t="shared" si="48"/>
        <v>0</v>
      </c>
      <c r="BH32" s="2897">
        <f t="shared" si="49"/>
        <v>0</v>
      </c>
      <c r="BI32" s="2897">
        <f t="shared" si="50"/>
        <v>0</v>
      </c>
      <c r="BJ32" s="2897">
        <f t="shared" si="51"/>
        <v>0</v>
      </c>
      <c r="BK32" s="2897">
        <f t="shared" si="52"/>
        <v>0</v>
      </c>
      <c r="BL32" s="2897">
        <f t="shared" si="53"/>
        <v>0</v>
      </c>
      <c r="BM32" s="2897">
        <f t="shared" si="54"/>
        <v>0</v>
      </c>
      <c r="BN32" s="2897">
        <f t="shared" si="55"/>
        <v>0</v>
      </c>
      <c r="BO32" s="2897">
        <f t="shared" si="56"/>
        <v>0</v>
      </c>
      <c r="BP32" s="2897">
        <f t="shared" si="57"/>
        <v>0</v>
      </c>
      <c r="BQ32" s="2897">
        <f t="shared" si="58"/>
        <v>0</v>
      </c>
      <c r="BR32" s="2897">
        <f t="shared" si="59"/>
        <v>0</v>
      </c>
      <c r="BS32" s="2897">
        <f t="shared" si="60"/>
        <v>0</v>
      </c>
      <c r="BT32" s="2971">
        <f t="shared" si="61"/>
        <v>0</v>
      </c>
    </row>
    <row r="33" spans="1:72">
      <c r="A33" s="2894"/>
      <c r="B33" s="2904"/>
      <c r="C33" s="2902"/>
      <c r="D33" s="2903"/>
      <c r="E33" s="2897">
        <f t="shared" si="33"/>
        <v>0</v>
      </c>
      <c r="F33" s="2898"/>
      <c r="G33" s="2899">
        <f t="shared" si="34"/>
        <v>0</v>
      </c>
      <c r="H33" s="2900">
        <f t="shared" si="35"/>
        <v>0</v>
      </c>
      <c r="I33" s="2906"/>
      <c r="J33" s="2918"/>
      <c r="K33" s="2906"/>
      <c r="L33" s="2918"/>
      <c r="M33" s="2918"/>
      <c r="N33" s="2918"/>
      <c r="O33" s="2918"/>
      <c r="P33" s="2918"/>
      <c r="Q33" s="2918"/>
      <c r="R33" s="2918"/>
      <c r="S33" s="2918"/>
      <c r="T33" s="2918"/>
      <c r="U33" s="2918"/>
      <c r="V33" s="2918"/>
      <c r="W33" s="2918"/>
      <c r="X33" s="2918"/>
      <c r="Y33" s="2918"/>
      <c r="Z33" s="2918"/>
      <c r="AA33" s="2918"/>
      <c r="AB33" s="2918"/>
      <c r="AC33" s="2897">
        <f t="shared" si="36"/>
        <v>0</v>
      </c>
      <c r="AD33" s="2929"/>
      <c r="AE33" s="2929"/>
      <c r="AF33" s="2906"/>
      <c r="AG33" s="2929"/>
      <c r="AH33" s="2929"/>
      <c r="AI33" s="2929"/>
      <c r="AJ33" s="2929"/>
      <c r="AK33" s="2929"/>
      <c r="AL33" s="2929"/>
      <c r="AM33" s="2929"/>
      <c r="AN33" s="2929"/>
      <c r="AO33" s="2929"/>
      <c r="AP33" s="2929"/>
      <c r="AQ33" s="2929"/>
      <c r="AR33" s="2929"/>
      <c r="AS33" s="2929"/>
      <c r="AT33" s="2949"/>
      <c r="AU33" s="2950"/>
      <c r="AV33" s="454">
        <f t="shared" si="37"/>
        <v>0</v>
      </c>
      <c r="AW33" s="454">
        <f t="shared" si="38"/>
        <v>0</v>
      </c>
      <c r="AX33" s="454">
        <f t="shared" si="39"/>
        <v>0</v>
      </c>
      <c r="AY33" s="2966">
        <f t="shared" si="40"/>
        <v>0</v>
      </c>
      <c r="AZ33" s="2897">
        <f t="shared" si="41"/>
        <v>0</v>
      </c>
      <c r="BA33" s="2897">
        <f t="shared" si="42"/>
        <v>0</v>
      </c>
      <c r="BB33" s="2897">
        <f t="shared" si="43"/>
        <v>0</v>
      </c>
      <c r="BC33" s="2897">
        <f t="shared" si="44"/>
        <v>0</v>
      </c>
      <c r="BD33" s="2897">
        <f t="shared" si="45"/>
        <v>0</v>
      </c>
      <c r="BE33" s="2897">
        <f t="shared" si="46"/>
        <v>0</v>
      </c>
      <c r="BF33" s="2897">
        <f t="shared" si="47"/>
        <v>0</v>
      </c>
      <c r="BG33" s="2897">
        <f t="shared" si="48"/>
        <v>0</v>
      </c>
      <c r="BH33" s="2897">
        <f t="shared" si="49"/>
        <v>0</v>
      </c>
      <c r="BI33" s="2897">
        <f t="shared" si="50"/>
        <v>0</v>
      </c>
      <c r="BJ33" s="2897">
        <f t="shared" si="51"/>
        <v>0</v>
      </c>
      <c r="BK33" s="2897">
        <f t="shared" si="52"/>
        <v>0</v>
      </c>
      <c r="BL33" s="2897">
        <f t="shared" si="53"/>
        <v>0</v>
      </c>
      <c r="BM33" s="2897">
        <f t="shared" si="54"/>
        <v>0</v>
      </c>
      <c r="BN33" s="2897">
        <f t="shared" si="55"/>
        <v>0</v>
      </c>
      <c r="BO33" s="2897">
        <f t="shared" si="56"/>
        <v>0</v>
      </c>
      <c r="BP33" s="2897">
        <f t="shared" si="57"/>
        <v>0</v>
      </c>
      <c r="BQ33" s="2897">
        <f t="shared" si="58"/>
        <v>0</v>
      </c>
      <c r="BR33" s="2897">
        <f t="shared" si="59"/>
        <v>0</v>
      </c>
      <c r="BS33" s="2897">
        <f t="shared" si="60"/>
        <v>0</v>
      </c>
      <c r="BT33" s="2971">
        <f t="shared" si="61"/>
        <v>0</v>
      </c>
    </row>
    <row r="34" spans="1:72">
      <c r="A34" s="2894"/>
      <c r="B34" s="2904"/>
      <c r="C34" s="2902"/>
      <c r="D34" s="2903"/>
      <c r="E34" s="2897">
        <f t="shared" si="33"/>
        <v>0</v>
      </c>
      <c r="F34" s="2898"/>
      <c r="G34" s="2899">
        <f t="shared" si="34"/>
        <v>0</v>
      </c>
      <c r="H34" s="2900">
        <f t="shared" si="35"/>
        <v>0</v>
      </c>
      <c r="I34" s="2906"/>
      <c r="J34" s="2918"/>
      <c r="K34" s="2906"/>
      <c r="L34" s="2918"/>
      <c r="M34" s="2918"/>
      <c r="N34" s="2918"/>
      <c r="O34" s="2918"/>
      <c r="P34" s="2918"/>
      <c r="Q34" s="2918"/>
      <c r="R34" s="2918"/>
      <c r="S34" s="2918"/>
      <c r="T34" s="2918"/>
      <c r="U34" s="2918"/>
      <c r="V34" s="2918"/>
      <c r="W34" s="2918"/>
      <c r="X34" s="2918"/>
      <c r="Y34" s="2918"/>
      <c r="Z34" s="2918"/>
      <c r="AA34" s="2918"/>
      <c r="AB34" s="2918"/>
      <c r="AC34" s="2897">
        <f t="shared" si="36"/>
        <v>0</v>
      </c>
      <c r="AD34" s="2929"/>
      <c r="AE34" s="2929"/>
      <c r="AF34" s="2906"/>
      <c r="AG34" s="2929"/>
      <c r="AH34" s="2929"/>
      <c r="AI34" s="2929"/>
      <c r="AJ34" s="2929"/>
      <c r="AK34" s="2929"/>
      <c r="AL34" s="2929"/>
      <c r="AM34" s="2929"/>
      <c r="AN34" s="2929"/>
      <c r="AO34" s="2929"/>
      <c r="AP34" s="2929"/>
      <c r="AQ34" s="2929"/>
      <c r="AR34" s="2929"/>
      <c r="AS34" s="2929"/>
      <c r="AT34" s="2949"/>
      <c r="AU34" s="2950"/>
      <c r="AV34" s="454">
        <f t="shared" si="37"/>
        <v>0</v>
      </c>
      <c r="AW34" s="454">
        <f t="shared" si="38"/>
        <v>0</v>
      </c>
      <c r="AX34" s="454">
        <f t="shared" si="39"/>
        <v>0</v>
      </c>
      <c r="AY34" s="2966">
        <f t="shared" si="40"/>
        <v>0</v>
      </c>
      <c r="AZ34" s="2897">
        <f t="shared" si="41"/>
        <v>0</v>
      </c>
      <c r="BA34" s="2897">
        <f t="shared" si="42"/>
        <v>0</v>
      </c>
      <c r="BB34" s="2897">
        <f t="shared" si="43"/>
        <v>0</v>
      </c>
      <c r="BC34" s="2897">
        <f t="shared" si="44"/>
        <v>0</v>
      </c>
      <c r="BD34" s="2897">
        <f t="shared" si="45"/>
        <v>0</v>
      </c>
      <c r="BE34" s="2897">
        <f t="shared" si="46"/>
        <v>0</v>
      </c>
      <c r="BF34" s="2897">
        <f t="shared" si="47"/>
        <v>0</v>
      </c>
      <c r="BG34" s="2897">
        <f t="shared" si="48"/>
        <v>0</v>
      </c>
      <c r="BH34" s="2897">
        <f t="shared" si="49"/>
        <v>0</v>
      </c>
      <c r="BI34" s="2897">
        <f t="shared" si="50"/>
        <v>0</v>
      </c>
      <c r="BJ34" s="2897">
        <f t="shared" si="51"/>
        <v>0</v>
      </c>
      <c r="BK34" s="2897">
        <f t="shared" si="52"/>
        <v>0</v>
      </c>
      <c r="BL34" s="2897">
        <f t="shared" si="53"/>
        <v>0</v>
      </c>
      <c r="BM34" s="2897">
        <f t="shared" si="54"/>
        <v>0</v>
      </c>
      <c r="BN34" s="2897">
        <f t="shared" si="55"/>
        <v>0</v>
      </c>
      <c r="BO34" s="2897">
        <f t="shared" si="56"/>
        <v>0</v>
      </c>
      <c r="BP34" s="2897">
        <f t="shared" si="57"/>
        <v>0</v>
      </c>
      <c r="BQ34" s="2897">
        <f t="shared" si="58"/>
        <v>0</v>
      </c>
      <c r="BR34" s="2897">
        <f t="shared" si="59"/>
        <v>0</v>
      </c>
      <c r="BS34" s="2897">
        <f t="shared" si="60"/>
        <v>0</v>
      </c>
      <c r="BT34" s="2971">
        <f t="shared" si="61"/>
        <v>0</v>
      </c>
    </row>
    <row r="35" spans="1:72">
      <c r="A35" s="2894"/>
      <c r="B35" s="2904"/>
      <c r="C35" s="2902"/>
      <c r="D35" s="2903"/>
      <c r="E35" s="2897">
        <f t="shared" si="33"/>
        <v>0</v>
      </c>
      <c r="F35" s="2898"/>
      <c r="G35" s="2899">
        <f t="shared" si="34"/>
        <v>0</v>
      </c>
      <c r="H35" s="2900">
        <f t="shared" si="35"/>
        <v>0</v>
      </c>
      <c r="I35" s="2906"/>
      <c r="J35" s="2918"/>
      <c r="K35" s="2906"/>
      <c r="L35" s="2918"/>
      <c r="M35" s="2918"/>
      <c r="N35" s="2918"/>
      <c r="O35" s="2918"/>
      <c r="P35" s="2918"/>
      <c r="Q35" s="2918"/>
      <c r="R35" s="2918"/>
      <c r="S35" s="2918"/>
      <c r="T35" s="2918"/>
      <c r="U35" s="2918"/>
      <c r="V35" s="2918"/>
      <c r="W35" s="2918"/>
      <c r="X35" s="2918"/>
      <c r="Y35" s="2918"/>
      <c r="Z35" s="2918"/>
      <c r="AA35" s="2918"/>
      <c r="AB35" s="2918"/>
      <c r="AC35" s="2897">
        <f t="shared" si="36"/>
        <v>0</v>
      </c>
      <c r="AD35" s="2929"/>
      <c r="AE35" s="2929"/>
      <c r="AF35" s="2906"/>
      <c r="AG35" s="2929"/>
      <c r="AH35" s="2929"/>
      <c r="AI35" s="2929"/>
      <c r="AJ35" s="2929"/>
      <c r="AK35" s="2929"/>
      <c r="AL35" s="2929"/>
      <c r="AM35" s="2929"/>
      <c r="AN35" s="2929"/>
      <c r="AO35" s="2929"/>
      <c r="AP35" s="2929"/>
      <c r="AQ35" s="2929"/>
      <c r="AR35" s="2929"/>
      <c r="AS35" s="2929"/>
      <c r="AT35" s="2949"/>
      <c r="AU35" s="2950"/>
      <c r="AV35" s="454">
        <f t="shared" si="37"/>
        <v>0</v>
      </c>
      <c r="AW35" s="454">
        <f t="shared" si="38"/>
        <v>0</v>
      </c>
      <c r="AX35" s="454">
        <f t="shared" si="39"/>
        <v>0</v>
      </c>
      <c r="AY35" s="2966">
        <f t="shared" si="40"/>
        <v>0</v>
      </c>
      <c r="AZ35" s="2897">
        <f t="shared" si="41"/>
        <v>0</v>
      </c>
      <c r="BA35" s="2897">
        <f t="shared" si="42"/>
        <v>0</v>
      </c>
      <c r="BB35" s="2897">
        <f t="shared" si="43"/>
        <v>0</v>
      </c>
      <c r="BC35" s="2897">
        <f t="shared" si="44"/>
        <v>0</v>
      </c>
      <c r="BD35" s="2897">
        <f t="shared" si="45"/>
        <v>0</v>
      </c>
      <c r="BE35" s="2897">
        <f t="shared" si="46"/>
        <v>0</v>
      </c>
      <c r="BF35" s="2897">
        <f t="shared" si="47"/>
        <v>0</v>
      </c>
      <c r="BG35" s="2897">
        <f t="shared" si="48"/>
        <v>0</v>
      </c>
      <c r="BH35" s="2897">
        <f t="shared" si="49"/>
        <v>0</v>
      </c>
      <c r="BI35" s="2897">
        <f t="shared" si="50"/>
        <v>0</v>
      </c>
      <c r="BJ35" s="2897">
        <f t="shared" si="51"/>
        <v>0</v>
      </c>
      <c r="BK35" s="2897">
        <f t="shared" si="52"/>
        <v>0</v>
      </c>
      <c r="BL35" s="2897">
        <f t="shared" si="53"/>
        <v>0</v>
      </c>
      <c r="BM35" s="2897">
        <f t="shared" si="54"/>
        <v>0</v>
      </c>
      <c r="BN35" s="2897">
        <f t="shared" si="55"/>
        <v>0</v>
      </c>
      <c r="BO35" s="2897">
        <f t="shared" si="56"/>
        <v>0</v>
      </c>
      <c r="BP35" s="2897">
        <f t="shared" si="57"/>
        <v>0</v>
      </c>
      <c r="BQ35" s="2897">
        <f t="shared" si="58"/>
        <v>0</v>
      </c>
      <c r="BR35" s="2897">
        <f t="shared" si="59"/>
        <v>0</v>
      </c>
      <c r="BS35" s="2897">
        <f t="shared" si="60"/>
        <v>0</v>
      </c>
      <c r="BT35" s="2971">
        <f t="shared" si="61"/>
        <v>0</v>
      </c>
    </row>
    <row r="36" spans="1:72">
      <c r="A36" s="2894"/>
      <c r="B36" s="2904"/>
      <c r="C36" s="2902"/>
      <c r="D36" s="2903"/>
      <c r="E36" s="2897">
        <f t="shared" si="33"/>
        <v>0</v>
      </c>
      <c r="F36" s="2898"/>
      <c r="G36" s="2899">
        <f t="shared" si="34"/>
        <v>0</v>
      </c>
      <c r="H36" s="2900">
        <f t="shared" si="35"/>
        <v>0</v>
      </c>
      <c r="I36" s="2906"/>
      <c r="J36" s="2918"/>
      <c r="K36" s="2906"/>
      <c r="L36" s="2918"/>
      <c r="M36" s="2918"/>
      <c r="N36" s="2918"/>
      <c r="O36" s="2918"/>
      <c r="P36" s="2918"/>
      <c r="Q36" s="2918"/>
      <c r="R36" s="2918"/>
      <c r="S36" s="2918"/>
      <c r="T36" s="2918"/>
      <c r="U36" s="2918"/>
      <c r="V36" s="2918"/>
      <c r="W36" s="2918"/>
      <c r="X36" s="2918"/>
      <c r="Y36" s="2918"/>
      <c r="Z36" s="2918"/>
      <c r="AA36" s="2918"/>
      <c r="AB36" s="2918"/>
      <c r="AC36" s="2897">
        <f t="shared" si="36"/>
        <v>0</v>
      </c>
      <c r="AD36" s="2929"/>
      <c r="AE36" s="2929"/>
      <c r="AF36" s="2906"/>
      <c r="AG36" s="2929"/>
      <c r="AH36" s="2929"/>
      <c r="AI36" s="2929"/>
      <c r="AJ36" s="2929"/>
      <c r="AK36" s="2929"/>
      <c r="AL36" s="2929"/>
      <c r="AM36" s="2929"/>
      <c r="AN36" s="2929"/>
      <c r="AO36" s="2929"/>
      <c r="AP36" s="2929"/>
      <c r="AQ36" s="2929"/>
      <c r="AR36" s="2929"/>
      <c r="AS36" s="2929"/>
      <c r="AT36" s="2949"/>
      <c r="AU36" s="2950"/>
      <c r="AV36" s="454">
        <f t="shared" si="37"/>
        <v>0</v>
      </c>
      <c r="AW36" s="454">
        <f t="shared" si="38"/>
        <v>0</v>
      </c>
      <c r="AX36" s="454">
        <f t="shared" si="39"/>
        <v>0</v>
      </c>
      <c r="AY36" s="2966">
        <f t="shared" si="40"/>
        <v>0</v>
      </c>
      <c r="AZ36" s="2897">
        <f t="shared" si="41"/>
        <v>0</v>
      </c>
      <c r="BA36" s="2897">
        <f t="shared" si="42"/>
        <v>0</v>
      </c>
      <c r="BB36" s="2897">
        <f t="shared" si="43"/>
        <v>0</v>
      </c>
      <c r="BC36" s="2897">
        <f t="shared" si="44"/>
        <v>0</v>
      </c>
      <c r="BD36" s="2897">
        <f t="shared" si="45"/>
        <v>0</v>
      </c>
      <c r="BE36" s="2897">
        <f t="shared" si="46"/>
        <v>0</v>
      </c>
      <c r="BF36" s="2897">
        <f t="shared" si="47"/>
        <v>0</v>
      </c>
      <c r="BG36" s="2897">
        <f t="shared" si="48"/>
        <v>0</v>
      </c>
      <c r="BH36" s="2897">
        <f t="shared" si="49"/>
        <v>0</v>
      </c>
      <c r="BI36" s="2897">
        <f t="shared" si="50"/>
        <v>0</v>
      </c>
      <c r="BJ36" s="2897">
        <f t="shared" si="51"/>
        <v>0</v>
      </c>
      <c r="BK36" s="2897">
        <f t="shared" si="52"/>
        <v>0</v>
      </c>
      <c r="BL36" s="2897">
        <f t="shared" si="53"/>
        <v>0</v>
      </c>
      <c r="BM36" s="2897">
        <f t="shared" si="54"/>
        <v>0</v>
      </c>
      <c r="BN36" s="2897">
        <f t="shared" si="55"/>
        <v>0</v>
      </c>
      <c r="BO36" s="2897">
        <f t="shared" si="56"/>
        <v>0</v>
      </c>
      <c r="BP36" s="2897">
        <f t="shared" si="57"/>
        <v>0</v>
      </c>
      <c r="BQ36" s="2897">
        <f t="shared" si="58"/>
        <v>0</v>
      </c>
      <c r="BR36" s="2897">
        <f t="shared" si="59"/>
        <v>0</v>
      </c>
      <c r="BS36" s="2897">
        <f t="shared" si="60"/>
        <v>0</v>
      </c>
      <c r="BT36" s="2971">
        <f t="shared" si="61"/>
        <v>0</v>
      </c>
    </row>
    <row r="37" spans="1:72">
      <c r="A37" s="2894"/>
      <c r="B37" s="2904"/>
      <c r="C37" s="2902"/>
      <c r="D37" s="2903"/>
      <c r="E37" s="2897">
        <f t="shared" si="33"/>
        <v>0</v>
      </c>
      <c r="F37" s="2898"/>
      <c r="G37" s="2899">
        <f t="shared" si="34"/>
        <v>0</v>
      </c>
      <c r="H37" s="2900">
        <f t="shared" si="35"/>
        <v>0</v>
      </c>
      <c r="I37" s="2906"/>
      <c r="J37" s="2918"/>
      <c r="K37" s="2906"/>
      <c r="L37" s="2918"/>
      <c r="M37" s="2918"/>
      <c r="N37" s="2918"/>
      <c r="O37" s="2918"/>
      <c r="P37" s="2918"/>
      <c r="Q37" s="2918"/>
      <c r="R37" s="2918"/>
      <c r="S37" s="2918"/>
      <c r="T37" s="2918"/>
      <c r="U37" s="2918"/>
      <c r="V37" s="2918"/>
      <c r="W37" s="2918"/>
      <c r="X37" s="2918"/>
      <c r="Y37" s="2918"/>
      <c r="Z37" s="2918"/>
      <c r="AA37" s="2918"/>
      <c r="AB37" s="2918"/>
      <c r="AC37" s="2897">
        <f t="shared" si="36"/>
        <v>0</v>
      </c>
      <c r="AD37" s="2929"/>
      <c r="AE37" s="2929"/>
      <c r="AF37" s="2906"/>
      <c r="AG37" s="2929"/>
      <c r="AH37" s="2929"/>
      <c r="AI37" s="2929"/>
      <c r="AJ37" s="2929"/>
      <c r="AK37" s="2929"/>
      <c r="AL37" s="2929"/>
      <c r="AM37" s="2929"/>
      <c r="AN37" s="2929"/>
      <c r="AO37" s="2929"/>
      <c r="AP37" s="2929"/>
      <c r="AQ37" s="2929"/>
      <c r="AR37" s="2929"/>
      <c r="AS37" s="2929"/>
      <c r="AT37" s="2949"/>
      <c r="AU37" s="2950"/>
      <c r="AV37" s="454">
        <f t="shared" si="37"/>
        <v>0</v>
      </c>
      <c r="AW37" s="454">
        <f t="shared" si="38"/>
        <v>0</v>
      </c>
      <c r="AX37" s="454">
        <f t="shared" si="39"/>
        <v>0</v>
      </c>
      <c r="AY37" s="2966">
        <f t="shared" si="40"/>
        <v>0</v>
      </c>
      <c r="AZ37" s="2897">
        <f t="shared" si="41"/>
        <v>0</v>
      </c>
      <c r="BA37" s="2897">
        <f t="shared" si="42"/>
        <v>0</v>
      </c>
      <c r="BB37" s="2897">
        <f t="shared" si="43"/>
        <v>0</v>
      </c>
      <c r="BC37" s="2897">
        <f t="shared" si="44"/>
        <v>0</v>
      </c>
      <c r="BD37" s="2897">
        <f t="shared" si="45"/>
        <v>0</v>
      </c>
      <c r="BE37" s="2897">
        <f t="shared" si="46"/>
        <v>0</v>
      </c>
      <c r="BF37" s="2897">
        <f t="shared" si="47"/>
        <v>0</v>
      </c>
      <c r="BG37" s="2897">
        <f t="shared" si="48"/>
        <v>0</v>
      </c>
      <c r="BH37" s="2897">
        <f t="shared" si="49"/>
        <v>0</v>
      </c>
      <c r="BI37" s="2897">
        <f t="shared" si="50"/>
        <v>0</v>
      </c>
      <c r="BJ37" s="2897">
        <f t="shared" si="51"/>
        <v>0</v>
      </c>
      <c r="BK37" s="2897">
        <f t="shared" si="52"/>
        <v>0</v>
      </c>
      <c r="BL37" s="2897">
        <f t="shared" si="53"/>
        <v>0</v>
      </c>
      <c r="BM37" s="2897">
        <f t="shared" si="54"/>
        <v>0</v>
      </c>
      <c r="BN37" s="2897">
        <f t="shared" si="55"/>
        <v>0</v>
      </c>
      <c r="BO37" s="2897">
        <f t="shared" si="56"/>
        <v>0</v>
      </c>
      <c r="BP37" s="2897">
        <f t="shared" si="57"/>
        <v>0</v>
      </c>
      <c r="BQ37" s="2897">
        <f t="shared" si="58"/>
        <v>0</v>
      </c>
      <c r="BR37" s="2897">
        <f t="shared" si="59"/>
        <v>0</v>
      </c>
      <c r="BS37" s="2897">
        <f t="shared" si="60"/>
        <v>0</v>
      </c>
      <c r="BT37" s="2971">
        <f t="shared" si="61"/>
        <v>0</v>
      </c>
    </row>
    <row r="38" spans="1:72">
      <c r="A38" s="2894"/>
      <c r="B38" s="2904"/>
      <c r="C38" s="2902"/>
      <c r="D38" s="2903"/>
      <c r="E38" s="2897">
        <f t="shared" si="33"/>
        <v>0</v>
      </c>
      <c r="F38" s="2898"/>
      <c r="G38" s="2899">
        <f t="shared" si="34"/>
        <v>0</v>
      </c>
      <c r="H38" s="2900">
        <f t="shared" si="35"/>
        <v>0</v>
      </c>
      <c r="I38" s="2906"/>
      <c r="J38" s="2918"/>
      <c r="K38" s="2906"/>
      <c r="L38" s="2918"/>
      <c r="M38" s="2918"/>
      <c r="N38" s="2918"/>
      <c r="O38" s="2918"/>
      <c r="P38" s="2918"/>
      <c r="Q38" s="2918"/>
      <c r="R38" s="2918"/>
      <c r="S38" s="2918"/>
      <c r="T38" s="2918"/>
      <c r="U38" s="2918"/>
      <c r="V38" s="2918"/>
      <c r="W38" s="2918"/>
      <c r="X38" s="2918"/>
      <c r="Y38" s="2918"/>
      <c r="Z38" s="2918"/>
      <c r="AA38" s="2918"/>
      <c r="AB38" s="2918"/>
      <c r="AC38" s="2897">
        <f t="shared" si="36"/>
        <v>0</v>
      </c>
      <c r="AD38" s="2929"/>
      <c r="AE38" s="2929"/>
      <c r="AF38" s="2906"/>
      <c r="AG38" s="2929"/>
      <c r="AH38" s="2929"/>
      <c r="AI38" s="2929"/>
      <c r="AJ38" s="2929"/>
      <c r="AK38" s="2929"/>
      <c r="AL38" s="2929"/>
      <c r="AM38" s="2929"/>
      <c r="AN38" s="2929"/>
      <c r="AO38" s="2929"/>
      <c r="AP38" s="2929"/>
      <c r="AQ38" s="2929"/>
      <c r="AR38" s="2929"/>
      <c r="AS38" s="2929"/>
      <c r="AT38" s="2949"/>
      <c r="AU38" s="2950"/>
      <c r="AV38" s="454">
        <f t="shared" si="37"/>
        <v>0</v>
      </c>
      <c r="AW38" s="454">
        <f t="shared" si="38"/>
        <v>0</v>
      </c>
      <c r="AX38" s="454">
        <f t="shared" si="39"/>
        <v>0</v>
      </c>
      <c r="AY38" s="2966">
        <f t="shared" si="40"/>
        <v>0</v>
      </c>
      <c r="AZ38" s="2897">
        <f t="shared" si="41"/>
        <v>0</v>
      </c>
      <c r="BA38" s="2897">
        <f t="shared" si="42"/>
        <v>0</v>
      </c>
      <c r="BB38" s="2897">
        <f t="shared" si="43"/>
        <v>0</v>
      </c>
      <c r="BC38" s="2897">
        <f t="shared" si="44"/>
        <v>0</v>
      </c>
      <c r="BD38" s="2897">
        <f t="shared" si="45"/>
        <v>0</v>
      </c>
      <c r="BE38" s="2897">
        <f t="shared" si="46"/>
        <v>0</v>
      </c>
      <c r="BF38" s="2897">
        <f t="shared" si="47"/>
        <v>0</v>
      </c>
      <c r="BG38" s="2897">
        <f t="shared" si="48"/>
        <v>0</v>
      </c>
      <c r="BH38" s="2897">
        <f t="shared" si="49"/>
        <v>0</v>
      </c>
      <c r="BI38" s="2897">
        <f t="shared" si="50"/>
        <v>0</v>
      </c>
      <c r="BJ38" s="2897">
        <f t="shared" si="51"/>
        <v>0</v>
      </c>
      <c r="BK38" s="2897">
        <f t="shared" si="52"/>
        <v>0</v>
      </c>
      <c r="BL38" s="2897">
        <f t="shared" si="53"/>
        <v>0</v>
      </c>
      <c r="BM38" s="2897">
        <f t="shared" si="54"/>
        <v>0</v>
      </c>
      <c r="BN38" s="2897">
        <f t="shared" si="55"/>
        <v>0</v>
      </c>
      <c r="BO38" s="2897">
        <f t="shared" si="56"/>
        <v>0</v>
      </c>
      <c r="BP38" s="2897">
        <f t="shared" si="57"/>
        <v>0</v>
      </c>
      <c r="BQ38" s="2897">
        <f t="shared" si="58"/>
        <v>0</v>
      </c>
      <c r="BR38" s="2897">
        <f t="shared" si="59"/>
        <v>0</v>
      </c>
      <c r="BS38" s="2897">
        <f t="shared" si="60"/>
        <v>0</v>
      </c>
      <c r="BT38" s="2971">
        <f t="shared" si="61"/>
        <v>0</v>
      </c>
    </row>
    <row r="39" spans="1:72">
      <c r="A39" s="2894"/>
      <c r="B39" s="2904"/>
      <c r="C39" s="2902"/>
      <c r="D39" s="2903"/>
      <c r="E39" s="2897">
        <f t="shared" si="33"/>
        <v>0</v>
      </c>
      <c r="F39" s="2898"/>
      <c r="G39" s="2899">
        <f t="shared" si="34"/>
        <v>0</v>
      </c>
      <c r="H39" s="2900">
        <f t="shared" si="35"/>
        <v>0</v>
      </c>
      <c r="I39" s="2906"/>
      <c r="J39" s="2918"/>
      <c r="K39" s="2906"/>
      <c r="L39" s="2918"/>
      <c r="M39" s="2918"/>
      <c r="N39" s="2918"/>
      <c r="O39" s="2918"/>
      <c r="P39" s="2918"/>
      <c r="Q39" s="2918"/>
      <c r="R39" s="2918"/>
      <c r="S39" s="2918"/>
      <c r="T39" s="2918"/>
      <c r="U39" s="2918"/>
      <c r="V39" s="2918"/>
      <c r="W39" s="2918"/>
      <c r="X39" s="2918"/>
      <c r="Y39" s="2918"/>
      <c r="Z39" s="2918"/>
      <c r="AA39" s="2918"/>
      <c r="AB39" s="2918"/>
      <c r="AC39" s="2897">
        <f t="shared" si="36"/>
        <v>0</v>
      </c>
      <c r="AD39" s="2929"/>
      <c r="AE39" s="2929"/>
      <c r="AF39" s="2906"/>
      <c r="AG39" s="2929"/>
      <c r="AH39" s="2929"/>
      <c r="AI39" s="2929"/>
      <c r="AJ39" s="2929"/>
      <c r="AK39" s="2929"/>
      <c r="AL39" s="2929"/>
      <c r="AM39" s="2929"/>
      <c r="AN39" s="2929"/>
      <c r="AO39" s="2929"/>
      <c r="AP39" s="2929"/>
      <c r="AQ39" s="2929"/>
      <c r="AR39" s="2929"/>
      <c r="AS39" s="2929"/>
      <c r="AT39" s="2949"/>
      <c r="AU39" s="2950"/>
      <c r="AV39" s="454">
        <f t="shared" si="37"/>
        <v>0</v>
      </c>
      <c r="AW39" s="454">
        <f t="shared" si="38"/>
        <v>0</v>
      </c>
      <c r="AX39" s="454">
        <f t="shared" si="39"/>
        <v>0</v>
      </c>
      <c r="AY39" s="2966">
        <f t="shared" si="40"/>
        <v>0</v>
      </c>
      <c r="AZ39" s="2897">
        <f t="shared" si="41"/>
        <v>0</v>
      </c>
      <c r="BA39" s="2897">
        <f t="shared" si="42"/>
        <v>0</v>
      </c>
      <c r="BB39" s="2897">
        <f t="shared" si="43"/>
        <v>0</v>
      </c>
      <c r="BC39" s="2897">
        <f t="shared" si="44"/>
        <v>0</v>
      </c>
      <c r="BD39" s="2897">
        <f t="shared" si="45"/>
        <v>0</v>
      </c>
      <c r="BE39" s="2897">
        <f t="shared" si="46"/>
        <v>0</v>
      </c>
      <c r="BF39" s="2897">
        <f t="shared" si="47"/>
        <v>0</v>
      </c>
      <c r="BG39" s="2897">
        <f t="shared" si="48"/>
        <v>0</v>
      </c>
      <c r="BH39" s="2897">
        <f t="shared" si="49"/>
        <v>0</v>
      </c>
      <c r="BI39" s="2897">
        <f t="shared" si="50"/>
        <v>0</v>
      </c>
      <c r="BJ39" s="2897">
        <f t="shared" si="51"/>
        <v>0</v>
      </c>
      <c r="BK39" s="2897">
        <f t="shared" si="52"/>
        <v>0</v>
      </c>
      <c r="BL39" s="2897">
        <f t="shared" si="53"/>
        <v>0</v>
      </c>
      <c r="BM39" s="2897">
        <f t="shared" si="54"/>
        <v>0</v>
      </c>
      <c r="BN39" s="2897">
        <f t="shared" si="55"/>
        <v>0</v>
      </c>
      <c r="BO39" s="2897">
        <f t="shared" si="56"/>
        <v>0</v>
      </c>
      <c r="BP39" s="2897">
        <f t="shared" si="57"/>
        <v>0</v>
      </c>
      <c r="BQ39" s="2897">
        <f t="shared" si="58"/>
        <v>0</v>
      </c>
      <c r="BR39" s="2897">
        <f t="shared" si="59"/>
        <v>0</v>
      </c>
      <c r="BS39" s="2897">
        <f t="shared" si="60"/>
        <v>0</v>
      </c>
      <c r="BT39" s="2971">
        <f t="shared" si="61"/>
        <v>0</v>
      </c>
    </row>
    <row r="40" spans="1:72">
      <c r="A40" s="2894"/>
      <c r="B40" s="2904"/>
      <c r="C40" s="2902"/>
      <c r="D40" s="2903"/>
      <c r="E40" s="2897">
        <f t="shared" si="33"/>
        <v>0</v>
      </c>
      <c r="F40" s="2898"/>
      <c r="G40" s="2899">
        <f t="shared" si="34"/>
        <v>0</v>
      </c>
      <c r="H40" s="2900">
        <f t="shared" si="35"/>
        <v>0</v>
      </c>
      <c r="I40" s="2906"/>
      <c r="J40" s="2918"/>
      <c r="K40" s="2906"/>
      <c r="L40" s="2918"/>
      <c r="M40" s="2918"/>
      <c r="N40" s="2918"/>
      <c r="O40" s="2918"/>
      <c r="P40" s="2918"/>
      <c r="Q40" s="2918"/>
      <c r="R40" s="2918"/>
      <c r="S40" s="2918"/>
      <c r="T40" s="2918"/>
      <c r="U40" s="2918"/>
      <c r="V40" s="2918"/>
      <c r="W40" s="2918"/>
      <c r="X40" s="2918"/>
      <c r="Y40" s="2918"/>
      <c r="Z40" s="2918"/>
      <c r="AA40" s="2918"/>
      <c r="AB40" s="2918"/>
      <c r="AC40" s="2897">
        <f t="shared" si="36"/>
        <v>0</v>
      </c>
      <c r="AD40" s="2929"/>
      <c r="AE40" s="2929"/>
      <c r="AF40" s="2906"/>
      <c r="AG40" s="2929"/>
      <c r="AH40" s="2929"/>
      <c r="AI40" s="2929"/>
      <c r="AJ40" s="2929"/>
      <c r="AK40" s="2929"/>
      <c r="AL40" s="2929"/>
      <c r="AM40" s="2929"/>
      <c r="AN40" s="2929"/>
      <c r="AO40" s="2929"/>
      <c r="AP40" s="2929"/>
      <c r="AQ40" s="2929"/>
      <c r="AR40" s="2929"/>
      <c r="AS40" s="2929"/>
      <c r="AT40" s="2949"/>
      <c r="AU40" s="2950"/>
      <c r="AV40" s="454">
        <f t="shared" si="37"/>
        <v>0</v>
      </c>
      <c r="AW40" s="454">
        <f t="shared" si="38"/>
        <v>0</v>
      </c>
      <c r="AX40" s="454">
        <f t="shared" si="39"/>
        <v>0</v>
      </c>
      <c r="AY40" s="2966">
        <f t="shared" si="40"/>
        <v>0</v>
      </c>
      <c r="AZ40" s="2897">
        <f t="shared" si="41"/>
        <v>0</v>
      </c>
      <c r="BA40" s="2897">
        <f t="shared" si="42"/>
        <v>0</v>
      </c>
      <c r="BB40" s="2897">
        <f t="shared" si="43"/>
        <v>0</v>
      </c>
      <c r="BC40" s="2897">
        <f t="shared" si="44"/>
        <v>0</v>
      </c>
      <c r="BD40" s="2897">
        <f t="shared" si="45"/>
        <v>0</v>
      </c>
      <c r="BE40" s="2897">
        <f t="shared" si="46"/>
        <v>0</v>
      </c>
      <c r="BF40" s="2897">
        <f t="shared" si="47"/>
        <v>0</v>
      </c>
      <c r="BG40" s="2897">
        <f t="shared" si="48"/>
        <v>0</v>
      </c>
      <c r="BH40" s="2897">
        <f t="shared" si="49"/>
        <v>0</v>
      </c>
      <c r="BI40" s="2897">
        <f t="shared" si="50"/>
        <v>0</v>
      </c>
      <c r="BJ40" s="2897">
        <f t="shared" si="51"/>
        <v>0</v>
      </c>
      <c r="BK40" s="2897">
        <f t="shared" si="52"/>
        <v>0</v>
      </c>
      <c r="BL40" s="2897">
        <f t="shared" si="53"/>
        <v>0</v>
      </c>
      <c r="BM40" s="2897">
        <f t="shared" si="54"/>
        <v>0</v>
      </c>
      <c r="BN40" s="2897">
        <f t="shared" si="55"/>
        <v>0</v>
      </c>
      <c r="BO40" s="2897">
        <f t="shared" si="56"/>
        <v>0</v>
      </c>
      <c r="BP40" s="2897">
        <f t="shared" si="57"/>
        <v>0</v>
      </c>
      <c r="BQ40" s="2897">
        <f t="shared" si="58"/>
        <v>0</v>
      </c>
      <c r="BR40" s="2897">
        <f t="shared" si="59"/>
        <v>0</v>
      </c>
      <c r="BS40" s="2897">
        <f t="shared" si="60"/>
        <v>0</v>
      </c>
      <c r="BT40" s="2971">
        <f t="shared" si="61"/>
        <v>0</v>
      </c>
    </row>
    <row r="41" spans="1:72">
      <c r="A41" s="2894"/>
      <c r="B41" s="2904"/>
      <c r="C41" s="2902"/>
      <c r="D41" s="2903"/>
      <c r="E41" s="2897">
        <f t="shared" si="33"/>
        <v>0</v>
      </c>
      <c r="F41" s="2898"/>
      <c r="G41" s="2899">
        <f t="shared" si="34"/>
        <v>0</v>
      </c>
      <c r="H41" s="2900">
        <f t="shared" si="35"/>
        <v>0</v>
      </c>
      <c r="I41" s="2906"/>
      <c r="J41" s="2918"/>
      <c r="K41" s="2906"/>
      <c r="L41" s="2918"/>
      <c r="M41" s="2918"/>
      <c r="N41" s="2918"/>
      <c r="O41" s="2918"/>
      <c r="P41" s="2918"/>
      <c r="Q41" s="2918"/>
      <c r="R41" s="2918"/>
      <c r="S41" s="2918"/>
      <c r="T41" s="2918"/>
      <c r="U41" s="2918"/>
      <c r="V41" s="2918"/>
      <c r="W41" s="2918"/>
      <c r="X41" s="2918"/>
      <c r="Y41" s="2918"/>
      <c r="Z41" s="2918"/>
      <c r="AA41" s="2918"/>
      <c r="AB41" s="2918"/>
      <c r="AC41" s="2897">
        <f t="shared" si="36"/>
        <v>0</v>
      </c>
      <c r="AD41" s="2929"/>
      <c r="AE41" s="2929"/>
      <c r="AF41" s="2906"/>
      <c r="AG41" s="2929"/>
      <c r="AH41" s="2929"/>
      <c r="AI41" s="2929"/>
      <c r="AJ41" s="2929"/>
      <c r="AK41" s="2929"/>
      <c r="AL41" s="2929"/>
      <c r="AM41" s="2929"/>
      <c r="AN41" s="2929"/>
      <c r="AO41" s="2929"/>
      <c r="AP41" s="2929"/>
      <c r="AQ41" s="2929"/>
      <c r="AR41" s="2929"/>
      <c r="AS41" s="2929"/>
      <c r="AT41" s="2949"/>
      <c r="AU41" s="2950"/>
      <c r="AV41" s="454">
        <f t="shared" si="37"/>
        <v>0</v>
      </c>
      <c r="AW41" s="454">
        <f t="shared" si="38"/>
        <v>0</v>
      </c>
      <c r="AX41" s="454">
        <f t="shared" si="39"/>
        <v>0</v>
      </c>
      <c r="AY41" s="2966">
        <f t="shared" si="40"/>
        <v>0</v>
      </c>
      <c r="AZ41" s="2897">
        <f t="shared" si="41"/>
        <v>0</v>
      </c>
      <c r="BA41" s="2897">
        <f t="shared" si="42"/>
        <v>0</v>
      </c>
      <c r="BB41" s="2897">
        <f t="shared" si="43"/>
        <v>0</v>
      </c>
      <c r="BC41" s="2897">
        <f t="shared" si="44"/>
        <v>0</v>
      </c>
      <c r="BD41" s="2897">
        <f t="shared" si="45"/>
        <v>0</v>
      </c>
      <c r="BE41" s="2897">
        <f t="shared" si="46"/>
        <v>0</v>
      </c>
      <c r="BF41" s="2897">
        <f t="shared" si="47"/>
        <v>0</v>
      </c>
      <c r="BG41" s="2897">
        <f t="shared" si="48"/>
        <v>0</v>
      </c>
      <c r="BH41" s="2897">
        <f t="shared" si="49"/>
        <v>0</v>
      </c>
      <c r="BI41" s="2897">
        <f t="shared" si="50"/>
        <v>0</v>
      </c>
      <c r="BJ41" s="2897">
        <f t="shared" si="51"/>
        <v>0</v>
      </c>
      <c r="BK41" s="2897">
        <f t="shared" si="52"/>
        <v>0</v>
      </c>
      <c r="BL41" s="2897">
        <f t="shared" si="53"/>
        <v>0</v>
      </c>
      <c r="BM41" s="2897">
        <f t="shared" si="54"/>
        <v>0</v>
      </c>
      <c r="BN41" s="2897">
        <f t="shared" si="55"/>
        <v>0</v>
      </c>
      <c r="BO41" s="2897">
        <f t="shared" si="56"/>
        <v>0</v>
      </c>
      <c r="BP41" s="2897">
        <f t="shared" si="57"/>
        <v>0</v>
      </c>
      <c r="BQ41" s="2897">
        <f t="shared" si="58"/>
        <v>0</v>
      </c>
      <c r="BR41" s="2897">
        <f t="shared" si="59"/>
        <v>0</v>
      </c>
      <c r="BS41" s="2897">
        <f t="shared" si="60"/>
        <v>0</v>
      </c>
      <c r="BT41" s="2971">
        <f t="shared" si="61"/>
        <v>0</v>
      </c>
    </row>
    <row r="42" spans="1:72">
      <c r="A42" s="2894"/>
      <c r="B42" s="2904"/>
      <c r="C42" s="2902"/>
      <c r="D42" s="2903"/>
      <c r="E42" s="2897">
        <f t="shared" si="33"/>
        <v>0</v>
      </c>
      <c r="F42" s="2898"/>
      <c r="G42" s="2899">
        <f t="shared" si="34"/>
        <v>0</v>
      </c>
      <c r="H42" s="2900">
        <f t="shared" si="35"/>
        <v>0</v>
      </c>
      <c r="I42" s="2906"/>
      <c r="J42" s="2918"/>
      <c r="K42" s="2906"/>
      <c r="L42" s="2918"/>
      <c r="M42" s="2918"/>
      <c r="N42" s="2918"/>
      <c r="O42" s="2918"/>
      <c r="P42" s="2918"/>
      <c r="Q42" s="2918"/>
      <c r="R42" s="2918"/>
      <c r="S42" s="2918"/>
      <c r="T42" s="2918"/>
      <c r="U42" s="2918"/>
      <c r="V42" s="2918"/>
      <c r="W42" s="2918"/>
      <c r="X42" s="2918"/>
      <c r="Y42" s="2918"/>
      <c r="Z42" s="2918"/>
      <c r="AA42" s="2918"/>
      <c r="AB42" s="2918"/>
      <c r="AC42" s="2897">
        <f t="shared" si="36"/>
        <v>0</v>
      </c>
      <c r="AD42" s="2929"/>
      <c r="AE42" s="2929"/>
      <c r="AF42" s="2906"/>
      <c r="AG42" s="2929"/>
      <c r="AH42" s="2929"/>
      <c r="AI42" s="2929"/>
      <c r="AJ42" s="2929"/>
      <c r="AK42" s="2929"/>
      <c r="AL42" s="2929"/>
      <c r="AM42" s="2929"/>
      <c r="AN42" s="2929"/>
      <c r="AO42" s="2929"/>
      <c r="AP42" s="2929"/>
      <c r="AQ42" s="2929"/>
      <c r="AR42" s="2929"/>
      <c r="AS42" s="2929"/>
      <c r="AT42" s="2949"/>
      <c r="AU42" s="2950"/>
      <c r="AV42" s="454">
        <f t="shared" si="37"/>
        <v>0</v>
      </c>
      <c r="AW42" s="454">
        <f t="shared" si="38"/>
        <v>0</v>
      </c>
      <c r="AX42" s="454">
        <f t="shared" si="39"/>
        <v>0</v>
      </c>
      <c r="AY42" s="2966">
        <f t="shared" si="40"/>
        <v>0</v>
      </c>
      <c r="AZ42" s="2897">
        <f t="shared" si="41"/>
        <v>0</v>
      </c>
      <c r="BA42" s="2897">
        <f t="shared" si="42"/>
        <v>0</v>
      </c>
      <c r="BB42" s="2897">
        <f t="shared" si="43"/>
        <v>0</v>
      </c>
      <c r="BC42" s="2897">
        <f t="shared" si="44"/>
        <v>0</v>
      </c>
      <c r="BD42" s="2897">
        <f t="shared" si="45"/>
        <v>0</v>
      </c>
      <c r="BE42" s="2897">
        <f t="shared" si="46"/>
        <v>0</v>
      </c>
      <c r="BF42" s="2897">
        <f t="shared" si="47"/>
        <v>0</v>
      </c>
      <c r="BG42" s="2897">
        <f t="shared" si="48"/>
        <v>0</v>
      </c>
      <c r="BH42" s="2897">
        <f t="shared" si="49"/>
        <v>0</v>
      </c>
      <c r="BI42" s="2897">
        <f t="shared" si="50"/>
        <v>0</v>
      </c>
      <c r="BJ42" s="2897">
        <f t="shared" si="51"/>
        <v>0</v>
      </c>
      <c r="BK42" s="2897">
        <f t="shared" si="52"/>
        <v>0</v>
      </c>
      <c r="BL42" s="2897">
        <f t="shared" si="53"/>
        <v>0</v>
      </c>
      <c r="BM42" s="2897">
        <f t="shared" si="54"/>
        <v>0</v>
      </c>
      <c r="BN42" s="2897">
        <f t="shared" si="55"/>
        <v>0</v>
      </c>
      <c r="BO42" s="2897">
        <f t="shared" si="56"/>
        <v>0</v>
      </c>
      <c r="BP42" s="2897">
        <f t="shared" si="57"/>
        <v>0</v>
      </c>
      <c r="BQ42" s="2897">
        <f t="shared" si="58"/>
        <v>0</v>
      </c>
      <c r="BR42" s="2897">
        <f t="shared" si="59"/>
        <v>0</v>
      </c>
      <c r="BS42" s="2897">
        <f t="shared" si="60"/>
        <v>0</v>
      </c>
      <c r="BT42" s="2971">
        <f t="shared" si="61"/>
        <v>0</v>
      </c>
    </row>
    <row r="43" spans="1:72">
      <c r="A43" s="2894"/>
      <c r="B43" s="2904"/>
      <c r="C43" s="2902"/>
      <c r="D43" s="2903"/>
      <c r="E43" s="2897">
        <f t="shared" si="33"/>
        <v>0</v>
      </c>
      <c r="F43" s="2898"/>
      <c r="G43" s="2899">
        <f t="shared" si="34"/>
        <v>0</v>
      </c>
      <c r="H43" s="2900">
        <f t="shared" si="35"/>
        <v>0</v>
      </c>
      <c r="I43" s="2906"/>
      <c r="J43" s="2918"/>
      <c r="K43" s="2906"/>
      <c r="L43" s="2918"/>
      <c r="M43" s="2918"/>
      <c r="N43" s="2918"/>
      <c r="O43" s="2918"/>
      <c r="P43" s="2918"/>
      <c r="Q43" s="2918"/>
      <c r="R43" s="2918"/>
      <c r="S43" s="2918"/>
      <c r="T43" s="2918"/>
      <c r="U43" s="2918"/>
      <c r="V43" s="2918"/>
      <c r="W43" s="2918"/>
      <c r="X43" s="2918"/>
      <c r="Y43" s="2918"/>
      <c r="Z43" s="2918"/>
      <c r="AA43" s="2918"/>
      <c r="AB43" s="2918"/>
      <c r="AC43" s="2897">
        <f t="shared" si="36"/>
        <v>0</v>
      </c>
      <c r="AD43" s="2929"/>
      <c r="AE43" s="2929"/>
      <c r="AF43" s="2906"/>
      <c r="AG43" s="2929"/>
      <c r="AH43" s="2929"/>
      <c r="AI43" s="2929"/>
      <c r="AJ43" s="2929"/>
      <c r="AK43" s="2929"/>
      <c r="AL43" s="2929"/>
      <c r="AM43" s="2929"/>
      <c r="AN43" s="2929"/>
      <c r="AO43" s="2929"/>
      <c r="AP43" s="2929"/>
      <c r="AQ43" s="2929"/>
      <c r="AR43" s="2929"/>
      <c r="AS43" s="2929"/>
      <c r="AT43" s="2949"/>
      <c r="AU43" s="2950"/>
      <c r="AV43" s="454">
        <f t="shared" si="37"/>
        <v>0</v>
      </c>
      <c r="AW43" s="454">
        <f t="shared" si="38"/>
        <v>0</v>
      </c>
      <c r="AX43" s="454">
        <f t="shared" si="39"/>
        <v>0</v>
      </c>
      <c r="AY43" s="2966">
        <f t="shared" si="40"/>
        <v>0</v>
      </c>
      <c r="AZ43" s="2897">
        <f t="shared" si="41"/>
        <v>0</v>
      </c>
      <c r="BA43" s="2897">
        <f t="shared" si="42"/>
        <v>0</v>
      </c>
      <c r="BB43" s="2897">
        <f t="shared" si="43"/>
        <v>0</v>
      </c>
      <c r="BC43" s="2897">
        <f t="shared" si="44"/>
        <v>0</v>
      </c>
      <c r="BD43" s="2897">
        <f t="shared" si="45"/>
        <v>0</v>
      </c>
      <c r="BE43" s="2897">
        <f t="shared" si="46"/>
        <v>0</v>
      </c>
      <c r="BF43" s="2897">
        <f t="shared" si="47"/>
        <v>0</v>
      </c>
      <c r="BG43" s="2897">
        <f t="shared" si="48"/>
        <v>0</v>
      </c>
      <c r="BH43" s="2897">
        <f t="shared" si="49"/>
        <v>0</v>
      </c>
      <c r="BI43" s="2897">
        <f t="shared" si="50"/>
        <v>0</v>
      </c>
      <c r="BJ43" s="2897">
        <f t="shared" si="51"/>
        <v>0</v>
      </c>
      <c r="BK43" s="2897">
        <f t="shared" si="52"/>
        <v>0</v>
      </c>
      <c r="BL43" s="2897">
        <f t="shared" si="53"/>
        <v>0</v>
      </c>
      <c r="BM43" s="2897">
        <f t="shared" si="54"/>
        <v>0</v>
      </c>
      <c r="BN43" s="2897">
        <f t="shared" si="55"/>
        <v>0</v>
      </c>
      <c r="BO43" s="2897">
        <f t="shared" si="56"/>
        <v>0</v>
      </c>
      <c r="BP43" s="2897">
        <f t="shared" si="57"/>
        <v>0</v>
      </c>
      <c r="BQ43" s="2897">
        <f t="shared" si="58"/>
        <v>0</v>
      </c>
      <c r="BR43" s="2897">
        <f t="shared" si="59"/>
        <v>0</v>
      </c>
      <c r="BS43" s="2897">
        <f t="shared" si="60"/>
        <v>0</v>
      </c>
      <c r="BT43" s="2971">
        <f t="shared" si="61"/>
        <v>0</v>
      </c>
    </row>
    <row r="44" spans="1:72">
      <c r="A44" s="2894"/>
      <c r="B44" s="2904"/>
      <c r="C44" s="2902"/>
      <c r="D44" s="2903"/>
      <c r="E44" s="2897">
        <f t="shared" si="33"/>
        <v>0</v>
      </c>
      <c r="F44" s="2898"/>
      <c r="G44" s="2899">
        <f t="shared" si="34"/>
        <v>0</v>
      </c>
      <c r="H44" s="2900">
        <f t="shared" si="35"/>
        <v>0</v>
      </c>
      <c r="I44" s="2906"/>
      <c r="J44" s="2918"/>
      <c r="K44" s="2906"/>
      <c r="L44" s="2918"/>
      <c r="M44" s="2918"/>
      <c r="N44" s="2918"/>
      <c r="O44" s="2918"/>
      <c r="P44" s="2918"/>
      <c r="Q44" s="2918"/>
      <c r="R44" s="2918"/>
      <c r="S44" s="2918"/>
      <c r="T44" s="2918"/>
      <c r="U44" s="2918"/>
      <c r="V44" s="2918"/>
      <c r="W44" s="2918"/>
      <c r="X44" s="2918"/>
      <c r="Y44" s="2918"/>
      <c r="Z44" s="2918"/>
      <c r="AA44" s="2918"/>
      <c r="AB44" s="2918"/>
      <c r="AC44" s="2897">
        <f t="shared" si="36"/>
        <v>0</v>
      </c>
      <c r="AD44" s="2929"/>
      <c r="AE44" s="2929"/>
      <c r="AF44" s="2906"/>
      <c r="AG44" s="2929"/>
      <c r="AH44" s="2929"/>
      <c r="AI44" s="2929"/>
      <c r="AJ44" s="2929"/>
      <c r="AK44" s="2929"/>
      <c r="AL44" s="2929"/>
      <c r="AM44" s="2929"/>
      <c r="AN44" s="2929"/>
      <c r="AO44" s="2929"/>
      <c r="AP44" s="2929"/>
      <c r="AQ44" s="2929"/>
      <c r="AR44" s="2929"/>
      <c r="AS44" s="2929"/>
      <c r="AT44" s="2949"/>
      <c r="AU44" s="2950"/>
      <c r="AV44" s="454">
        <f t="shared" si="37"/>
        <v>0</v>
      </c>
      <c r="AW44" s="454">
        <f t="shared" si="38"/>
        <v>0</v>
      </c>
      <c r="AX44" s="454">
        <f t="shared" si="39"/>
        <v>0</v>
      </c>
      <c r="AY44" s="2966">
        <f t="shared" si="40"/>
        <v>0</v>
      </c>
      <c r="AZ44" s="2897">
        <f t="shared" si="41"/>
        <v>0</v>
      </c>
      <c r="BA44" s="2897">
        <f t="shared" si="42"/>
        <v>0</v>
      </c>
      <c r="BB44" s="2897">
        <f t="shared" si="43"/>
        <v>0</v>
      </c>
      <c r="BC44" s="2897">
        <f t="shared" si="44"/>
        <v>0</v>
      </c>
      <c r="BD44" s="2897">
        <f t="shared" si="45"/>
        <v>0</v>
      </c>
      <c r="BE44" s="2897">
        <f t="shared" si="46"/>
        <v>0</v>
      </c>
      <c r="BF44" s="2897">
        <f t="shared" si="47"/>
        <v>0</v>
      </c>
      <c r="BG44" s="2897">
        <f t="shared" si="48"/>
        <v>0</v>
      </c>
      <c r="BH44" s="2897">
        <f t="shared" si="49"/>
        <v>0</v>
      </c>
      <c r="BI44" s="2897">
        <f t="shared" si="50"/>
        <v>0</v>
      </c>
      <c r="BJ44" s="2897">
        <f t="shared" si="51"/>
        <v>0</v>
      </c>
      <c r="BK44" s="2897">
        <f t="shared" si="52"/>
        <v>0</v>
      </c>
      <c r="BL44" s="2897">
        <f t="shared" si="53"/>
        <v>0</v>
      </c>
      <c r="BM44" s="2897">
        <f t="shared" si="54"/>
        <v>0</v>
      </c>
      <c r="BN44" s="2897">
        <f t="shared" si="55"/>
        <v>0</v>
      </c>
      <c r="BO44" s="2897">
        <f t="shared" si="56"/>
        <v>0</v>
      </c>
      <c r="BP44" s="2897">
        <f t="shared" si="57"/>
        <v>0</v>
      </c>
      <c r="BQ44" s="2897">
        <f t="shared" si="58"/>
        <v>0</v>
      </c>
      <c r="BR44" s="2897">
        <f t="shared" si="59"/>
        <v>0</v>
      </c>
      <c r="BS44" s="2897">
        <f t="shared" si="60"/>
        <v>0</v>
      </c>
      <c r="BT44" s="2971">
        <f t="shared" si="61"/>
        <v>0</v>
      </c>
    </row>
    <row r="45" spans="1:72">
      <c r="A45" s="2894"/>
      <c r="B45" s="2904"/>
      <c r="C45" s="2902"/>
      <c r="D45" s="2903"/>
      <c r="E45" s="2897">
        <f t="shared" si="33"/>
        <v>0</v>
      </c>
      <c r="F45" s="2898"/>
      <c r="G45" s="2899">
        <f t="shared" si="34"/>
        <v>0</v>
      </c>
      <c r="H45" s="2900">
        <f t="shared" si="35"/>
        <v>0</v>
      </c>
      <c r="I45" s="2906"/>
      <c r="J45" s="2918"/>
      <c r="K45" s="2906"/>
      <c r="L45" s="2918"/>
      <c r="M45" s="2918"/>
      <c r="N45" s="2918"/>
      <c r="O45" s="2918"/>
      <c r="P45" s="2918"/>
      <c r="Q45" s="2918"/>
      <c r="R45" s="2918"/>
      <c r="S45" s="2918"/>
      <c r="T45" s="2918"/>
      <c r="U45" s="2918"/>
      <c r="V45" s="2918"/>
      <c r="W45" s="2918"/>
      <c r="X45" s="2918"/>
      <c r="Y45" s="2918"/>
      <c r="Z45" s="2918"/>
      <c r="AA45" s="2918"/>
      <c r="AB45" s="2918"/>
      <c r="AC45" s="2897">
        <f t="shared" si="36"/>
        <v>0</v>
      </c>
      <c r="AD45" s="2929"/>
      <c r="AE45" s="2929"/>
      <c r="AF45" s="2906"/>
      <c r="AG45" s="2929"/>
      <c r="AH45" s="2929"/>
      <c r="AI45" s="2929"/>
      <c r="AJ45" s="2929"/>
      <c r="AK45" s="2929"/>
      <c r="AL45" s="2929"/>
      <c r="AM45" s="2929"/>
      <c r="AN45" s="2929"/>
      <c r="AO45" s="2929"/>
      <c r="AP45" s="2929"/>
      <c r="AQ45" s="2929"/>
      <c r="AR45" s="2929"/>
      <c r="AS45" s="2929"/>
      <c r="AT45" s="2949"/>
      <c r="AU45" s="2950"/>
      <c r="AV45" s="454">
        <f t="shared" si="37"/>
        <v>0</v>
      </c>
      <c r="AW45" s="454">
        <f t="shared" si="38"/>
        <v>0</v>
      </c>
      <c r="AX45" s="454">
        <f t="shared" si="39"/>
        <v>0</v>
      </c>
      <c r="AY45" s="2966">
        <f t="shared" si="40"/>
        <v>0</v>
      </c>
      <c r="AZ45" s="2897">
        <f t="shared" si="41"/>
        <v>0</v>
      </c>
      <c r="BA45" s="2897">
        <f t="shared" si="42"/>
        <v>0</v>
      </c>
      <c r="BB45" s="2897">
        <f t="shared" si="43"/>
        <v>0</v>
      </c>
      <c r="BC45" s="2897">
        <f t="shared" si="44"/>
        <v>0</v>
      </c>
      <c r="BD45" s="2897">
        <f t="shared" si="45"/>
        <v>0</v>
      </c>
      <c r="BE45" s="2897">
        <f t="shared" si="46"/>
        <v>0</v>
      </c>
      <c r="BF45" s="2897">
        <f t="shared" si="47"/>
        <v>0</v>
      </c>
      <c r="BG45" s="2897">
        <f t="shared" si="48"/>
        <v>0</v>
      </c>
      <c r="BH45" s="2897">
        <f t="shared" si="49"/>
        <v>0</v>
      </c>
      <c r="BI45" s="2897">
        <f t="shared" si="50"/>
        <v>0</v>
      </c>
      <c r="BJ45" s="2897">
        <f t="shared" si="51"/>
        <v>0</v>
      </c>
      <c r="BK45" s="2897">
        <f t="shared" si="52"/>
        <v>0</v>
      </c>
      <c r="BL45" s="2897">
        <f t="shared" si="53"/>
        <v>0</v>
      </c>
      <c r="BM45" s="2897">
        <f t="shared" si="54"/>
        <v>0</v>
      </c>
      <c r="BN45" s="2897">
        <f t="shared" si="55"/>
        <v>0</v>
      </c>
      <c r="BO45" s="2897">
        <f t="shared" si="56"/>
        <v>0</v>
      </c>
      <c r="BP45" s="2897">
        <f t="shared" si="57"/>
        <v>0</v>
      </c>
      <c r="BQ45" s="2897">
        <f t="shared" si="58"/>
        <v>0</v>
      </c>
      <c r="BR45" s="2897">
        <f t="shared" si="59"/>
        <v>0</v>
      </c>
      <c r="BS45" s="2897">
        <f t="shared" si="60"/>
        <v>0</v>
      </c>
      <c r="BT45" s="2971">
        <f t="shared" si="61"/>
        <v>0</v>
      </c>
    </row>
    <row r="46" spans="1:72">
      <c r="A46" s="2894"/>
      <c r="B46" s="2904"/>
      <c r="C46" s="2902"/>
      <c r="D46" s="2903"/>
      <c r="E46" s="2897">
        <f t="shared" si="33"/>
        <v>0</v>
      </c>
      <c r="F46" s="2898"/>
      <c r="G46" s="2899">
        <f t="shared" si="34"/>
        <v>0</v>
      </c>
      <c r="H46" s="2900">
        <f t="shared" si="35"/>
        <v>0</v>
      </c>
      <c r="I46" s="2906"/>
      <c r="J46" s="2918"/>
      <c r="K46" s="2906"/>
      <c r="L46" s="2918"/>
      <c r="M46" s="2918"/>
      <c r="N46" s="2918"/>
      <c r="O46" s="2918"/>
      <c r="P46" s="2918"/>
      <c r="Q46" s="2918"/>
      <c r="R46" s="2918"/>
      <c r="S46" s="2918"/>
      <c r="T46" s="2918"/>
      <c r="U46" s="2918"/>
      <c r="V46" s="2918"/>
      <c r="W46" s="2918"/>
      <c r="X46" s="2918"/>
      <c r="Y46" s="2918"/>
      <c r="Z46" s="2918"/>
      <c r="AA46" s="2918"/>
      <c r="AB46" s="2918"/>
      <c r="AC46" s="2897">
        <f t="shared" si="36"/>
        <v>0</v>
      </c>
      <c r="AD46" s="2929"/>
      <c r="AE46" s="2929"/>
      <c r="AF46" s="2906"/>
      <c r="AG46" s="2929"/>
      <c r="AH46" s="2929"/>
      <c r="AI46" s="2929"/>
      <c r="AJ46" s="2929"/>
      <c r="AK46" s="2929"/>
      <c r="AL46" s="2929"/>
      <c r="AM46" s="2929"/>
      <c r="AN46" s="2929"/>
      <c r="AO46" s="2929"/>
      <c r="AP46" s="2929"/>
      <c r="AQ46" s="2929"/>
      <c r="AR46" s="2929"/>
      <c r="AS46" s="2929"/>
      <c r="AT46" s="2949"/>
      <c r="AU46" s="2950"/>
      <c r="AV46" s="454">
        <f t="shared" si="37"/>
        <v>0</v>
      </c>
      <c r="AW46" s="454">
        <f t="shared" si="38"/>
        <v>0</v>
      </c>
      <c r="AX46" s="454">
        <f t="shared" si="39"/>
        <v>0</v>
      </c>
      <c r="AY46" s="2966">
        <f t="shared" si="40"/>
        <v>0</v>
      </c>
      <c r="AZ46" s="2897">
        <f t="shared" si="41"/>
        <v>0</v>
      </c>
      <c r="BA46" s="2897">
        <f t="shared" si="42"/>
        <v>0</v>
      </c>
      <c r="BB46" s="2897">
        <f t="shared" si="43"/>
        <v>0</v>
      </c>
      <c r="BC46" s="2897">
        <f t="shared" si="44"/>
        <v>0</v>
      </c>
      <c r="BD46" s="2897">
        <f t="shared" si="45"/>
        <v>0</v>
      </c>
      <c r="BE46" s="2897">
        <f t="shared" si="46"/>
        <v>0</v>
      </c>
      <c r="BF46" s="2897">
        <f t="shared" si="47"/>
        <v>0</v>
      </c>
      <c r="BG46" s="2897">
        <f t="shared" si="48"/>
        <v>0</v>
      </c>
      <c r="BH46" s="2897">
        <f t="shared" si="49"/>
        <v>0</v>
      </c>
      <c r="BI46" s="2897">
        <f t="shared" si="50"/>
        <v>0</v>
      </c>
      <c r="BJ46" s="2897">
        <f t="shared" si="51"/>
        <v>0</v>
      </c>
      <c r="BK46" s="2897">
        <f t="shared" si="52"/>
        <v>0</v>
      </c>
      <c r="BL46" s="2897">
        <f t="shared" si="53"/>
        <v>0</v>
      </c>
      <c r="BM46" s="2897">
        <f t="shared" si="54"/>
        <v>0</v>
      </c>
      <c r="BN46" s="2897">
        <f t="shared" si="55"/>
        <v>0</v>
      </c>
      <c r="BO46" s="2897">
        <f t="shared" si="56"/>
        <v>0</v>
      </c>
      <c r="BP46" s="2897">
        <f t="shared" si="57"/>
        <v>0</v>
      </c>
      <c r="BQ46" s="2897">
        <f t="shared" si="58"/>
        <v>0</v>
      </c>
      <c r="BR46" s="2897">
        <f t="shared" si="59"/>
        <v>0</v>
      </c>
      <c r="BS46" s="2897">
        <f t="shared" si="60"/>
        <v>0</v>
      </c>
      <c r="BT46" s="2971">
        <f t="shared" si="61"/>
        <v>0</v>
      </c>
    </row>
    <row r="47" spans="1:72">
      <c r="A47" s="2894"/>
      <c r="B47" s="2904"/>
      <c r="C47" s="2902"/>
      <c r="D47" s="2903"/>
      <c r="E47" s="2897">
        <f t="shared" si="33"/>
        <v>0</v>
      </c>
      <c r="F47" s="2898"/>
      <c r="G47" s="2899">
        <f t="shared" si="34"/>
        <v>0</v>
      </c>
      <c r="H47" s="2900">
        <f t="shared" si="35"/>
        <v>0</v>
      </c>
      <c r="I47" s="2906"/>
      <c r="J47" s="2918"/>
      <c r="K47" s="2906"/>
      <c r="L47" s="2918"/>
      <c r="M47" s="2918"/>
      <c r="N47" s="2918"/>
      <c r="O47" s="2918"/>
      <c r="P47" s="2918"/>
      <c r="Q47" s="2918"/>
      <c r="R47" s="2918"/>
      <c r="S47" s="2918"/>
      <c r="T47" s="2918"/>
      <c r="U47" s="2918"/>
      <c r="V47" s="2918"/>
      <c r="W47" s="2918"/>
      <c r="X47" s="2918"/>
      <c r="Y47" s="2918"/>
      <c r="Z47" s="2918"/>
      <c r="AA47" s="2918"/>
      <c r="AB47" s="2918"/>
      <c r="AC47" s="2897">
        <f t="shared" si="36"/>
        <v>0</v>
      </c>
      <c r="AD47" s="2929"/>
      <c r="AE47" s="2929"/>
      <c r="AF47" s="2902"/>
      <c r="AG47" s="2929"/>
      <c r="AH47" s="2929"/>
      <c r="AI47" s="2929"/>
      <c r="AJ47" s="2929"/>
      <c r="AK47" s="2929"/>
      <c r="AL47" s="2929"/>
      <c r="AM47" s="2929"/>
      <c r="AN47" s="2929"/>
      <c r="AO47" s="2929"/>
      <c r="AP47" s="2929"/>
      <c r="AQ47" s="2929"/>
      <c r="AR47" s="2929"/>
      <c r="AS47" s="2929"/>
      <c r="AT47" s="2949"/>
      <c r="AU47" s="2950"/>
      <c r="AV47" s="454">
        <f t="shared" si="37"/>
        <v>0</v>
      </c>
      <c r="AW47" s="454">
        <f t="shared" si="38"/>
        <v>0</v>
      </c>
      <c r="AX47" s="454">
        <f t="shared" si="39"/>
        <v>0</v>
      </c>
      <c r="AY47" s="2966">
        <f t="shared" si="40"/>
        <v>0</v>
      </c>
      <c r="AZ47" s="2897">
        <f t="shared" si="41"/>
        <v>0</v>
      </c>
      <c r="BA47" s="2897">
        <f t="shared" si="42"/>
        <v>0</v>
      </c>
      <c r="BB47" s="2897">
        <f t="shared" si="43"/>
        <v>0</v>
      </c>
      <c r="BC47" s="2897">
        <f t="shared" si="44"/>
        <v>0</v>
      </c>
      <c r="BD47" s="2897">
        <f t="shared" si="45"/>
        <v>0</v>
      </c>
      <c r="BE47" s="2897">
        <f t="shared" si="46"/>
        <v>0</v>
      </c>
      <c r="BF47" s="2897">
        <f t="shared" si="47"/>
        <v>0</v>
      </c>
      <c r="BG47" s="2897">
        <f t="shared" si="48"/>
        <v>0</v>
      </c>
      <c r="BH47" s="2897">
        <f t="shared" si="49"/>
        <v>0</v>
      </c>
      <c r="BI47" s="2897">
        <f t="shared" si="50"/>
        <v>0</v>
      </c>
      <c r="BJ47" s="2897">
        <f t="shared" si="51"/>
        <v>0</v>
      </c>
      <c r="BK47" s="2897">
        <f t="shared" si="52"/>
        <v>0</v>
      </c>
      <c r="BL47" s="2897">
        <f t="shared" si="53"/>
        <v>0</v>
      </c>
      <c r="BM47" s="2897">
        <f t="shared" si="54"/>
        <v>0</v>
      </c>
      <c r="BN47" s="2897">
        <f t="shared" si="55"/>
        <v>0</v>
      </c>
      <c r="BO47" s="2897">
        <f t="shared" si="56"/>
        <v>0</v>
      </c>
      <c r="BP47" s="2897">
        <f t="shared" si="57"/>
        <v>0</v>
      </c>
      <c r="BQ47" s="2897">
        <f t="shared" si="58"/>
        <v>0</v>
      </c>
      <c r="BR47" s="2897">
        <f t="shared" si="59"/>
        <v>0</v>
      </c>
      <c r="BS47" s="2897">
        <f t="shared" si="60"/>
        <v>0</v>
      </c>
      <c r="BT47" s="2971">
        <f t="shared" si="61"/>
        <v>0</v>
      </c>
    </row>
    <row r="48" spans="1:72">
      <c r="A48" s="2894"/>
      <c r="B48" s="2904"/>
      <c r="C48" s="2902"/>
      <c r="D48" s="2903"/>
      <c r="E48" s="2897">
        <f t="shared" si="33"/>
        <v>0</v>
      </c>
      <c r="F48" s="2898"/>
      <c r="G48" s="2899">
        <f t="shared" si="34"/>
        <v>0</v>
      </c>
      <c r="H48" s="2900">
        <f t="shared" si="35"/>
        <v>0</v>
      </c>
      <c r="I48" s="2902"/>
      <c r="J48" s="2918"/>
      <c r="K48" s="2902"/>
      <c r="L48" s="2918"/>
      <c r="M48" s="2918"/>
      <c r="N48" s="2918"/>
      <c r="O48" s="2918"/>
      <c r="P48" s="2918"/>
      <c r="Q48" s="2918"/>
      <c r="R48" s="2918"/>
      <c r="S48" s="2918"/>
      <c r="T48" s="2918"/>
      <c r="U48" s="2918"/>
      <c r="V48" s="2918"/>
      <c r="W48" s="2918"/>
      <c r="X48" s="2918"/>
      <c r="Y48" s="2918"/>
      <c r="Z48" s="2918"/>
      <c r="AA48" s="2918"/>
      <c r="AB48" s="2918"/>
      <c r="AC48" s="2897">
        <f t="shared" si="36"/>
        <v>0</v>
      </c>
      <c r="AD48" s="2929"/>
      <c r="AE48" s="2929"/>
      <c r="AF48" s="2902"/>
      <c r="AG48" s="2929"/>
      <c r="AH48" s="2929"/>
      <c r="AI48" s="2929"/>
      <c r="AJ48" s="2929"/>
      <c r="AK48" s="2929"/>
      <c r="AL48" s="2929"/>
      <c r="AM48" s="2929"/>
      <c r="AN48" s="2929"/>
      <c r="AO48" s="2929"/>
      <c r="AP48" s="2929"/>
      <c r="AQ48" s="2929"/>
      <c r="AR48" s="2929"/>
      <c r="AS48" s="2929"/>
      <c r="AT48" s="2949"/>
      <c r="AU48" s="2950"/>
      <c r="AV48" s="454">
        <f t="shared" si="37"/>
        <v>0</v>
      </c>
      <c r="AW48" s="454">
        <f t="shared" si="38"/>
        <v>0</v>
      </c>
      <c r="AX48" s="454">
        <f t="shared" si="39"/>
        <v>0</v>
      </c>
      <c r="AY48" s="2966">
        <f t="shared" si="40"/>
        <v>0</v>
      </c>
      <c r="AZ48" s="2897">
        <f t="shared" si="41"/>
        <v>0</v>
      </c>
      <c r="BA48" s="2897">
        <f t="shared" si="42"/>
        <v>0</v>
      </c>
      <c r="BB48" s="2897">
        <f t="shared" si="43"/>
        <v>0</v>
      </c>
      <c r="BC48" s="2897">
        <f t="shared" si="44"/>
        <v>0</v>
      </c>
      <c r="BD48" s="2897">
        <f t="shared" si="45"/>
        <v>0</v>
      </c>
      <c r="BE48" s="2897">
        <f t="shared" si="46"/>
        <v>0</v>
      </c>
      <c r="BF48" s="2897">
        <f t="shared" si="47"/>
        <v>0</v>
      </c>
      <c r="BG48" s="2897">
        <f t="shared" si="48"/>
        <v>0</v>
      </c>
      <c r="BH48" s="2897">
        <f t="shared" si="49"/>
        <v>0</v>
      </c>
      <c r="BI48" s="2897">
        <f t="shared" si="50"/>
        <v>0</v>
      </c>
      <c r="BJ48" s="2897">
        <f t="shared" si="51"/>
        <v>0</v>
      </c>
      <c r="BK48" s="2897">
        <f t="shared" si="52"/>
        <v>0</v>
      </c>
      <c r="BL48" s="2897">
        <f t="shared" si="53"/>
        <v>0</v>
      </c>
      <c r="BM48" s="2897">
        <f t="shared" si="54"/>
        <v>0</v>
      </c>
      <c r="BN48" s="2897">
        <f t="shared" si="55"/>
        <v>0</v>
      </c>
      <c r="BO48" s="2897">
        <f t="shared" si="56"/>
        <v>0</v>
      </c>
      <c r="BP48" s="2897">
        <f t="shared" si="57"/>
        <v>0</v>
      </c>
      <c r="BQ48" s="2897">
        <f t="shared" si="58"/>
        <v>0</v>
      </c>
      <c r="BR48" s="2897">
        <f t="shared" si="59"/>
        <v>0</v>
      </c>
      <c r="BS48" s="2897">
        <f t="shared" si="60"/>
        <v>0</v>
      </c>
      <c r="BT48" s="2971">
        <f t="shared" si="61"/>
        <v>0</v>
      </c>
    </row>
    <row r="49" spans="1:72">
      <c r="A49" s="2894"/>
      <c r="B49" s="2904"/>
      <c r="C49" s="2902"/>
      <c r="D49" s="2903"/>
      <c r="E49" s="2897">
        <f t="shared" si="33"/>
        <v>0</v>
      </c>
      <c r="F49" s="2898"/>
      <c r="G49" s="2899">
        <f t="shared" si="34"/>
        <v>0</v>
      </c>
      <c r="H49" s="2900">
        <f t="shared" si="35"/>
        <v>0</v>
      </c>
      <c r="I49" s="2902"/>
      <c r="J49" s="2918"/>
      <c r="K49" s="2902"/>
      <c r="L49" s="2918"/>
      <c r="M49" s="2918"/>
      <c r="N49" s="2918"/>
      <c r="O49" s="2918"/>
      <c r="P49" s="2918"/>
      <c r="Q49" s="2918"/>
      <c r="R49" s="2918"/>
      <c r="S49" s="2918"/>
      <c r="T49" s="2918"/>
      <c r="U49" s="2918"/>
      <c r="V49" s="2918"/>
      <c r="W49" s="2918"/>
      <c r="X49" s="2918"/>
      <c r="Y49" s="2918"/>
      <c r="Z49" s="2918"/>
      <c r="AA49" s="2918"/>
      <c r="AB49" s="2918"/>
      <c r="AC49" s="2897">
        <f t="shared" si="36"/>
        <v>0</v>
      </c>
      <c r="AD49" s="2929"/>
      <c r="AE49" s="2929"/>
      <c r="AF49" s="2902"/>
      <c r="AG49" s="2929"/>
      <c r="AH49" s="2929"/>
      <c r="AI49" s="2929"/>
      <c r="AJ49" s="2929"/>
      <c r="AK49" s="2929"/>
      <c r="AL49" s="2929"/>
      <c r="AM49" s="2929"/>
      <c r="AN49" s="2929"/>
      <c r="AO49" s="2929"/>
      <c r="AP49" s="2929"/>
      <c r="AQ49" s="2929"/>
      <c r="AR49" s="2929"/>
      <c r="AS49" s="2929"/>
      <c r="AT49" s="2949"/>
      <c r="AU49" s="2950"/>
      <c r="AV49" s="454">
        <f t="shared" si="37"/>
        <v>0</v>
      </c>
      <c r="AW49" s="454">
        <f t="shared" si="38"/>
        <v>0</v>
      </c>
      <c r="AX49" s="454">
        <f t="shared" si="39"/>
        <v>0</v>
      </c>
      <c r="AY49" s="2966">
        <f t="shared" si="40"/>
        <v>0</v>
      </c>
      <c r="AZ49" s="2897">
        <f t="shared" si="41"/>
        <v>0</v>
      </c>
      <c r="BA49" s="2897">
        <f t="shared" si="42"/>
        <v>0</v>
      </c>
      <c r="BB49" s="2897">
        <f t="shared" si="43"/>
        <v>0</v>
      </c>
      <c r="BC49" s="2897">
        <f t="shared" si="44"/>
        <v>0</v>
      </c>
      <c r="BD49" s="2897">
        <f t="shared" si="45"/>
        <v>0</v>
      </c>
      <c r="BE49" s="2897">
        <f t="shared" si="46"/>
        <v>0</v>
      </c>
      <c r="BF49" s="2897">
        <f t="shared" si="47"/>
        <v>0</v>
      </c>
      <c r="BG49" s="2897">
        <f t="shared" si="48"/>
        <v>0</v>
      </c>
      <c r="BH49" s="2897">
        <f t="shared" si="49"/>
        <v>0</v>
      </c>
      <c r="BI49" s="2897">
        <f t="shared" si="50"/>
        <v>0</v>
      </c>
      <c r="BJ49" s="2897">
        <f t="shared" si="51"/>
        <v>0</v>
      </c>
      <c r="BK49" s="2897">
        <f t="shared" si="52"/>
        <v>0</v>
      </c>
      <c r="BL49" s="2897">
        <f t="shared" si="53"/>
        <v>0</v>
      </c>
      <c r="BM49" s="2897">
        <f t="shared" si="54"/>
        <v>0</v>
      </c>
      <c r="BN49" s="2897">
        <f t="shared" si="55"/>
        <v>0</v>
      </c>
      <c r="BO49" s="2897">
        <f t="shared" si="56"/>
        <v>0</v>
      </c>
      <c r="BP49" s="2897">
        <f t="shared" si="57"/>
        <v>0</v>
      </c>
      <c r="BQ49" s="2897">
        <f t="shared" si="58"/>
        <v>0</v>
      </c>
      <c r="BR49" s="2897">
        <f t="shared" si="59"/>
        <v>0</v>
      </c>
      <c r="BS49" s="2897">
        <f t="shared" si="60"/>
        <v>0</v>
      </c>
      <c r="BT49" s="2971">
        <f t="shared" si="61"/>
        <v>0</v>
      </c>
    </row>
    <row r="50" spans="1:72">
      <c r="A50" s="2894"/>
      <c r="B50" s="2904"/>
      <c r="C50" s="2902"/>
      <c r="D50" s="2903"/>
      <c r="E50" s="2897">
        <f t="shared" si="33"/>
        <v>0</v>
      </c>
      <c r="F50" s="2898"/>
      <c r="G50" s="2899">
        <f t="shared" si="34"/>
        <v>0</v>
      </c>
      <c r="H50" s="2900">
        <f t="shared" si="35"/>
        <v>0</v>
      </c>
      <c r="I50" s="2902"/>
      <c r="J50" s="2918"/>
      <c r="K50" s="2902"/>
      <c r="L50" s="2918"/>
      <c r="M50" s="2918"/>
      <c r="N50" s="2918"/>
      <c r="O50" s="2918"/>
      <c r="P50" s="2918"/>
      <c r="Q50" s="2918"/>
      <c r="R50" s="2918"/>
      <c r="S50" s="2918"/>
      <c r="T50" s="2918"/>
      <c r="U50" s="2918"/>
      <c r="V50" s="2918"/>
      <c r="W50" s="2918"/>
      <c r="X50" s="2918"/>
      <c r="Y50" s="2918"/>
      <c r="Z50" s="2918"/>
      <c r="AA50" s="2918"/>
      <c r="AB50" s="2918"/>
      <c r="AC50" s="2897">
        <f t="shared" si="36"/>
        <v>0</v>
      </c>
      <c r="AD50" s="2929"/>
      <c r="AE50" s="2929"/>
      <c r="AF50" s="2902"/>
      <c r="AG50" s="2929"/>
      <c r="AH50" s="2929"/>
      <c r="AI50" s="2929"/>
      <c r="AJ50" s="2929"/>
      <c r="AK50" s="2929"/>
      <c r="AL50" s="2929"/>
      <c r="AM50" s="2929"/>
      <c r="AN50" s="2929"/>
      <c r="AO50" s="2929"/>
      <c r="AP50" s="2929"/>
      <c r="AQ50" s="2929"/>
      <c r="AR50" s="2929"/>
      <c r="AS50" s="2929"/>
      <c r="AT50" s="2949"/>
      <c r="AU50" s="2950"/>
      <c r="AV50" s="454">
        <f t="shared" si="37"/>
        <v>0</v>
      </c>
      <c r="AW50" s="454">
        <f t="shared" si="38"/>
        <v>0</v>
      </c>
      <c r="AX50" s="454">
        <f t="shared" si="39"/>
        <v>0</v>
      </c>
      <c r="AY50" s="2966">
        <f t="shared" si="40"/>
        <v>0</v>
      </c>
      <c r="AZ50" s="2897">
        <f t="shared" si="41"/>
        <v>0</v>
      </c>
      <c r="BA50" s="2897">
        <f t="shared" si="42"/>
        <v>0</v>
      </c>
      <c r="BB50" s="2897">
        <f t="shared" si="43"/>
        <v>0</v>
      </c>
      <c r="BC50" s="2897">
        <f t="shared" si="44"/>
        <v>0</v>
      </c>
      <c r="BD50" s="2897">
        <f t="shared" si="45"/>
        <v>0</v>
      </c>
      <c r="BE50" s="2897">
        <f t="shared" si="46"/>
        <v>0</v>
      </c>
      <c r="BF50" s="2897">
        <f t="shared" si="47"/>
        <v>0</v>
      </c>
      <c r="BG50" s="2897">
        <f t="shared" si="48"/>
        <v>0</v>
      </c>
      <c r="BH50" s="2897">
        <f t="shared" si="49"/>
        <v>0</v>
      </c>
      <c r="BI50" s="2897">
        <f t="shared" si="50"/>
        <v>0</v>
      </c>
      <c r="BJ50" s="2897">
        <f t="shared" si="51"/>
        <v>0</v>
      </c>
      <c r="BK50" s="2897">
        <f t="shared" si="52"/>
        <v>0</v>
      </c>
      <c r="BL50" s="2897">
        <f t="shared" si="53"/>
        <v>0</v>
      </c>
      <c r="BM50" s="2897">
        <f t="shared" si="54"/>
        <v>0</v>
      </c>
      <c r="BN50" s="2897">
        <f t="shared" si="55"/>
        <v>0</v>
      </c>
      <c r="BO50" s="2897">
        <f t="shared" si="56"/>
        <v>0</v>
      </c>
      <c r="BP50" s="2897">
        <f t="shared" si="57"/>
        <v>0</v>
      </c>
      <c r="BQ50" s="2897">
        <f t="shared" si="58"/>
        <v>0</v>
      </c>
      <c r="BR50" s="2897">
        <f t="shared" si="59"/>
        <v>0</v>
      </c>
      <c r="BS50" s="2897">
        <f t="shared" si="60"/>
        <v>0</v>
      </c>
      <c r="BT50" s="2971">
        <f t="shared" si="61"/>
        <v>0</v>
      </c>
    </row>
    <row r="51" spans="1:72">
      <c r="A51" s="2894"/>
      <c r="B51" s="2904"/>
      <c r="C51" s="2902"/>
      <c r="D51" s="2903"/>
      <c r="E51" s="2897">
        <f t="shared" si="33"/>
        <v>0</v>
      </c>
      <c r="F51" s="2898"/>
      <c r="G51" s="2899">
        <f t="shared" si="34"/>
        <v>0</v>
      </c>
      <c r="H51" s="2900">
        <f t="shared" si="35"/>
        <v>0</v>
      </c>
      <c r="I51" s="2902"/>
      <c r="J51" s="2918"/>
      <c r="K51" s="2902"/>
      <c r="L51" s="2918"/>
      <c r="M51" s="2918"/>
      <c r="N51" s="2918"/>
      <c r="O51" s="2918"/>
      <c r="P51" s="2918"/>
      <c r="Q51" s="2918"/>
      <c r="R51" s="2918"/>
      <c r="S51" s="2918"/>
      <c r="T51" s="2918"/>
      <c r="U51" s="2918"/>
      <c r="V51" s="2918"/>
      <c r="W51" s="2918"/>
      <c r="X51" s="2918"/>
      <c r="Y51" s="2918"/>
      <c r="Z51" s="2918"/>
      <c r="AA51" s="2918"/>
      <c r="AB51" s="2918"/>
      <c r="AC51" s="2897">
        <f t="shared" si="36"/>
        <v>0</v>
      </c>
      <c r="AD51" s="2929"/>
      <c r="AE51" s="2929"/>
      <c r="AF51" s="2902"/>
      <c r="AG51" s="2929"/>
      <c r="AH51" s="2929"/>
      <c r="AI51" s="2929"/>
      <c r="AJ51" s="2929"/>
      <c r="AK51" s="2929"/>
      <c r="AL51" s="2929"/>
      <c r="AM51" s="2929"/>
      <c r="AN51" s="2929"/>
      <c r="AO51" s="2929"/>
      <c r="AP51" s="2929"/>
      <c r="AQ51" s="2929"/>
      <c r="AR51" s="2929"/>
      <c r="AS51" s="2929"/>
      <c r="AT51" s="2949"/>
      <c r="AU51" s="2950"/>
      <c r="AV51" s="454">
        <f t="shared" si="37"/>
        <v>0</v>
      </c>
      <c r="AW51" s="454">
        <f t="shared" si="38"/>
        <v>0</v>
      </c>
      <c r="AX51" s="454">
        <f t="shared" si="39"/>
        <v>0</v>
      </c>
      <c r="AY51" s="2966">
        <f t="shared" si="40"/>
        <v>0</v>
      </c>
      <c r="AZ51" s="2897">
        <f t="shared" si="41"/>
        <v>0</v>
      </c>
      <c r="BA51" s="2897">
        <f t="shared" si="42"/>
        <v>0</v>
      </c>
      <c r="BB51" s="2897">
        <f t="shared" si="43"/>
        <v>0</v>
      </c>
      <c r="BC51" s="2897">
        <f t="shared" si="44"/>
        <v>0</v>
      </c>
      <c r="BD51" s="2897">
        <f t="shared" si="45"/>
        <v>0</v>
      </c>
      <c r="BE51" s="2897">
        <f t="shared" si="46"/>
        <v>0</v>
      </c>
      <c r="BF51" s="2897">
        <f t="shared" si="47"/>
        <v>0</v>
      </c>
      <c r="BG51" s="2897">
        <f t="shared" si="48"/>
        <v>0</v>
      </c>
      <c r="BH51" s="2897">
        <f t="shared" si="49"/>
        <v>0</v>
      </c>
      <c r="BI51" s="2897">
        <f t="shared" si="50"/>
        <v>0</v>
      </c>
      <c r="BJ51" s="2897">
        <f t="shared" si="51"/>
        <v>0</v>
      </c>
      <c r="BK51" s="2897">
        <f t="shared" si="52"/>
        <v>0</v>
      </c>
      <c r="BL51" s="2897">
        <f t="shared" si="53"/>
        <v>0</v>
      </c>
      <c r="BM51" s="2897">
        <f t="shared" si="54"/>
        <v>0</v>
      </c>
      <c r="BN51" s="2897">
        <f t="shared" si="55"/>
        <v>0</v>
      </c>
      <c r="BO51" s="2897">
        <f t="shared" si="56"/>
        <v>0</v>
      </c>
      <c r="BP51" s="2897">
        <f t="shared" si="57"/>
        <v>0</v>
      </c>
      <c r="BQ51" s="2897">
        <f t="shared" si="58"/>
        <v>0</v>
      </c>
      <c r="BR51" s="2897">
        <f t="shared" si="59"/>
        <v>0</v>
      </c>
      <c r="BS51" s="2897">
        <f t="shared" si="60"/>
        <v>0</v>
      </c>
      <c r="BT51" s="2971">
        <f t="shared" si="61"/>
        <v>0</v>
      </c>
    </row>
    <row r="52" spans="1:72">
      <c r="A52" s="2894"/>
      <c r="B52" s="2904"/>
      <c r="C52" s="2902"/>
      <c r="D52" s="2903"/>
      <c r="E52" s="2897">
        <f t="shared" si="33"/>
        <v>0</v>
      </c>
      <c r="F52" s="2898"/>
      <c r="G52" s="2899">
        <f t="shared" si="34"/>
        <v>0</v>
      </c>
      <c r="H52" s="2900">
        <f t="shared" si="35"/>
        <v>0</v>
      </c>
      <c r="I52" s="2902"/>
      <c r="J52" s="2918"/>
      <c r="K52" s="2902"/>
      <c r="L52" s="2918"/>
      <c r="M52" s="2918"/>
      <c r="N52" s="2918"/>
      <c r="O52" s="2918"/>
      <c r="P52" s="2918"/>
      <c r="Q52" s="2918"/>
      <c r="R52" s="2918"/>
      <c r="S52" s="2918"/>
      <c r="T52" s="2918"/>
      <c r="U52" s="2918"/>
      <c r="V52" s="2918"/>
      <c r="W52" s="2918"/>
      <c r="X52" s="2918"/>
      <c r="Y52" s="2918"/>
      <c r="Z52" s="2918"/>
      <c r="AA52" s="2918"/>
      <c r="AB52" s="2918"/>
      <c r="AC52" s="2897">
        <f t="shared" si="36"/>
        <v>0</v>
      </c>
      <c r="AD52" s="2929"/>
      <c r="AE52" s="2929"/>
      <c r="AF52" s="2902"/>
      <c r="AG52" s="2929"/>
      <c r="AH52" s="2929"/>
      <c r="AI52" s="2929"/>
      <c r="AJ52" s="2929"/>
      <c r="AK52" s="2929"/>
      <c r="AL52" s="2929"/>
      <c r="AM52" s="2929"/>
      <c r="AN52" s="2929"/>
      <c r="AO52" s="2929"/>
      <c r="AP52" s="2929"/>
      <c r="AQ52" s="2929"/>
      <c r="AR52" s="2929"/>
      <c r="AS52" s="2929"/>
      <c r="AT52" s="2949"/>
      <c r="AU52" s="2950"/>
      <c r="AV52" s="454">
        <f t="shared" si="37"/>
        <v>0</v>
      </c>
      <c r="AW52" s="454">
        <f t="shared" si="38"/>
        <v>0</v>
      </c>
      <c r="AX52" s="454">
        <f t="shared" si="39"/>
        <v>0</v>
      </c>
      <c r="AY52" s="2966">
        <f t="shared" si="40"/>
        <v>0</v>
      </c>
      <c r="AZ52" s="2897">
        <f t="shared" si="41"/>
        <v>0</v>
      </c>
      <c r="BA52" s="2897">
        <f t="shared" si="42"/>
        <v>0</v>
      </c>
      <c r="BB52" s="2897">
        <f t="shared" si="43"/>
        <v>0</v>
      </c>
      <c r="BC52" s="2897">
        <f t="shared" si="44"/>
        <v>0</v>
      </c>
      <c r="BD52" s="2897">
        <f t="shared" si="45"/>
        <v>0</v>
      </c>
      <c r="BE52" s="2897">
        <f t="shared" si="46"/>
        <v>0</v>
      </c>
      <c r="BF52" s="2897">
        <f t="shared" si="47"/>
        <v>0</v>
      </c>
      <c r="BG52" s="2897">
        <f t="shared" si="48"/>
        <v>0</v>
      </c>
      <c r="BH52" s="2897">
        <f t="shared" si="49"/>
        <v>0</v>
      </c>
      <c r="BI52" s="2897">
        <f t="shared" si="50"/>
        <v>0</v>
      </c>
      <c r="BJ52" s="2897">
        <f t="shared" si="51"/>
        <v>0</v>
      </c>
      <c r="BK52" s="2897">
        <f t="shared" si="52"/>
        <v>0</v>
      </c>
      <c r="BL52" s="2897">
        <f t="shared" si="53"/>
        <v>0</v>
      </c>
      <c r="BM52" s="2897">
        <f t="shared" si="54"/>
        <v>0</v>
      </c>
      <c r="BN52" s="2897">
        <f t="shared" si="55"/>
        <v>0</v>
      </c>
      <c r="BO52" s="2897">
        <f t="shared" si="56"/>
        <v>0</v>
      </c>
      <c r="BP52" s="2897">
        <f t="shared" si="57"/>
        <v>0</v>
      </c>
      <c r="BQ52" s="2897">
        <f t="shared" si="58"/>
        <v>0</v>
      </c>
      <c r="BR52" s="2897">
        <f t="shared" si="59"/>
        <v>0</v>
      </c>
      <c r="BS52" s="2897">
        <f t="shared" si="60"/>
        <v>0</v>
      </c>
      <c r="BT52" s="2971">
        <f t="shared" si="61"/>
        <v>0</v>
      </c>
    </row>
    <row r="53" spans="1:72">
      <c r="A53" s="2894"/>
      <c r="B53" s="2904"/>
      <c r="C53" s="2902"/>
      <c r="D53" s="2903"/>
      <c r="E53" s="2897">
        <f t="shared" si="33"/>
        <v>0</v>
      </c>
      <c r="F53" s="2898"/>
      <c r="G53" s="2899">
        <f t="shared" si="34"/>
        <v>0</v>
      </c>
      <c r="H53" s="2900">
        <f t="shared" si="35"/>
        <v>0</v>
      </c>
      <c r="I53" s="2902"/>
      <c r="J53" s="2918"/>
      <c r="K53" s="2902"/>
      <c r="L53" s="2918"/>
      <c r="M53" s="2918"/>
      <c r="N53" s="2918"/>
      <c r="O53" s="2918"/>
      <c r="P53" s="2918"/>
      <c r="Q53" s="2918"/>
      <c r="R53" s="2918"/>
      <c r="S53" s="2918"/>
      <c r="T53" s="2918"/>
      <c r="U53" s="2918"/>
      <c r="V53" s="2918"/>
      <c r="W53" s="2918"/>
      <c r="X53" s="2918"/>
      <c r="Y53" s="2918"/>
      <c r="Z53" s="2918"/>
      <c r="AA53" s="2918"/>
      <c r="AB53" s="2918"/>
      <c r="AC53" s="2897">
        <f t="shared" si="36"/>
        <v>0</v>
      </c>
      <c r="AD53" s="2929"/>
      <c r="AE53" s="2929"/>
      <c r="AF53" s="2902"/>
      <c r="AG53" s="2929"/>
      <c r="AH53" s="2929"/>
      <c r="AI53" s="2929"/>
      <c r="AJ53" s="2929"/>
      <c r="AK53" s="2929"/>
      <c r="AL53" s="2929"/>
      <c r="AM53" s="2929"/>
      <c r="AN53" s="2929"/>
      <c r="AO53" s="2929"/>
      <c r="AP53" s="2929"/>
      <c r="AQ53" s="2929"/>
      <c r="AR53" s="2929"/>
      <c r="AS53" s="2929"/>
      <c r="AT53" s="2949"/>
      <c r="AU53" s="2950"/>
      <c r="AV53" s="454">
        <f t="shared" si="37"/>
        <v>0</v>
      </c>
      <c r="AW53" s="454">
        <f t="shared" si="38"/>
        <v>0</v>
      </c>
      <c r="AX53" s="454">
        <f t="shared" si="39"/>
        <v>0</v>
      </c>
      <c r="AY53" s="2966">
        <f t="shared" si="40"/>
        <v>0</v>
      </c>
      <c r="AZ53" s="2897">
        <f t="shared" si="41"/>
        <v>0</v>
      </c>
      <c r="BA53" s="2897">
        <f t="shared" si="42"/>
        <v>0</v>
      </c>
      <c r="BB53" s="2897">
        <f t="shared" si="43"/>
        <v>0</v>
      </c>
      <c r="BC53" s="2897">
        <f t="shared" si="44"/>
        <v>0</v>
      </c>
      <c r="BD53" s="2897">
        <f t="shared" si="45"/>
        <v>0</v>
      </c>
      <c r="BE53" s="2897">
        <f t="shared" si="46"/>
        <v>0</v>
      </c>
      <c r="BF53" s="2897">
        <f t="shared" si="47"/>
        <v>0</v>
      </c>
      <c r="BG53" s="2897">
        <f t="shared" si="48"/>
        <v>0</v>
      </c>
      <c r="BH53" s="2897">
        <f t="shared" si="49"/>
        <v>0</v>
      </c>
      <c r="BI53" s="2897">
        <f t="shared" si="50"/>
        <v>0</v>
      </c>
      <c r="BJ53" s="2897">
        <f t="shared" si="51"/>
        <v>0</v>
      </c>
      <c r="BK53" s="2897">
        <f t="shared" si="52"/>
        <v>0</v>
      </c>
      <c r="BL53" s="2897">
        <f t="shared" si="53"/>
        <v>0</v>
      </c>
      <c r="BM53" s="2897">
        <f t="shared" si="54"/>
        <v>0</v>
      </c>
      <c r="BN53" s="2897">
        <f t="shared" si="55"/>
        <v>0</v>
      </c>
      <c r="BO53" s="2897">
        <f t="shared" si="56"/>
        <v>0</v>
      </c>
      <c r="BP53" s="2897">
        <f t="shared" si="57"/>
        <v>0</v>
      </c>
      <c r="BQ53" s="2897">
        <f t="shared" si="58"/>
        <v>0</v>
      </c>
      <c r="BR53" s="2897">
        <f t="shared" si="59"/>
        <v>0</v>
      </c>
      <c r="BS53" s="2897">
        <f t="shared" si="60"/>
        <v>0</v>
      </c>
      <c r="BT53" s="2971">
        <f t="shared" si="61"/>
        <v>0</v>
      </c>
    </row>
    <row r="54" spans="1:72">
      <c r="A54" s="2894"/>
      <c r="B54" s="2904"/>
      <c r="C54" s="2902"/>
      <c r="D54" s="2903"/>
      <c r="E54" s="2897">
        <f t="shared" si="33"/>
        <v>0</v>
      </c>
      <c r="F54" s="2898"/>
      <c r="G54" s="2899">
        <f t="shared" si="34"/>
        <v>0</v>
      </c>
      <c r="H54" s="2900">
        <f t="shared" si="35"/>
        <v>0</v>
      </c>
      <c r="I54" s="2902"/>
      <c r="J54" s="2918"/>
      <c r="K54" s="2902"/>
      <c r="L54" s="2918"/>
      <c r="M54" s="2918"/>
      <c r="N54" s="2918"/>
      <c r="O54" s="2918"/>
      <c r="P54" s="2918"/>
      <c r="Q54" s="2918"/>
      <c r="R54" s="2918"/>
      <c r="S54" s="2918"/>
      <c r="T54" s="2918"/>
      <c r="U54" s="2918"/>
      <c r="V54" s="2918"/>
      <c r="W54" s="2918"/>
      <c r="X54" s="2918"/>
      <c r="Y54" s="2918"/>
      <c r="Z54" s="2918"/>
      <c r="AA54" s="2918"/>
      <c r="AB54" s="2918"/>
      <c r="AC54" s="2897">
        <f t="shared" si="36"/>
        <v>0</v>
      </c>
      <c r="AD54" s="2929"/>
      <c r="AE54" s="2929"/>
      <c r="AF54" s="2902"/>
      <c r="AG54" s="2929"/>
      <c r="AH54" s="2929"/>
      <c r="AI54" s="2929"/>
      <c r="AJ54" s="2929"/>
      <c r="AK54" s="2929"/>
      <c r="AL54" s="2929"/>
      <c r="AM54" s="2929"/>
      <c r="AN54" s="2929"/>
      <c r="AO54" s="2929"/>
      <c r="AP54" s="2929"/>
      <c r="AQ54" s="2929"/>
      <c r="AR54" s="2929"/>
      <c r="AS54" s="2929"/>
      <c r="AT54" s="2949"/>
      <c r="AU54" s="2950"/>
      <c r="AV54" s="454">
        <f t="shared" si="37"/>
        <v>0</v>
      </c>
      <c r="AW54" s="454">
        <f t="shared" si="38"/>
        <v>0</v>
      </c>
      <c r="AX54" s="454">
        <f t="shared" si="39"/>
        <v>0</v>
      </c>
      <c r="AY54" s="2966">
        <f t="shared" si="40"/>
        <v>0</v>
      </c>
      <c r="AZ54" s="2897">
        <f t="shared" si="41"/>
        <v>0</v>
      </c>
      <c r="BA54" s="2897">
        <f t="shared" si="42"/>
        <v>0</v>
      </c>
      <c r="BB54" s="2897">
        <f t="shared" si="43"/>
        <v>0</v>
      </c>
      <c r="BC54" s="2897">
        <f t="shared" si="44"/>
        <v>0</v>
      </c>
      <c r="BD54" s="2897">
        <f t="shared" si="45"/>
        <v>0</v>
      </c>
      <c r="BE54" s="2897">
        <f t="shared" si="46"/>
        <v>0</v>
      </c>
      <c r="BF54" s="2897">
        <f t="shared" si="47"/>
        <v>0</v>
      </c>
      <c r="BG54" s="2897">
        <f t="shared" si="48"/>
        <v>0</v>
      </c>
      <c r="BH54" s="2897">
        <f t="shared" si="49"/>
        <v>0</v>
      </c>
      <c r="BI54" s="2897">
        <f t="shared" si="50"/>
        <v>0</v>
      </c>
      <c r="BJ54" s="2897">
        <f t="shared" si="51"/>
        <v>0</v>
      </c>
      <c r="BK54" s="2897">
        <f t="shared" si="52"/>
        <v>0</v>
      </c>
      <c r="BL54" s="2897">
        <f t="shared" si="53"/>
        <v>0</v>
      </c>
      <c r="BM54" s="2897">
        <f t="shared" si="54"/>
        <v>0</v>
      </c>
      <c r="BN54" s="2897">
        <f t="shared" si="55"/>
        <v>0</v>
      </c>
      <c r="BO54" s="2897">
        <f t="shared" si="56"/>
        <v>0</v>
      </c>
      <c r="BP54" s="2897">
        <f t="shared" si="57"/>
        <v>0</v>
      </c>
      <c r="BQ54" s="2897">
        <f t="shared" si="58"/>
        <v>0</v>
      </c>
      <c r="BR54" s="2897">
        <f t="shared" si="59"/>
        <v>0</v>
      </c>
      <c r="BS54" s="2897">
        <f t="shared" si="60"/>
        <v>0</v>
      </c>
      <c r="BT54" s="2971">
        <f t="shared" si="61"/>
        <v>0</v>
      </c>
    </row>
    <row r="55" spans="1:72">
      <c r="A55" s="2894"/>
      <c r="B55" s="2905"/>
      <c r="C55" s="2906"/>
      <c r="D55" s="2903"/>
      <c r="E55" s="2897">
        <f t="shared" si="33"/>
        <v>0</v>
      </c>
      <c r="F55" s="2898"/>
      <c r="G55" s="2899">
        <f t="shared" si="34"/>
        <v>0</v>
      </c>
      <c r="H55" s="2900">
        <f t="shared" si="35"/>
        <v>0</v>
      </c>
      <c r="I55" s="2902"/>
      <c r="J55" s="2918"/>
      <c r="K55" s="2902"/>
      <c r="L55" s="2918"/>
      <c r="M55" s="2902"/>
      <c r="N55" s="2918"/>
      <c r="O55" s="2918"/>
      <c r="P55" s="2918"/>
      <c r="Q55" s="2918"/>
      <c r="R55" s="2918"/>
      <c r="S55" s="2918"/>
      <c r="T55" s="2918"/>
      <c r="U55" s="2918"/>
      <c r="V55" s="2918"/>
      <c r="W55" s="2918"/>
      <c r="X55" s="2918"/>
      <c r="Y55" s="2918"/>
      <c r="Z55" s="2918"/>
      <c r="AA55" s="2918"/>
      <c r="AB55" s="2918"/>
      <c r="AC55" s="2897">
        <f t="shared" si="36"/>
        <v>0</v>
      </c>
      <c r="AD55" s="2929"/>
      <c r="AE55" s="2929"/>
      <c r="AF55" s="2902"/>
      <c r="AG55" s="2929"/>
      <c r="AH55" s="2929"/>
      <c r="AI55" s="2929"/>
      <c r="AJ55" s="2929"/>
      <c r="AK55" s="2929"/>
      <c r="AL55" s="2929"/>
      <c r="AM55" s="2929"/>
      <c r="AN55" s="2929"/>
      <c r="AO55" s="2929"/>
      <c r="AP55" s="2929"/>
      <c r="AQ55" s="2929"/>
      <c r="AR55" s="2929"/>
      <c r="AS55" s="2929"/>
      <c r="AT55" s="2949"/>
      <c r="AU55" s="2950"/>
      <c r="AV55" s="454">
        <f t="shared" si="37"/>
        <v>0</v>
      </c>
      <c r="AW55" s="454">
        <f t="shared" si="38"/>
        <v>0</v>
      </c>
      <c r="AX55" s="454">
        <f t="shared" si="39"/>
        <v>0</v>
      </c>
      <c r="AY55" s="2966">
        <f t="shared" si="40"/>
        <v>0</v>
      </c>
      <c r="AZ55" s="2897">
        <f t="shared" si="41"/>
        <v>0</v>
      </c>
      <c r="BA55" s="2897">
        <f t="shared" si="42"/>
        <v>0</v>
      </c>
      <c r="BB55" s="2897">
        <f t="shared" si="43"/>
        <v>0</v>
      </c>
      <c r="BC55" s="2897">
        <f t="shared" si="44"/>
        <v>0</v>
      </c>
      <c r="BD55" s="2897">
        <f t="shared" si="45"/>
        <v>0</v>
      </c>
      <c r="BE55" s="2897">
        <f t="shared" si="46"/>
        <v>0</v>
      </c>
      <c r="BF55" s="2897">
        <f t="shared" si="47"/>
        <v>0</v>
      </c>
      <c r="BG55" s="2897">
        <f t="shared" si="48"/>
        <v>0</v>
      </c>
      <c r="BH55" s="2897">
        <f t="shared" si="49"/>
        <v>0</v>
      </c>
      <c r="BI55" s="2897">
        <f t="shared" si="50"/>
        <v>0</v>
      </c>
      <c r="BJ55" s="2897">
        <f t="shared" si="51"/>
        <v>0</v>
      </c>
      <c r="BK55" s="2897">
        <f t="shared" si="52"/>
        <v>0</v>
      </c>
      <c r="BL55" s="2897">
        <f t="shared" si="53"/>
        <v>0</v>
      </c>
      <c r="BM55" s="2897">
        <f t="shared" si="54"/>
        <v>0</v>
      </c>
      <c r="BN55" s="2897">
        <f t="shared" si="55"/>
        <v>0</v>
      </c>
      <c r="BO55" s="2897">
        <f t="shared" si="56"/>
        <v>0</v>
      </c>
      <c r="BP55" s="2897">
        <f t="shared" si="57"/>
        <v>0</v>
      </c>
      <c r="BQ55" s="2897">
        <f t="shared" si="58"/>
        <v>0</v>
      </c>
      <c r="BR55" s="2897">
        <f t="shared" si="59"/>
        <v>0</v>
      </c>
      <c r="BS55" s="2897">
        <f t="shared" si="60"/>
        <v>0</v>
      </c>
      <c r="BT55" s="2971">
        <f t="shared" si="61"/>
        <v>0</v>
      </c>
    </row>
    <row r="56" spans="1:72">
      <c r="A56" s="2894"/>
      <c r="B56" s="2895"/>
      <c r="C56" s="2895"/>
      <c r="D56" s="2907"/>
      <c r="E56" s="2897">
        <f t="shared" si="33"/>
        <v>0</v>
      </c>
      <c r="F56" s="2898"/>
      <c r="G56" s="2899">
        <f t="shared" si="34"/>
        <v>0</v>
      </c>
      <c r="H56" s="2900">
        <f t="shared" si="35"/>
        <v>0</v>
      </c>
      <c r="I56" s="2918"/>
      <c r="J56" s="2918"/>
      <c r="K56" s="2918"/>
      <c r="L56" s="2918"/>
      <c r="M56" s="2918"/>
      <c r="N56" s="2918"/>
      <c r="O56" s="2918"/>
      <c r="P56" s="2918"/>
      <c r="Q56" s="2918"/>
      <c r="R56" s="2918"/>
      <c r="S56" s="2918"/>
      <c r="T56" s="2918"/>
      <c r="U56" s="2918"/>
      <c r="V56" s="2918"/>
      <c r="W56" s="2918"/>
      <c r="X56" s="2918"/>
      <c r="Y56" s="2918"/>
      <c r="Z56" s="2918"/>
      <c r="AA56" s="2918"/>
      <c r="AB56" s="2918"/>
      <c r="AC56" s="2897">
        <f t="shared" si="36"/>
        <v>0</v>
      </c>
      <c r="AD56" s="2929"/>
      <c r="AE56" s="2929"/>
      <c r="AF56" s="2929"/>
      <c r="AG56" s="2929"/>
      <c r="AH56" s="2929"/>
      <c r="AI56" s="2929"/>
      <c r="AJ56" s="2929"/>
      <c r="AK56" s="2929"/>
      <c r="AL56" s="2929"/>
      <c r="AM56" s="2929"/>
      <c r="AN56" s="2929"/>
      <c r="AO56" s="2929"/>
      <c r="AP56" s="2929"/>
      <c r="AQ56" s="2929"/>
      <c r="AR56" s="2929"/>
      <c r="AS56" s="2929"/>
      <c r="AT56" s="2949"/>
      <c r="AU56" s="2950"/>
      <c r="AV56" s="454">
        <f t="shared" si="37"/>
        <v>0</v>
      </c>
      <c r="AW56" s="454">
        <f t="shared" si="38"/>
        <v>0</v>
      </c>
      <c r="AX56" s="454">
        <f t="shared" si="39"/>
        <v>0</v>
      </c>
      <c r="AY56" s="2966">
        <f t="shared" si="40"/>
        <v>0</v>
      </c>
      <c r="AZ56" s="2897">
        <f t="shared" si="41"/>
        <v>0</v>
      </c>
      <c r="BA56" s="2897">
        <f t="shared" si="42"/>
        <v>0</v>
      </c>
      <c r="BB56" s="2897">
        <f t="shared" si="43"/>
        <v>0</v>
      </c>
      <c r="BC56" s="2897">
        <f t="shared" si="44"/>
        <v>0</v>
      </c>
      <c r="BD56" s="2897">
        <f t="shared" si="45"/>
        <v>0</v>
      </c>
      <c r="BE56" s="2897">
        <f t="shared" si="46"/>
        <v>0</v>
      </c>
      <c r="BF56" s="2897">
        <f t="shared" si="47"/>
        <v>0</v>
      </c>
      <c r="BG56" s="2897">
        <f t="shared" si="48"/>
        <v>0</v>
      </c>
      <c r="BH56" s="2897">
        <f t="shared" si="49"/>
        <v>0</v>
      </c>
      <c r="BI56" s="2897">
        <f t="shared" si="50"/>
        <v>0</v>
      </c>
      <c r="BJ56" s="2897">
        <f t="shared" si="51"/>
        <v>0</v>
      </c>
      <c r="BK56" s="2897">
        <f t="shared" si="52"/>
        <v>0</v>
      </c>
      <c r="BL56" s="2897">
        <f t="shared" si="53"/>
        <v>0</v>
      </c>
      <c r="BM56" s="2897">
        <f t="shared" si="54"/>
        <v>0</v>
      </c>
      <c r="BN56" s="2897">
        <f t="shared" si="55"/>
        <v>0</v>
      </c>
      <c r="BO56" s="2897">
        <f t="shared" si="56"/>
        <v>0</v>
      </c>
      <c r="BP56" s="2897">
        <f t="shared" si="57"/>
        <v>0</v>
      </c>
      <c r="BQ56" s="2897">
        <f t="shared" si="58"/>
        <v>0</v>
      </c>
      <c r="BR56" s="2897">
        <f t="shared" si="59"/>
        <v>0</v>
      </c>
      <c r="BS56" s="2897">
        <f t="shared" si="60"/>
        <v>0</v>
      </c>
      <c r="BT56" s="2971">
        <f t="shared" si="61"/>
        <v>0</v>
      </c>
    </row>
    <row r="57" spans="1:72">
      <c r="A57" s="2894"/>
      <c r="B57" s="2895"/>
      <c r="C57" s="2895"/>
      <c r="D57" s="2907"/>
      <c r="E57" s="2897">
        <f t="shared" si="33"/>
        <v>0</v>
      </c>
      <c r="F57" s="2898"/>
      <c r="G57" s="2899">
        <f t="shared" si="34"/>
        <v>0</v>
      </c>
      <c r="H57" s="2900">
        <f t="shared" si="35"/>
        <v>0</v>
      </c>
      <c r="I57" s="2918"/>
      <c r="J57" s="2918"/>
      <c r="K57" s="2918"/>
      <c r="L57" s="2918"/>
      <c r="M57" s="2918"/>
      <c r="N57" s="2918"/>
      <c r="O57" s="2918"/>
      <c r="P57" s="2918"/>
      <c r="Q57" s="2918"/>
      <c r="R57" s="2918"/>
      <c r="S57" s="2918"/>
      <c r="T57" s="2918"/>
      <c r="U57" s="2918"/>
      <c r="V57" s="2918"/>
      <c r="W57" s="2918"/>
      <c r="X57" s="2918"/>
      <c r="Y57" s="2918"/>
      <c r="Z57" s="2918"/>
      <c r="AA57" s="2918"/>
      <c r="AB57" s="2918"/>
      <c r="AC57" s="2897">
        <f t="shared" si="36"/>
        <v>0</v>
      </c>
      <c r="AD57" s="2929"/>
      <c r="AE57" s="2929"/>
      <c r="AF57" s="2929"/>
      <c r="AG57" s="2929"/>
      <c r="AH57" s="2929"/>
      <c r="AI57" s="2929"/>
      <c r="AJ57" s="2929"/>
      <c r="AK57" s="2929"/>
      <c r="AL57" s="2929"/>
      <c r="AM57" s="2929"/>
      <c r="AN57" s="2929"/>
      <c r="AO57" s="2929"/>
      <c r="AP57" s="2929"/>
      <c r="AQ57" s="2929"/>
      <c r="AR57" s="2929"/>
      <c r="AS57" s="2929"/>
      <c r="AT57" s="2949"/>
      <c r="AU57" s="2950"/>
      <c r="AV57" s="454">
        <f t="shared" si="37"/>
        <v>0</v>
      </c>
      <c r="AW57" s="454">
        <f t="shared" si="38"/>
        <v>0</v>
      </c>
      <c r="AX57" s="454">
        <f t="shared" si="39"/>
        <v>0</v>
      </c>
      <c r="AY57" s="2966">
        <f t="shared" si="40"/>
        <v>0</v>
      </c>
      <c r="AZ57" s="2897">
        <f t="shared" si="41"/>
        <v>0</v>
      </c>
      <c r="BA57" s="2897">
        <f t="shared" si="42"/>
        <v>0</v>
      </c>
      <c r="BB57" s="2897">
        <f t="shared" si="43"/>
        <v>0</v>
      </c>
      <c r="BC57" s="2897">
        <f t="shared" si="44"/>
        <v>0</v>
      </c>
      <c r="BD57" s="2897">
        <f t="shared" si="45"/>
        <v>0</v>
      </c>
      <c r="BE57" s="2897">
        <f t="shared" si="46"/>
        <v>0</v>
      </c>
      <c r="BF57" s="2897">
        <f t="shared" si="47"/>
        <v>0</v>
      </c>
      <c r="BG57" s="2897">
        <f t="shared" si="48"/>
        <v>0</v>
      </c>
      <c r="BH57" s="2897">
        <f t="shared" si="49"/>
        <v>0</v>
      </c>
      <c r="BI57" s="2897">
        <f t="shared" si="50"/>
        <v>0</v>
      </c>
      <c r="BJ57" s="2897">
        <f t="shared" si="51"/>
        <v>0</v>
      </c>
      <c r="BK57" s="2897">
        <f t="shared" si="52"/>
        <v>0</v>
      </c>
      <c r="BL57" s="2897">
        <f t="shared" si="53"/>
        <v>0</v>
      </c>
      <c r="BM57" s="2897">
        <f t="shared" si="54"/>
        <v>0</v>
      </c>
      <c r="BN57" s="2897">
        <f t="shared" si="55"/>
        <v>0</v>
      </c>
      <c r="BO57" s="2897">
        <f t="shared" si="56"/>
        <v>0</v>
      </c>
      <c r="BP57" s="2897">
        <f t="shared" si="57"/>
        <v>0</v>
      </c>
      <c r="BQ57" s="2897">
        <f t="shared" si="58"/>
        <v>0</v>
      </c>
      <c r="BR57" s="2897">
        <f t="shared" si="59"/>
        <v>0</v>
      </c>
      <c r="BS57" s="2897">
        <f t="shared" si="60"/>
        <v>0</v>
      </c>
      <c r="BT57" s="2971">
        <f t="shared" si="61"/>
        <v>0</v>
      </c>
    </row>
    <row r="58" spans="1:72">
      <c r="A58" s="2894"/>
      <c r="B58" s="2895"/>
      <c r="C58" s="2895"/>
      <c r="D58" s="2907"/>
      <c r="E58" s="2897">
        <f t="shared" si="33"/>
        <v>0</v>
      </c>
      <c r="F58" s="2898"/>
      <c r="G58" s="2899">
        <f t="shared" si="34"/>
        <v>0</v>
      </c>
      <c r="H58" s="2900">
        <f t="shared" si="35"/>
        <v>0</v>
      </c>
      <c r="I58" s="2918"/>
      <c r="J58" s="2918"/>
      <c r="K58" s="2918"/>
      <c r="L58" s="2918"/>
      <c r="M58" s="2918"/>
      <c r="N58" s="2918"/>
      <c r="O58" s="2918"/>
      <c r="P58" s="2918"/>
      <c r="Q58" s="2918"/>
      <c r="R58" s="2918"/>
      <c r="S58" s="2918"/>
      <c r="T58" s="2918"/>
      <c r="U58" s="2918"/>
      <c r="V58" s="2918"/>
      <c r="W58" s="2918"/>
      <c r="X58" s="2918"/>
      <c r="Y58" s="2918"/>
      <c r="Z58" s="2918"/>
      <c r="AA58" s="2918"/>
      <c r="AB58" s="2918"/>
      <c r="AC58" s="2897">
        <f t="shared" si="36"/>
        <v>0</v>
      </c>
      <c r="AD58" s="2929"/>
      <c r="AE58" s="2929"/>
      <c r="AF58" s="2929"/>
      <c r="AG58" s="2929"/>
      <c r="AH58" s="2929"/>
      <c r="AI58" s="2929"/>
      <c r="AJ58" s="2929"/>
      <c r="AK58" s="2929"/>
      <c r="AL58" s="2929"/>
      <c r="AM58" s="2929"/>
      <c r="AN58" s="2929"/>
      <c r="AO58" s="2929"/>
      <c r="AP58" s="2929"/>
      <c r="AQ58" s="2929"/>
      <c r="AR58" s="2929"/>
      <c r="AS58" s="2929"/>
      <c r="AT58" s="2949"/>
      <c r="AU58" s="2950"/>
      <c r="AV58" s="454">
        <f t="shared" si="37"/>
        <v>0</v>
      </c>
      <c r="AW58" s="454">
        <f t="shared" si="38"/>
        <v>0</v>
      </c>
      <c r="AX58" s="454">
        <f t="shared" si="39"/>
        <v>0</v>
      </c>
      <c r="AY58" s="2966">
        <f t="shared" si="40"/>
        <v>0</v>
      </c>
      <c r="AZ58" s="2897">
        <f t="shared" si="41"/>
        <v>0</v>
      </c>
      <c r="BA58" s="2897">
        <f t="shared" si="42"/>
        <v>0</v>
      </c>
      <c r="BB58" s="2897">
        <f t="shared" si="43"/>
        <v>0</v>
      </c>
      <c r="BC58" s="2897">
        <f t="shared" si="44"/>
        <v>0</v>
      </c>
      <c r="BD58" s="2897">
        <f t="shared" si="45"/>
        <v>0</v>
      </c>
      <c r="BE58" s="2897">
        <f t="shared" si="46"/>
        <v>0</v>
      </c>
      <c r="BF58" s="2897">
        <f t="shared" si="47"/>
        <v>0</v>
      </c>
      <c r="BG58" s="2897">
        <f t="shared" si="48"/>
        <v>0</v>
      </c>
      <c r="BH58" s="2897">
        <f t="shared" si="49"/>
        <v>0</v>
      </c>
      <c r="BI58" s="2897">
        <f t="shared" si="50"/>
        <v>0</v>
      </c>
      <c r="BJ58" s="2897">
        <f t="shared" si="51"/>
        <v>0</v>
      </c>
      <c r="BK58" s="2897">
        <f t="shared" si="52"/>
        <v>0</v>
      </c>
      <c r="BL58" s="2897">
        <f t="shared" si="53"/>
        <v>0</v>
      </c>
      <c r="BM58" s="2897">
        <f t="shared" si="54"/>
        <v>0</v>
      </c>
      <c r="BN58" s="2897">
        <f t="shared" si="55"/>
        <v>0</v>
      </c>
      <c r="BO58" s="2897">
        <f t="shared" si="56"/>
        <v>0</v>
      </c>
      <c r="BP58" s="2897">
        <f t="shared" si="57"/>
        <v>0</v>
      </c>
      <c r="BQ58" s="2897">
        <f t="shared" si="58"/>
        <v>0</v>
      </c>
      <c r="BR58" s="2897">
        <f t="shared" si="59"/>
        <v>0</v>
      </c>
      <c r="BS58" s="2897">
        <f t="shared" si="60"/>
        <v>0</v>
      </c>
      <c r="BT58" s="2971">
        <f t="shared" si="61"/>
        <v>0</v>
      </c>
    </row>
    <row r="59" spans="1:72">
      <c r="A59" s="2894"/>
      <c r="B59" s="2895"/>
      <c r="C59" s="2895"/>
      <c r="D59" s="2907"/>
      <c r="E59" s="2897">
        <f t="shared" si="33"/>
        <v>0</v>
      </c>
      <c r="F59" s="2898"/>
      <c r="G59" s="2899">
        <f t="shared" si="34"/>
        <v>0</v>
      </c>
      <c r="H59" s="2900">
        <f t="shared" si="35"/>
        <v>0</v>
      </c>
      <c r="I59" s="2918"/>
      <c r="J59" s="2918"/>
      <c r="K59" s="2918"/>
      <c r="L59" s="2918"/>
      <c r="M59" s="2918"/>
      <c r="N59" s="2918"/>
      <c r="O59" s="2918"/>
      <c r="P59" s="2918"/>
      <c r="Q59" s="2918"/>
      <c r="R59" s="2918"/>
      <c r="S59" s="2918"/>
      <c r="T59" s="2918"/>
      <c r="U59" s="2918"/>
      <c r="V59" s="2918"/>
      <c r="W59" s="2918"/>
      <c r="X59" s="2918"/>
      <c r="Y59" s="2918"/>
      <c r="Z59" s="2918"/>
      <c r="AA59" s="2918"/>
      <c r="AB59" s="2918"/>
      <c r="AC59" s="2897">
        <f t="shared" si="36"/>
        <v>0</v>
      </c>
      <c r="AD59" s="2929"/>
      <c r="AE59" s="2929"/>
      <c r="AF59" s="2929"/>
      <c r="AG59" s="2929"/>
      <c r="AH59" s="2929"/>
      <c r="AI59" s="2929"/>
      <c r="AJ59" s="2929"/>
      <c r="AK59" s="2929"/>
      <c r="AL59" s="2929"/>
      <c r="AM59" s="2929"/>
      <c r="AN59" s="2929"/>
      <c r="AO59" s="2929"/>
      <c r="AP59" s="2929"/>
      <c r="AQ59" s="2929"/>
      <c r="AR59" s="2929"/>
      <c r="AS59" s="2929"/>
      <c r="AT59" s="2949"/>
      <c r="AU59" s="2950"/>
      <c r="AV59" s="454">
        <f t="shared" si="37"/>
        <v>0</v>
      </c>
      <c r="AW59" s="454">
        <f t="shared" si="38"/>
        <v>0</v>
      </c>
      <c r="AX59" s="454">
        <f t="shared" si="39"/>
        <v>0</v>
      </c>
      <c r="AY59" s="2966">
        <f t="shared" si="40"/>
        <v>0</v>
      </c>
      <c r="AZ59" s="2897">
        <f t="shared" si="41"/>
        <v>0</v>
      </c>
      <c r="BA59" s="2897">
        <f t="shared" si="42"/>
        <v>0</v>
      </c>
      <c r="BB59" s="2897">
        <f t="shared" si="43"/>
        <v>0</v>
      </c>
      <c r="BC59" s="2897">
        <f t="shared" si="44"/>
        <v>0</v>
      </c>
      <c r="BD59" s="2897">
        <f t="shared" si="45"/>
        <v>0</v>
      </c>
      <c r="BE59" s="2897">
        <f t="shared" si="46"/>
        <v>0</v>
      </c>
      <c r="BF59" s="2897">
        <f t="shared" si="47"/>
        <v>0</v>
      </c>
      <c r="BG59" s="2897">
        <f t="shared" si="48"/>
        <v>0</v>
      </c>
      <c r="BH59" s="2897">
        <f t="shared" si="49"/>
        <v>0</v>
      </c>
      <c r="BI59" s="2897">
        <f t="shared" si="50"/>
        <v>0</v>
      </c>
      <c r="BJ59" s="2897">
        <f t="shared" si="51"/>
        <v>0</v>
      </c>
      <c r="BK59" s="2897">
        <f t="shared" si="52"/>
        <v>0</v>
      </c>
      <c r="BL59" s="2897">
        <f t="shared" si="53"/>
        <v>0</v>
      </c>
      <c r="BM59" s="2897">
        <f t="shared" si="54"/>
        <v>0</v>
      </c>
      <c r="BN59" s="2897">
        <f t="shared" si="55"/>
        <v>0</v>
      </c>
      <c r="BO59" s="2897">
        <f t="shared" si="56"/>
        <v>0</v>
      </c>
      <c r="BP59" s="2897">
        <f t="shared" si="57"/>
        <v>0</v>
      </c>
      <c r="BQ59" s="2897">
        <f t="shared" si="58"/>
        <v>0</v>
      </c>
      <c r="BR59" s="2897">
        <f t="shared" si="59"/>
        <v>0</v>
      </c>
      <c r="BS59" s="2897">
        <f t="shared" si="60"/>
        <v>0</v>
      </c>
      <c r="BT59" s="2971">
        <f t="shared" si="61"/>
        <v>0</v>
      </c>
    </row>
    <row r="60" spans="1:72">
      <c r="A60" s="2894"/>
      <c r="B60" s="2895"/>
      <c r="C60" s="2895"/>
      <c r="D60" s="2907"/>
      <c r="E60" s="2897">
        <f t="shared" si="33"/>
        <v>0</v>
      </c>
      <c r="F60" s="2898"/>
      <c r="G60" s="2899">
        <f t="shared" si="34"/>
        <v>0</v>
      </c>
      <c r="H60" s="2900">
        <f t="shared" si="35"/>
        <v>0</v>
      </c>
      <c r="I60" s="2918"/>
      <c r="J60" s="2918"/>
      <c r="K60" s="2918"/>
      <c r="L60" s="2918"/>
      <c r="M60" s="2918"/>
      <c r="N60" s="2918"/>
      <c r="O60" s="2918"/>
      <c r="P60" s="2918"/>
      <c r="Q60" s="2918"/>
      <c r="R60" s="2918"/>
      <c r="S60" s="2918"/>
      <c r="T60" s="2918"/>
      <c r="U60" s="2918"/>
      <c r="V60" s="2918"/>
      <c r="W60" s="2918"/>
      <c r="X60" s="2918"/>
      <c r="Y60" s="2918"/>
      <c r="Z60" s="2918"/>
      <c r="AA60" s="2918"/>
      <c r="AB60" s="2918"/>
      <c r="AC60" s="2897">
        <f t="shared" si="36"/>
        <v>0</v>
      </c>
      <c r="AD60" s="2929"/>
      <c r="AE60" s="2929"/>
      <c r="AF60" s="2929"/>
      <c r="AG60" s="2929"/>
      <c r="AH60" s="2929"/>
      <c r="AI60" s="2929"/>
      <c r="AJ60" s="2929"/>
      <c r="AK60" s="2929"/>
      <c r="AL60" s="2929"/>
      <c r="AM60" s="2929"/>
      <c r="AN60" s="2929"/>
      <c r="AO60" s="2929"/>
      <c r="AP60" s="2929"/>
      <c r="AQ60" s="2929"/>
      <c r="AR60" s="2929"/>
      <c r="AS60" s="2929"/>
      <c r="AT60" s="2949"/>
      <c r="AU60" s="2950"/>
      <c r="AV60" s="454">
        <f t="shared" si="37"/>
        <v>0</v>
      </c>
      <c r="AW60" s="454">
        <f t="shared" si="38"/>
        <v>0</v>
      </c>
      <c r="AX60" s="454">
        <f t="shared" si="39"/>
        <v>0</v>
      </c>
      <c r="AY60" s="2966">
        <f t="shared" si="40"/>
        <v>0</v>
      </c>
      <c r="AZ60" s="2897">
        <f t="shared" si="41"/>
        <v>0</v>
      </c>
      <c r="BA60" s="2897">
        <f t="shared" si="42"/>
        <v>0</v>
      </c>
      <c r="BB60" s="2897">
        <f t="shared" si="43"/>
        <v>0</v>
      </c>
      <c r="BC60" s="2897">
        <f t="shared" si="44"/>
        <v>0</v>
      </c>
      <c r="BD60" s="2897">
        <f t="shared" si="45"/>
        <v>0</v>
      </c>
      <c r="BE60" s="2897">
        <f t="shared" si="46"/>
        <v>0</v>
      </c>
      <c r="BF60" s="2897">
        <f t="shared" si="47"/>
        <v>0</v>
      </c>
      <c r="BG60" s="2897">
        <f t="shared" si="48"/>
        <v>0</v>
      </c>
      <c r="BH60" s="2897">
        <f t="shared" si="49"/>
        <v>0</v>
      </c>
      <c r="BI60" s="2897">
        <f t="shared" si="50"/>
        <v>0</v>
      </c>
      <c r="BJ60" s="2897">
        <f t="shared" si="51"/>
        <v>0</v>
      </c>
      <c r="BK60" s="2897">
        <f t="shared" si="52"/>
        <v>0</v>
      </c>
      <c r="BL60" s="2897">
        <f t="shared" si="53"/>
        <v>0</v>
      </c>
      <c r="BM60" s="2897">
        <f t="shared" si="54"/>
        <v>0</v>
      </c>
      <c r="BN60" s="2897">
        <f t="shared" si="55"/>
        <v>0</v>
      </c>
      <c r="BO60" s="2897">
        <f t="shared" si="56"/>
        <v>0</v>
      </c>
      <c r="BP60" s="2897">
        <f t="shared" si="57"/>
        <v>0</v>
      </c>
      <c r="BQ60" s="2897">
        <f t="shared" si="58"/>
        <v>0</v>
      </c>
      <c r="BR60" s="2897">
        <f t="shared" si="59"/>
        <v>0</v>
      </c>
      <c r="BS60" s="2897">
        <f t="shared" si="60"/>
        <v>0</v>
      </c>
      <c r="BT60" s="2971">
        <f t="shared" si="61"/>
        <v>0</v>
      </c>
    </row>
    <row r="61" spans="1:72">
      <c r="A61" s="2894"/>
      <c r="B61" s="2895"/>
      <c r="C61" s="2895"/>
      <c r="D61" s="2907"/>
      <c r="E61" s="2897">
        <f t="shared" si="33"/>
        <v>0</v>
      </c>
      <c r="F61" s="2898"/>
      <c r="G61" s="2899">
        <f t="shared" si="34"/>
        <v>0</v>
      </c>
      <c r="H61" s="2900">
        <f t="shared" si="35"/>
        <v>0</v>
      </c>
      <c r="I61" s="2918"/>
      <c r="J61" s="2918"/>
      <c r="K61" s="2918"/>
      <c r="L61" s="2918"/>
      <c r="M61" s="2918"/>
      <c r="N61" s="2918"/>
      <c r="O61" s="2918"/>
      <c r="P61" s="2918"/>
      <c r="Q61" s="2918"/>
      <c r="R61" s="2918"/>
      <c r="S61" s="2918"/>
      <c r="T61" s="2918"/>
      <c r="U61" s="2918"/>
      <c r="V61" s="2918"/>
      <c r="W61" s="2918"/>
      <c r="X61" s="2918"/>
      <c r="Y61" s="2918"/>
      <c r="Z61" s="2918"/>
      <c r="AA61" s="2918"/>
      <c r="AB61" s="2918"/>
      <c r="AC61" s="2897">
        <f t="shared" si="36"/>
        <v>0</v>
      </c>
      <c r="AD61" s="2929"/>
      <c r="AE61" s="2929"/>
      <c r="AF61" s="2929"/>
      <c r="AG61" s="2929"/>
      <c r="AH61" s="2929"/>
      <c r="AI61" s="2929"/>
      <c r="AJ61" s="2929"/>
      <c r="AK61" s="2929"/>
      <c r="AL61" s="2929"/>
      <c r="AM61" s="2929"/>
      <c r="AN61" s="2929"/>
      <c r="AO61" s="2929"/>
      <c r="AP61" s="2929"/>
      <c r="AQ61" s="2929"/>
      <c r="AR61" s="2929"/>
      <c r="AS61" s="2929"/>
      <c r="AT61" s="2949"/>
      <c r="AU61" s="2950"/>
      <c r="AV61" s="454">
        <f t="shared" si="37"/>
        <v>0</v>
      </c>
      <c r="AW61" s="454">
        <f t="shared" si="38"/>
        <v>0</v>
      </c>
      <c r="AX61" s="454">
        <f t="shared" si="39"/>
        <v>0</v>
      </c>
      <c r="AY61" s="2966">
        <f t="shared" si="40"/>
        <v>0</v>
      </c>
      <c r="AZ61" s="2897">
        <f t="shared" si="41"/>
        <v>0</v>
      </c>
      <c r="BA61" s="2897">
        <f t="shared" si="42"/>
        <v>0</v>
      </c>
      <c r="BB61" s="2897">
        <f t="shared" si="43"/>
        <v>0</v>
      </c>
      <c r="BC61" s="2897">
        <f t="shared" si="44"/>
        <v>0</v>
      </c>
      <c r="BD61" s="2897">
        <f t="shared" si="45"/>
        <v>0</v>
      </c>
      <c r="BE61" s="2897">
        <f t="shared" si="46"/>
        <v>0</v>
      </c>
      <c r="BF61" s="2897">
        <f t="shared" si="47"/>
        <v>0</v>
      </c>
      <c r="BG61" s="2897">
        <f t="shared" si="48"/>
        <v>0</v>
      </c>
      <c r="BH61" s="2897">
        <f t="shared" si="49"/>
        <v>0</v>
      </c>
      <c r="BI61" s="2897">
        <f t="shared" si="50"/>
        <v>0</v>
      </c>
      <c r="BJ61" s="2897">
        <f t="shared" si="51"/>
        <v>0</v>
      </c>
      <c r="BK61" s="2897">
        <f t="shared" si="52"/>
        <v>0</v>
      </c>
      <c r="BL61" s="2897">
        <f t="shared" si="53"/>
        <v>0</v>
      </c>
      <c r="BM61" s="2897">
        <f t="shared" si="54"/>
        <v>0</v>
      </c>
      <c r="BN61" s="2897">
        <f t="shared" si="55"/>
        <v>0</v>
      </c>
      <c r="BO61" s="2897">
        <f t="shared" si="56"/>
        <v>0</v>
      </c>
      <c r="BP61" s="2897">
        <f t="shared" si="57"/>
        <v>0</v>
      </c>
      <c r="BQ61" s="2897">
        <f t="shared" si="58"/>
        <v>0</v>
      </c>
      <c r="BR61" s="2897">
        <f t="shared" si="59"/>
        <v>0</v>
      </c>
      <c r="BS61" s="2897">
        <f t="shared" si="60"/>
        <v>0</v>
      </c>
      <c r="BT61" s="2971">
        <f t="shared" si="61"/>
        <v>0</v>
      </c>
    </row>
    <row r="62" spans="1:72">
      <c r="A62" s="2894"/>
      <c r="B62" s="2895"/>
      <c r="C62" s="2895"/>
      <c r="D62" s="2907"/>
      <c r="E62" s="2897">
        <f t="shared" si="33"/>
        <v>0</v>
      </c>
      <c r="F62" s="2898"/>
      <c r="G62" s="2899">
        <f t="shared" si="34"/>
        <v>0</v>
      </c>
      <c r="H62" s="2900">
        <f t="shared" si="35"/>
        <v>0</v>
      </c>
      <c r="I62" s="2918"/>
      <c r="J62" s="2918"/>
      <c r="K62" s="2918"/>
      <c r="L62" s="2918"/>
      <c r="M62" s="2918"/>
      <c r="N62" s="2918"/>
      <c r="O62" s="2918"/>
      <c r="P62" s="2918"/>
      <c r="Q62" s="2918"/>
      <c r="R62" s="2918"/>
      <c r="S62" s="2918"/>
      <c r="T62" s="2918"/>
      <c r="U62" s="2918"/>
      <c r="V62" s="2918"/>
      <c r="W62" s="2918"/>
      <c r="X62" s="2918"/>
      <c r="Y62" s="2918"/>
      <c r="Z62" s="2918"/>
      <c r="AA62" s="2918"/>
      <c r="AB62" s="2918"/>
      <c r="AC62" s="2897">
        <f t="shared" si="36"/>
        <v>0</v>
      </c>
      <c r="AD62" s="2929"/>
      <c r="AE62" s="2929"/>
      <c r="AF62" s="2929"/>
      <c r="AG62" s="2929"/>
      <c r="AH62" s="2929"/>
      <c r="AI62" s="2929"/>
      <c r="AJ62" s="2929"/>
      <c r="AK62" s="2929"/>
      <c r="AL62" s="2929"/>
      <c r="AM62" s="2929"/>
      <c r="AN62" s="2929"/>
      <c r="AO62" s="2929"/>
      <c r="AP62" s="2929"/>
      <c r="AQ62" s="2929"/>
      <c r="AR62" s="2929"/>
      <c r="AS62" s="2929"/>
      <c r="AT62" s="2949"/>
      <c r="AU62" s="2950"/>
      <c r="AV62" s="454">
        <f t="shared" si="37"/>
        <v>0</v>
      </c>
      <c r="AW62" s="454">
        <f t="shared" si="38"/>
        <v>0</v>
      </c>
      <c r="AX62" s="454">
        <f t="shared" si="39"/>
        <v>0</v>
      </c>
      <c r="AY62" s="2966">
        <f t="shared" si="40"/>
        <v>0</v>
      </c>
      <c r="AZ62" s="2897">
        <f t="shared" si="41"/>
        <v>0</v>
      </c>
      <c r="BA62" s="2897">
        <f t="shared" si="42"/>
        <v>0</v>
      </c>
      <c r="BB62" s="2897">
        <f t="shared" si="43"/>
        <v>0</v>
      </c>
      <c r="BC62" s="2897">
        <f t="shared" si="44"/>
        <v>0</v>
      </c>
      <c r="BD62" s="2897">
        <f t="shared" si="45"/>
        <v>0</v>
      </c>
      <c r="BE62" s="2897">
        <f t="shared" si="46"/>
        <v>0</v>
      </c>
      <c r="BF62" s="2897">
        <f t="shared" si="47"/>
        <v>0</v>
      </c>
      <c r="BG62" s="2897">
        <f t="shared" si="48"/>
        <v>0</v>
      </c>
      <c r="BH62" s="2897">
        <f t="shared" si="49"/>
        <v>0</v>
      </c>
      <c r="BI62" s="2897">
        <f t="shared" si="50"/>
        <v>0</v>
      </c>
      <c r="BJ62" s="2897">
        <f t="shared" si="51"/>
        <v>0</v>
      </c>
      <c r="BK62" s="2897">
        <f t="shared" si="52"/>
        <v>0</v>
      </c>
      <c r="BL62" s="2897">
        <f t="shared" si="53"/>
        <v>0</v>
      </c>
      <c r="BM62" s="2897">
        <f t="shared" si="54"/>
        <v>0</v>
      </c>
      <c r="BN62" s="2897">
        <f t="shared" si="55"/>
        <v>0</v>
      </c>
      <c r="BO62" s="2897">
        <f t="shared" si="56"/>
        <v>0</v>
      </c>
      <c r="BP62" s="2897">
        <f t="shared" si="57"/>
        <v>0</v>
      </c>
      <c r="BQ62" s="2897">
        <f t="shared" si="58"/>
        <v>0</v>
      </c>
      <c r="BR62" s="2897">
        <f t="shared" si="59"/>
        <v>0</v>
      </c>
      <c r="BS62" s="2897">
        <f t="shared" si="60"/>
        <v>0</v>
      </c>
      <c r="BT62" s="2971">
        <f t="shared" si="61"/>
        <v>0</v>
      </c>
    </row>
    <row r="63" spans="1:72">
      <c r="A63" s="2894"/>
      <c r="B63" s="2895"/>
      <c r="C63" s="2895"/>
      <c r="D63" s="2907"/>
      <c r="E63" s="2897">
        <f t="shared" si="33"/>
        <v>0</v>
      </c>
      <c r="F63" s="2898"/>
      <c r="G63" s="2899">
        <f t="shared" si="34"/>
        <v>0</v>
      </c>
      <c r="H63" s="2900">
        <f t="shared" si="35"/>
        <v>0</v>
      </c>
      <c r="I63" s="2918"/>
      <c r="J63" s="2918"/>
      <c r="K63" s="2918"/>
      <c r="L63" s="2918"/>
      <c r="M63" s="2918"/>
      <c r="N63" s="2918"/>
      <c r="O63" s="2918"/>
      <c r="P63" s="2918"/>
      <c r="Q63" s="2918"/>
      <c r="R63" s="2918"/>
      <c r="S63" s="2918"/>
      <c r="T63" s="2918"/>
      <c r="U63" s="2918"/>
      <c r="V63" s="2918"/>
      <c r="W63" s="2918"/>
      <c r="X63" s="2918"/>
      <c r="Y63" s="2918"/>
      <c r="Z63" s="2918"/>
      <c r="AA63" s="2918"/>
      <c r="AB63" s="2918"/>
      <c r="AC63" s="2897">
        <f t="shared" si="36"/>
        <v>0</v>
      </c>
      <c r="AD63" s="2929"/>
      <c r="AE63" s="2929"/>
      <c r="AF63" s="2929"/>
      <c r="AG63" s="2929"/>
      <c r="AH63" s="2929"/>
      <c r="AI63" s="2929"/>
      <c r="AJ63" s="2929"/>
      <c r="AK63" s="2929"/>
      <c r="AL63" s="2929"/>
      <c r="AM63" s="2929"/>
      <c r="AN63" s="2929"/>
      <c r="AO63" s="2929"/>
      <c r="AP63" s="2929"/>
      <c r="AQ63" s="2929"/>
      <c r="AR63" s="2929"/>
      <c r="AS63" s="2929"/>
      <c r="AT63" s="2949"/>
      <c r="AU63" s="2950"/>
      <c r="AV63" s="454">
        <f t="shared" si="37"/>
        <v>0</v>
      </c>
      <c r="AW63" s="454">
        <f t="shared" si="38"/>
        <v>0</v>
      </c>
      <c r="AX63" s="454">
        <f t="shared" si="39"/>
        <v>0</v>
      </c>
      <c r="AY63" s="2966">
        <f t="shared" si="40"/>
        <v>0</v>
      </c>
      <c r="AZ63" s="2897">
        <f t="shared" si="41"/>
        <v>0</v>
      </c>
      <c r="BA63" s="2897">
        <f t="shared" si="42"/>
        <v>0</v>
      </c>
      <c r="BB63" s="2897">
        <f t="shared" si="43"/>
        <v>0</v>
      </c>
      <c r="BC63" s="2897">
        <f t="shared" si="44"/>
        <v>0</v>
      </c>
      <c r="BD63" s="2897">
        <f t="shared" si="45"/>
        <v>0</v>
      </c>
      <c r="BE63" s="2897">
        <f t="shared" si="46"/>
        <v>0</v>
      </c>
      <c r="BF63" s="2897">
        <f t="shared" si="47"/>
        <v>0</v>
      </c>
      <c r="BG63" s="2897">
        <f t="shared" si="48"/>
        <v>0</v>
      </c>
      <c r="BH63" s="2897">
        <f t="shared" si="49"/>
        <v>0</v>
      </c>
      <c r="BI63" s="2897">
        <f t="shared" si="50"/>
        <v>0</v>
      </c>
      <c r="BJ63" s="2897">
        <f t="shared" si="51"/>
        <v>0</v>
      </c>
      <c r="BK63" s="2897">
        <f t="shared" si="52"/>
        <v>0</v>
      </c>
      <c r="BL63" s="2897">
        <f t="shared" si="53"/>
        <v>0</v>
      </c>
      <c r="BM63" s="2897">
        <f t="shared" si="54"/>
        <v>0</v>
      </c>
      <c r="BN63" s="2897">
        <f t="shared" si="55"/>
        <v>0</v>
      </c>
      <c r="BO63" s="2897">
        <f t="shared" si="56"/>
        <v>0</v>
      </c>
      <c r="BP63" s="2897">
        <f t="shared" si="57"/>
        <v>0</v>
      </c>
      <c r="BQ63" s="2897">
        <f t="shared" si="58"/>
        <v>0</v>
      </c>
      <c r="BR63" s="2897">
        <f t="shared" si="59"/>
        <v>0</v>
      </c>
      <c r="BS63" s="2897">
        <f t="shared" si="60"/>
        <v>0</v>
      </c>
      <c r="BT63" s="2971">
        <f t="shared" si="61"/>
        <v>0</v>
      </c>
    </row>
    <row r="64" spans="1:72">
      <c r="A64" s="2894"/>
      <c r="B64" s="2895"/>
      <c r="C64" s="2895"/>
      <c r="D64" s="2907"/>
      <c r="E64" s="2897">
        <f t="shared" si="33"/>
        <v>0</v>
      </c>
      <c r="F64" s="2898"/>
      <c r="G64" s="2899">
        <f t="shared" si="34"/>
        <v>0</v>
      </c>
      <c r="H64" s="2900">
        <f t="shared" si="35"/>
        <v>0</v>
      </c>
      <c r="I64" s="2918"/>
      <c r="J64" s="2918"/>
      <c r="K64" s="2918"/>
      <c r="L64" s="2918"/>
      <c r="M64" s="2918"/>
      <c r="N64" s="2918"/>
      <c r="O64" s="2918"/>
      <c r="P64" s="2918"/>
      <c r="Q64" s="2918"/>
      <c r="R64" s="2918"/>
      <c r="S64" s="2918"/>
      <c r="T64" s="2918"/>
      <c r="U64" s="2918"/>
      <c r="V64" s="2918"/>
      <c r="W64" s="2918"/>
      <c r="X64" s="2918"/>
      <c r="Y64" s="2918"/>
      <c r="Z64" s="2918"/>
      <c r="AA64" s="2918"/>
      <c r="AB64" s="2918"/>
      <c r="AC64" s="2897">
        <f t="shared" si="36"/>
        <v>0</v>
      </c>
      <c r="AD64" s="2929"/>
      <c r="AE64" s="2929"/>
      <c r="AF64" s="2929"/>
      <c r="AG64" s="2929"/>
      <c r="AH64" s="2929"/>
      <c r="AI64" s="2929"/>
      <c r="AJ64" s="2929"/>
      <c r="AK64" s="2929"/>
      <c r="AL64" s="2929"/>
      <c r="AM64" s="2929"/>
      <c r="AN64" s="2929"/>
      <c r="AO64" s="2929"/>
      <c r="AP64" s="2929"/>
      <c r="AQ64" s="2929"/>
      <c r="AR64" s="2929"/>
      <c r="AS64" s="2929"/>
      <c r="AT64" s="2949"/>
      <c r="AU64" s="2950"/>
      <c r="AV64" s="454">
        <f t="shared" si="37"/>
        <v>0</v>
      </c>
      <c r="AW64" s="454">
        <f t="shared" si="38"/>
        <v>0</v>
      </c>
      <c r="AX64" s="454">
        <f t="shared" si="39"/>
        <v>0</v>
      </c>
      <c r="AY64" s="2966">
        <f t="shared" si="40"/>
        <v>0</v>
      </c>
      <c r="AZ64" s="2897">
        <f t="shared" si="41"/>
        <v>0</v>
      </c>
      <c r="BA64" s="2897">
        <f t="shared" si="42"/>
        <v>0</v>
      </c>
      <c r="BB64" s="2897">
        <f t="shared" si="43"/>
        <v>0</v>
      </c>
      <c r="BC64" s="2897">
        <f t="shared" si="44"/>
        <v>0</v>
      </c>
      <c r="BD64" s="2897">
        <f t="shared" si="45"/>
        <v>0</v>
      </c>
      <c r="BE64" s="2897">
        <f t="shared" si="46"/>
        <v>0</v>
      </c>
      <c r="BF64" s="2897">
        <f t="shared" si="47"/>
        <v>0</v>
      </c>
      <c r="BG64" s="2897">
        <f t="shared" si="48"/>
        <v>0</v>
      </c>
      <c r="BH64" s="2897">
        <f t="shared" si="49"/>
        <v>0</v>
      </c>
      <c r="BI64" s="2897">
        <f t="shared" si="50"/>
        <v>0</v>
      </c>
      <c r="BJ64" s="2897">
        <f t="shared" si="51"/>
        <v>0</v>
      </c>
      <c r="BK64" s="2897">
        <f t="shared" si="52"/>
        <v>0</v>
      </c>
      <c r="BL64" s="2897">
        <f t="shared" si="53"/>
        <v>0</v>
      </c>
      <c r="BM64" s="2897">
        <f t="shared" si="54"/>
        <v>0</v>
      </c>
      <c r="BN64" s="2897">
        <f t="shared" si="55"/>
        <v>0</v>
      </c>
      <c r="BO64" s="2897">
        <f t="shared" si="56"/>
        <v>0</v>
      </c>
      <c r="BP64" s="2897">
        <f t="shared" si="57"/>
        <v>0</v>
      </c>
      <c r="BQ64" s="2897">
        <f t="shared" si="58"/>
        <v>0</v>
      </c>
      <c r="BR64" s="2897">
        <f t="shared" si="59"/>
        <v>0</v>
      </c>
      <c r="BS64" s="2897">
        <f t="shared" si="60"/>
        <v>0</v>
      </c>
      <c r="BT64" s="2971">
        <f t="shared" si="61"/>
        <v>0</v>
      </c>
    </row>
    <row r="65" spans="1:72">
      <c r="A65" s="2894"/>
      <c r="B65" s="2895"/>
      <c r="C65" s="2895"/>
      <c r="D65" s="2907"/>
      <c r="E65" s="2897">
        <f t="shared" si="33"/>
        <v>0</v>
      </c>
      <c r="F65" s="2898"/>
      <c r="G65" s="2899">
        <f t="shared" si="34"/>
        <v>0</v>
      </c>
      <c r="H65" s="2900">
        <f t="shared" si="35"/>
        <v>0</v>
      </c>
      <c r="I65" s="2918"/>
      <c r="J65" s="2918"/>
      <c r="K65" s="2918"/>
      <c r="L65" s="2918"/>
      <c r="M65" s="2918"/>
      <c r="N65" s="2918"/>
      <c r="O65" s="2918"/>
      <c r="P65" s="2918"/>
      <c r="Q65" s="2918"/>
      <c r="R65" s="2918"/>
      <c r="S65" s="2918"/>
      <c r="T65" s="2918"/>
      <c r="U65" s="2918"/>
      <c r="V65" s="2918"/>
      <c r="W65" s="2918"/>
      <c r="X65" s="2918"/>
      <c r="Y65" s="2918"/>
      <c r="Z65" s="2918"/>
      <c r="AA65" s="2918"/>
      <c r="AB65" s="2918"/>
      <c r="AC65" s="2897">
        <f t="shared" si="36"/>
        <v>0</v>
      </c>
      <c r="AD65" s="2929"/>
      <c r="AE65" s="2929"/>
      <c r="AF65" s="2929"/>
      <c r="AG65" s="2929"/>
      <c r="AH65" s="2929"/>
      <c r="AI65" s="2929"/>
      <c r="AJ65" s="2929"/>
      <c r="AK65" s="2929"/>
      <c r="AL65" s="2929"/>
      <c r="AM65" s="2929"/>
      <c r="AN65" s="2929"/>
      <c r="AO65" s="2929"/>
      <c r="AP65" s="2929"/>
      <c r="AQ65" s="2929"/>
      <c r="AR65" s="2929"/>
      <c r="AS65" s="2929"/>
      <c r="AT65" s="2949"/>
      <c r="AU65" s="2950"/>
      <c r="AV65" s="454">
        <f t="shared" si="37"/>
        <v>0</v>
      </c>
      <c r="AW65" s="454">
        <f t="shared" si="38"/>
        <v>0</v>
      </c>
      <c r="AX65" s="454">
        <f t="shared" si="39"/>
        <v>0</v>
      </c>
      <c r="AY65" s="2966">
        <f t="shared" si="40"/>
        <v>0</v>
      </c>
      <c r="AZ65" s="2897">
        <f t="shared" si="41"/>
        <v>0</v>
      </c>
      <c r="BA65" s="2897">
        <f t="shared" si="42"/>
        <v>0</v>
      </c>
      <c r="BB65" s="2897">
        <f t="shared" si="43"/>
        <v>0</v>
      </c>
      <c r="BC65" s="2897">
        <f t="shared" si="44"/>
        <v>0</v>
      </c>
      <c r="BD65" s="2897">
        <f t="shared" si="45"/>
        <v>0</v>
      </c>
      <c r="BE65" s="2897">
        <f t="shared" si="46"/>
        <v>0</v>
      </c>
      <c r="BF65" s="2897">
        <f t="shared" si="47"/>
        <v>0</v>
      </c>
      <c r="BG65" s="2897">
        <f t="shared" si="48"/>
        <v>0</v>
      </c>
      <c r="BH65" s="2897">
        <f t="shared" si="49"/>
        <v>0</v>
      </c>
      <c r="BI65" s="2897">
        <f t="shared" si="50"/>
        <v>0</v>
      </c>
      <c r="BJ65" s="2897">
        <f t="shared" si="51"/>
        <v>0</v>
      </c>
      <c r="BK65" s="2897">
        <f t="shared" si="52"/>
        <v>0</v>
      </c>
      <c r="BL65" s="2897">
        <f t="shared" si="53"/>
        <v>0</v>
      </c>
      <c r="BM65" s="2897">
        <f t="shared" si="54"/>
        <v>0</v>
      </c>
      <c r="BN65" s="2897">
        <f t="shared" si="55"/>
        <v>0</v>
      </c>
      <c r="BO65" s="2897">
        <f t="shared" si="56"/>
        <v>0</v>
      </c>
      <c r="BP65" s="2897">
        <f t="shared" si="57"/>
        <v>0</v>
      </c>
      <c r="BQ65" s="2897">
        <f t="shared" si="58"/>
        <v>0</v>
      </c>
      <c r="BR65" s="2897">
        <f t="shared" si="59"/>
        <v>0</v>
      </c>
      <c r="BS65" s="2897">
        <f t="shared" si="60"/>
        <v>0</v>
      </c>
      <c r="BT65" s="2971">
        <f t="shared" si="61"/>
        <v>0</v>
      </c>
    </row>
    <row r="66" spans="1:72">
      <c r="A66" s="2894"/>
      <c r="B66" s="2895"/>
      <c r="C66" s="2895"/>
      <c r="D66" s="2907"/>
      <c r="E66" s="2897">
        <f t="shared" si="33"/>
        <v>0</v>
      </c>
      <c r="F66" s="2898"/>
      <c r="G66" s="2899">
        <f t="shared" si="34"/>
        <v>0</v>
      </c>
      <c r="H66" s="2900">
        <f t="shared" si="35"/>
        <v>0</v>
      </c>
      <c r="I66" s="2918"/>
      <c r="J66" s="2918"/>
      <c r="K66" s="2918"/>
      <c r="L66" s="2918"/>
      <c r="M66" s="2918"/>
      <c r="N66" s="2918"/>
      <c r="O66" s="2918"/>
      <c r="P66" s="2918"/>
      <c r="Q66" s="2918"/>
      <c r="R66" s="2918"/>
      <c r="S66" s="2918"/>
      <c r="T66" s="2918"/>
      <c r="U66" s="2918"/>
      <c r="V66" s="2918"/>
      <c r="W66" s="2918"/>
      <c r="X66" s="2918"/>
      <c r="Y66" s="2918"/>
      <c r="Z66" s="2918"/>
      <c r="AA66" s="2918"/>
      <c r="AB66" s="2918"/>
      <c r="AC66" s="2897">
        <f t="shared" si="36"/>
        <v>0</v>
      </c>
      <c r="AD66" s="2929"/>
      <c r="AE66" s="2929"/>
      <c r="AF66" s="2929"/>
      <c r="AG66" s="2929"/>
      <c r="AH66" s="2929"/>
      <c r="AI66" s="2929"/>
      <c r="AJ66" s="2929"/>
      <c r="AK66" s="2929"/>
      <c r="AL66" s="2929"/>
      <c r="AM66" s="2929"/>
      <c r="AN66" s="2929"/>
      <c r="AO66" s="2929"/>
      <c r="AP66" s="2929"/>
      <c r="AQ66" s="2929"/>
      <c r="AR66" s="2929"/>
      <c r="AS66" s="2929"/>
      <c r="AT66" s="2949"/>
      <c r="AU66" s="2950"/>
      <c r="AV66" s="454">
        <f t="shared" si="37"/>
        <v>0</v>
      </c>
      <c r="AW66" s="454">
        <f t="shared" si="38"/>
        <v>0</v>
      </c>
      <c r="AX66" s="454">
        <f t="shared" si="39"/>
        <v>0</v>
      </c>
      <c r="AY66" s="2966">
        <f t="shared" si="40"/>
        <v>0</v>
      </c>
      <c r="AZ66" s="2897">
        <f t="shared" si="41"/>
        <v>0</v>
      </c>
      <c r="BA66" s="2897">
        <f t="shared" si="42"/>
        <v>0</v>
      </c>
      <c r="BB66" s="2897">
        <f t="shared" si="43"/>
        <v>0</v>
      </c>
      <c r="BC66" s="2897">
        <f t="shared" si="44"/>
        <v>0</v>
      </c>
      <c r="BD66" s="2897">
        <f t="shared" si="45"/>
        <v>0</v>
      </c>
      <c r="BE66" s="2897">
        <f t="shared" si="46"/>
        <v>0</v>
      </c>
      <c r="BF66" s="2897">
        <f t="shared" si="47"/>
        <v>0</v>
      </c>
      <c r="BG66" s="2897">
        <f t="shared" si="48"/>
        <v>0</v>
      </c>
      <c r="BH66" s="2897">
        <f t="shared" si="49"/>
        <v>0</v>
      </c>
      <c r="BI66" s="2897">
        <f t="shared" si="50"/>
        <v>0</v>
      </c>
      <c r="BJ66" s="2897">
        <f t="shared" si="51"/>
        <v>0</v>
      </c>
      <c r="BK66" s="2897">
        <f t="shared" si="52"/>
        <v>0</v>
      </c>
      <c r="BL66" s="2897">
        <f t="shared" si="53"/>
        <v>0</v>
      </c>
      <c r="BM66" s="2897">
        <f t="shared" si="54"/>
        <v>0</v>
      </c>
      <c r="BN66" s="2897">
        <f t="shared" si="55"/>
        <v>0</v>
      </c>
      <c r="BO66" s="2897">
        <f t="shared" si="56"/>
        <v>0</v>
      </c>
      <c r="BP66" s="2897">
        <f t="shared" si="57"/>
        <v>0</v>
      </c>
      <c r="BQ66" s="2897">
        <f t="shared" si="58"/>
        <v>0</v>
      </c>
      <c r="BR66" s="2897">
        <f t="shared" si="59"/>
        <v>0</v>
      </c>
      <c r="BS66" s="2897">
        <f t="shared" si="60"/>
        <v>0</v>
      </c>
      <c r="BT66" s="2971">
        <f t="shared" si="61"/>
        <v>0</v>
      </c>
    </row>
    <row r="67" spans="1:72">
      <c r="A67" s="2894"/>
      <c r="B67" s="2895"/>
      <c r="C67" s="2895"/>
      <c r="D67" s="2907"/>
      <c r="E67" s="2897">
        <f t="shared" si="33"/>
        <v>0</v>
      </c>
      <c r="F67" s="2898"/>
      <c r="G67" s="2899">
        <f t="shared" si="34"/>
        <v>0</v>
      </c>
      <c r="H67" s="2900">
        <f t="shared" si="35"/>
        <v>0</v>
      </c>
      <c r="I67" s="2918"/>
      <c r="J67" s="2918"/>
      <c r="K67" s="2918"/>
      <c r="L67" s="2918"/>
      <c r="M67" s="2918"/>
      <c r="N67" s="2918"/>
      <c r="O67" s="2918"/>
      <c r="P67" s="2918"/>
      <c r="Q67" s="2918"/>
      <c r="R67" s="2918"/>
      <c r="S67" s="2918"/>
      <c r="T67" s="2918"/>
      <c r="U67" s="2918"/>
      <c r="V67" s="2918"/>
      <c r="W67" s="2918"/>
      <c r="X67" s="2918"/>
      <c r="Y67" s="2918"/>
      <c r="Z67" s="2918"/>
      <c r="AA67" s="2918"/>
      <c r="AB67" s="2918"/>
      <c r="AC67" s="2897">
        <f t="shared" si="36"/>
        <v>0</v>
      </c>
      <c r="AD67" s="2929"/>
      <c r="AE67" s="2929"/>
      <c r="AF67" s="2929"/>
      <c r="AG67" s="2929"/>
      <c r="AH67" s="2929"/>
      <c r="AI67" s="2929"/>
      <c r="AJ67" s="2929"/>
      <c r="AK67" s="2929"/>
      <c r="AL67" s="2929"/>
      <c r="AM67" s="2929"/>
      <c r="AN67" s="2929"/>
      <c r="AO67" s="2929"/>
      <c r="AP67" s="2929"/>
      <c r="AQ67" s="2929"/>
      <c r="AR67" s="2929"/>
      <c r="AS67" s="2929"/>
      <c r="AT67" s="2949"/>
      <c r="AU67" s="2950"/>
      <c r="AV67" s="454">
        <f t="shared" si="37"/>
        <v>0</v>
      </c>
      <c r="AW67" s="454">
        <f t="shared" si="38"/>
        <v>0</v>
      </c>
      <c r="AX67" s="454">
        <f t="shared" si="39"/>
        <v>0</v>
      </c>
      <c r="AY67" s="2966">
        <f t="shared" si="40"/>
        <v>0</v>
      </c>
      <c r="AZ67" s="2897">
        <f t="shared" si="41"/>
        <v>0</v>
      </c>
      <c r="BA67" s="2897">
        <f t="shared" si="42"/>
        <v>0</v>
      </c>
      <c r="BB67" s="2897">
        <f t="shared" si="43"/>
        <v>0</v>
      </c>
      <c r="BC67" s="2897">
        <f t="shared" si="44"/>
        <v>0</v>
      </c>
      <c r="BD67" s="2897">
        <f t="shared" si="45"/>
        <v>0</v>
      </c>
      <c r="BE67" s="2897">
        <f t="shared" si="46"/>
        <v>0</v>
      </c>
      <c r="BF67" s="2897">
        <f t="shared" si="47"/>
        <v>0</v>
      </c>
      <c r="BG67" s="2897">
        <f t="shared" si="48"/>
        <v>0</v>
      </c>
      <c r="BH67" s="2897">
        <f t="shared" si="49"/>
        <v>0</v>
      </c>
      <c r="BI67" s="2897">
        <f t="shared" si="50"/>
        <v>0</v>
      </c>
      <c r="BJ67" s="2897">
        <f t="shared" si="51"/>
        <v>0</v>
      </c>
      <c r="BK67" s="2897">
        <f t="shared" si="52"/>
        <v>0</v>
      </c>
      <c r="BL67" s="2897">
        <f t="shared" si="53"/>
        <v>0</v>
      </c>
      <c r="BM67" s="2897">
        <f t="shared" si="54"/>
        <v>0</v>
      </c>
      <c r="BN67" s="2897">
        <f t="shared" si="55"/>
        <v>0</v>
      </c>
      <c r="BO67" s="2897">
        <f t="shared" si="56"/>
        <v>0</v>
      </c>
      <c r="BP67" s="2897">
        <f t="shared" si="57"/>
        <v>0</v>
      </c>
      <c r="BQ67" s="2897">
        <f t="shared" si="58"/>
        <v>0</v>
      </c>
      <c r="BR67" s="2897">
        <f t="shared" si="59"/>
        <v>0</v>
      </c>
      <c r="BS67" s="2897">
        <f t="shared" si="60"/>
        <v>0</v>
      </c>
      <c r="BT67" s="2971">
        <f t="shared" si="61"/>
        <v>0</v>
      </c>
    </row>
    <row r="68" spans="1:72">
      <c r="A68" s="2894"/>
      <c r="B68" s="2895"/>
      <c r="C68" s="2895"/>
      <c r="D68" s="2907"/>
      <c r="E68" s="2897">
        <f t="shared" si="33"/>
        <v>0</v>
      </c>
      <c r="F68" s="2898"/>
      <c r="G68" s="2899">
        <f t="shared" si="34"/>
        <v>0</v>
      </c>
      <c r="H68" s="2900">
        <f t="shared" si="35"/>
        <v>0</v>
      </c>
      <c r="I68" s="2918"/>
      <c r="J68" s="2918"/>
      <c r="K68" s="2918"/>
      <c r="L68" s="2918"/>
      <c r="M68" s="2918"/>
      <c r="N68" s="2918"/>
      <c r="O68" s="2918"/>
      <c r="P68" s="2918"/>
      <c r="Q68" s="2918"/>
      <c r="R68" s="2918"/>
      <c r="S68" s="2918"/>
      <c r="T68" s="2918"/>
      <c r="U68" s="2918"/>
      <c r="V68" s="2918"/>
      <c r="W68" s="2918"/>
      <c r="X68" s="2918"/>
      <c r="Y68" s="2918"/>
      <c r="Z68" s="2918"/>
      <c r="AA68" s="2918"/>
      <c r="AB68" s="2918"/>
      <c r="AC68" s="2897">
        <f t="shared" si="36"/>
        <v>0</v>
      </c>
      <c r="AD68" s="2929"/>
      <c r="AE68" s="2929"/>
      <c r="AF68" s="2929"/>
      <c r="AG68" s="2929"/>
      <c r="AH68" s="2929"/>
      <c r="AI68" s="2929"/>
      <c r="AJ68" s="2929"/>
      <c r="AK68" s="2929"/>
      <c r="AL68" s="2929"/>
      <c r="AM68" s="2929"/>
      <c r="AN68" s="2929"/>
      <c r="AO68" s="2929"/>
      <c r="AP68" s="2929"/>
      <c r="AQ68" s="2929"/>
      <c r="AR68" s="2929"/>
      <c r="AS68" s="2929"/>
      <c r="AT68" s="2949"/>
      <c r="AU68" s="2950"/>
      <c r="AV68" s="454">
        <f t="shared" si="37"/>
        <v>0</v>
      </c>
      <c r="AW68" s="454">
        <f t="shared" si="38"/>
        <v>0</v>
      </c>
      <c r="AX68" s="454">
        <f t="shared" si="39"/>
        <v>0</v>
      </c>
      <c r="AY68" s="2966">
        <f t="shared" si="40"/>
        <v>0</v>
      </c>
      <c r="AZ68" s="2897">
        <f t="shared" si="41"/>
        <v>0</v>
      </c>
      <c r="BA68" s="2897">
        <f t="shared" si="42"/>
        <v>0</v>
      </c>
      <c r="BB68" s="2897">
        <f t="shared" si="43"/>
        <v>0</v>
      </c>
      <c r="BC68" s="2897">
        <f t="shared" si="44"/>
        <v>0</v>
      </c>
      <c r="BD68" s="2897">
        <f t="shared" si="45"/>
        <v>0</v>
      </c>
      <c r="BE68" s="2897">
        <f t="shared" si="46"/>
        <v>0</v>
      </c>
      <c r="BF68" s="2897">
        <f t="shared" si="47"/>
        <v>0</v>
      </c>
      <c r="BG68" s="2897">
        <f t="shared" si="48"/>
        <v>0</v>
      </c>
      <c r="BH68" s="2897">
        <f t="shared" si="49"/>
        <v>0</v>
      </c>
      <c r="BI68" s="2897">
        <f t="shared" si="50"/>
        <v>0</v>
      </c>
      <c r="BJ68" s="2897">
        <f t="shared" si="51"/>
        <v>0</v>
      </c>
      <c r="BK68" s="2897">
        <f t="shared" si="52"/>
        <v>0</v>
      </c>
      <c r="BL68" s="2897">
        <f t="shared" si="53"/>
        <v>0</v>
      </c>
      <c r="BM68" s="2897">
        <f t="shared" si="54"/>
        <v>0</v>
      </c>
      <c r="BN68" s="2897">
        <f t="shared" si="55"/>
        <v>0</v>
      </c>
      <c r="BO68" s="2897">
        <f t="shared" si="56"/>
        <v>0</v>
      </c>
      <c r="BP68" s="2897">
        <f t="shared" si="57"/>
        <v>0</v>
      </c>
      <c r="BQ68" s="2897">
        <f t="shared" si="58"/>
        <v>0</v>
      </c>
      <c r="BR68" s="2897">
        <f t="shared" si="59"/>
        <v>0</v>
      </c>
      <c r="BS68" s="2897">
        <f t="shared" si="60"/>
        <v>0</v>
      </c>
      <c r="BT68" s="2971">
        <f t="shared" si="61"/>
        <v>0</v>
      </c>
    </row>
    <row r="69" spans="1:72">
      <c r="A69" s="2894"/>
      <c r="B69" s="2895"/>
      <c r="C69" s="2895"/>
      <c r="D69" s="2907"/>
      <c r="E69" s="2897">
        <f t="shared" si="33"/>
        <v>0</v>
      </c>
      <c r="F69" s="2898"/>
      <c r="G69" s="2899">
        <f t="shared" si="34"/>
        <v>0</v>
      </c>
      <c r="H69" s="2900">
        <f t="shared" si="35"/>
        <v>0</v>
      </c>
      <c r="I69" s="2918"/>
      <c r="J69" s="2918"/>
      <c r="K69" s="2918"/>
      <c r="L69" s="2918"/>
      <c r="M69" s="2918"/>
      <c r="N69" s="2918"/>
      <c r="O69" s="2918"/>
      <c r="P69" s="2918"/>
      <c r="Q69" s="2918"/>
      <c r="R69" s="2918"/>
      <c r="S69" s="2918"/>
      <c r="T69" s="2918"/>
      <c r="U69" s="2918"/>
      <c r="V69" s="2918"/>
      <c r="W69" s="2918"/>
      <c r="X69" s="2918"/>
      <c r="Y69" s="2918"/>
      <c r="Z69" s="2918"/>
      <c r="AA69" s="2918"/>
      <c r="AB69" s="2918"/>
      <c r="AC69" s="2897">
        <f t="shared" si="36"/>
        <v>0</v>
      </c>
      <c r="AD69" s="2929"/>
      <c r="AE69" s="2929"/>
      <c r="AF69" s="2929"/>
      <c r="AG69" s="2929"/>
      <c r="AH69" s="2929"/>
      <c r="AI69" s="2929"/>
      <c r="AJ69" s="2929"/>
      <c r="AK69" s="2929"/>
      <c r="AL69" s="2929"/>
      <c r="AM69" s="2929"/>
      <c r="AN69" s="2929"/>
      <c r="AO69" s="2929"/>
      <c r="AP69" s="2929"/>
      <c r="AQ69" s="2929"/>
      <c r="AR69" s="2929"/>
      <c r="AS69" s="2929"/>
      <c r="AT69" s="2949"/>
      <c r="AU69" s="2950"/>
      <c r="AV69" s="454">
        <f t="shared" si="37"/>
        <v>0</v>
      </c>
      <c r="AW69" s="454">
        <f t="shared" si="38"/>
        <v>0</v>
      </c>
      <c r="AX69" s="454">
        <f t="shared" si="39"/>
        <v>0</v>
      </c>
      <c r="AY69" s="2966">
        <f t="shared" si="40"/>
        <v>0</v>
      </c>
      <c r="AZ69" s="2897">
        <f t="shared" si="41"/>
        <v>0</v>
      </c>
      <c r="BA69" s="2897">
        <f t="shared" si="42"/>
        <v>0</v>
      </c>
      <c r="BB69" s="2897">
        <f t="shared" si="43"/>
        <v>0</v>
      </c>
      <c r="BC69" s="2897">
        <f t="shared" si="44"/>
        <v>0</v>
      </c>
      <c r="BD69" s="2897">
        <f t="shared" si="45"/>
        <v>0</v>
      </c>
      <c r="BE69" s="2897">
        <f t="shared" si="46"/>
        <v>0</v>
      </c>
      <c r="BF69" s="2897">
        <f t="shared" si="47"/>
        <v>0</v>
      </c>
      <c r="BG69" s="2897">
        <f t="shared" si="48"/>
        <v>0</v>
      </c>
      <c r="BH69" s="2897">
        <f t="shared" si="49"/>
        <v>0</v>
      </c>
      <c r="BI69" s="2897">
        <f t="shared" si="50"/>
        <v>0</v>
      </c>
      <c r="BJ69" s="2897">
        <f t="shared" si="51"/>
        <v>0</v>
      </c>
      <c r="BK69" s="2897">
        <f t="shared" si="52"/>
        <v>0</v>
      </c>
      <c r="BL69" s="2897">
        <f t="shared" si="53"/>
        <v>0</v>
      </c>
      <c r="BM69" s="2897">
        <f t="shared" si="54"/>
        <v>0</v>
      </c>
      <c r="BN69" s="2897">
        <f t="shared" si="55"/>
        <v>0</v>
      </c>
      <c r="BO69" s="2897">
        <f t="shared" si="56"/>
        <v>0</v>
      </c>
      <c r="BP69" s="2897">
        <f t="shared" si="57"/>
        <v>0</v>
      </c>
      <c r="BQ69" s="2897">
        <f t="shared" si="58"/>
        <v>0</v>
      </c>
      <c r="BR69" s="2897">
        <f t="shared" si="59"/>
        <v>0</v>
      </c>
      <c r="BS69" s="2897">
        <f t="shared" si="60"/>
        <v>0</v>
      </c>
      <c r="BT69" s="2971">
        <f t="shared" si="61"/>
        <v>0</v>
      </c>
    </row>
    <row r="70" spans="1:72">
      <c r="A70" s="2894"/>
      <c r="B70" s="2895"/>
      <c r="C70" s="2895"/>
      <c r="D70" s="2907"/>
      <c r="E70" s="2897">
        <f t="shared" si="33"/>
        <v>0</v>
      </c>
      <c r="F70" s="2898"/>
      <c r="G70" s="2899">
        <f t="shared" si="34"/>
        <v>0</v>
      </c>
      <c r="H70" s="2900">
        <f t="shared" si="35"/>
        <v>0</v>
      </c>
      <c r="I70" s="2918"/>
      <c r="J70" s="2918"/>
      <c r="K70" s="2918"/>
      <c r="L70" s="2918"/>
      <c r="M70" s="2918"/>
      <c r="N70" s="2918"/>
      <c r="O70" s="2918"/>
      <c r="P70" s="2918"/>
      <c r="Q70" s="2918"/>
      <c r="R70" s="2918"/>
      <c r="S70" s="2918"/>
      <c r="T70" s="2918"/>
      <c r="U70" s="2918"/>
      <c r="V70" s="2918"/>
      <c r="W70" s="2918"/>
      <c r="X70" s="2918"/>
      <c r="Y70" s="2918"/>
      <c r="Z70" s="2918"/>
      <c r="AA70" s="2918"/>
      <c r="AB70" s="2918"/>
      <c r="AC70" s="2897">
        <f t="shared" si="36"/>
        <v>0</v>
      </c>
      <c r="AD70" s="2929"/>
      <c r="AE70" s="2929"/>
      <c r="AF70" s="2929"/>
      <c r="AG70" s="2929"/>
      <c r="AH70" s="2929"/>
      <c r="AI70" s="2929"/>
      <c r="AJ70" s="2929"/>
      <c r="AK70" s="2929"/>
      <c r="AL70" s="2929"/>
      <c r="AM70" s="2929"/>
      <c r="AN70" s="2929"/>
      <c r="AO70" s="2929"/>
      <c r="AP70" s="2929"/>
      <c r="AQ70" s="2929"/>
      <c r="AR70" s="2929"/>
      <c r="AS70" s="2929"/>
      <c r="AT70" s="2949"/>
      <c r="AU70" s="2950"/>
      <c r="AV70" s="454">
        <f t="shared" si="37"/>
        <v>0</v>
      </c>
      <c r="AW70" s="454">
        <f t="shared" si="38"/>
        <v>0</v>
      </c>
      <c r="AX70" s="454">
        <f t="shared" si="39"/>
        <v>0</v>
      </c>
      <c r="AY70" s="2966">
        <f t="shared" si="40"/>
        <v>0</v>
      </c>
      <c r="AZ70" s="2897">
        <f t="shared" si="41"/>
        <v>0</v>
      </c>
      <c r="BA70" s="2897">
        <f t="shared" si="42"/>
        <v>0</v>
      </c>
      <c r="BB70" s="2897">
        <f t="shared" si="43"/>
        <v>0</v>
      </c>
      <c r="BC70" s="2897">
        <f t="shared" si="44"/>
        <v>0</v>
      </c>
      <c r="BD70" s="2897">
        <f t="shared" si="45"/>
        <v>0</v>
      </c>
      <c r="BE70" s="2897">
        <f t="shared" si="46"/>
        <v>0</v>
      </c>
      <c r="BF70" s="2897">
        <f t="shared" si="47"/>
        <v>0</v>
      </c>
      <c r="BG70" s="2897">
        <f t="shared" si="48"/>
        <v>0</v>
      </c>
      <c r="BH70" s="2897">
        <f t="shared" si="49"/>
        <v>0</v>
      </c>
      <c r="BI70" s="2897">
        <f t="shared" si="50"/>
        <v>0</v>
      </c>
      <c r="BJ70" s="2897">
        <f t="shared" si="51"/>
        <v>0</v>
      </c>
      <c r="BK70" s="2897">
        <f t="shared" si="52"/>
        <v>0</v>
      </c>
      <c r="BL70" s="2897">
        <f t="shared" si="53"/>
        <v>0</v>
      </c>
      <c r="BM70" s="2897">
        <f t="shared" si="54"/>
        <v>0</v>
      </c>
      <c r="BN70" s="2897">
        <f t="shared" si="55"/>
        <v>0</v>
      </c>
      <c r="BO70" s="2897">
        <f t="shared" si="56"/>
        <v>0</v>
      </c>
      <c r="BP70" s="2897">
        <f t="shared" si="57"/>
        <v>0</v>
      </c>
      <c r="BQ70" s="2897">
        <f t="shared" si="58"/>
        <v>0</v>
      </c>
      <c r="BR70" s="2897">
        <f t="shared" si="59"/>
        <v>0</v>
      </c>
      <c r="BS70" s="2897">
        <f t="shared" si="60"/>
        <v>0</v>
      </c>
      <c r="BT70" s="2971">
        <f t="shared" si="61"/>
        <v>0</v>
      </c>
    </row>
    <row r="71" spans="1:72">
      <c r="A71" s="2894"/>
      <c r="B71" s="2895"/>
      <c r="C71" s="2895"/>
      <c r="D71" s="2907"/>
      <c r="E71" s="2897">
        <f t="shared" si="33"/>
        <v>0</v>
      </c>
      <c r="F71" s="2898"/>
      <c r="G71" s="2899">
        <f t="shared" si="34"/>
        <v>0</v>
      </c>
      <c r="H71" s="2900">
        <f t="shared" si="35"/>
        <v>0</v>
      </c>
      <c r="I71" s="2918"/>
      <c r="J71" s="2918"/>
      <c r="K71" s="2918"/>
      <c r="L71" s="2918"/>
      <c r="M71" s="2918"/>
      <c r="N71" s="2918"/>
      <c r="O71" s="2918"/>
      <c r="P71" s="2918"/>
      <c r="Q71" s="2918"/>
      <c r="R71" s="2918"/>
      <c r="S71" s="2918"/>
      <c r="T71" s="2918"/>
      <c r="U71" s="2918"/>
      <c r="V71" s="2918"/>
      <c r="W71" s="2918"/>
      <c r="X71" s="2918"/>
      <c r="Y71" s="2918"/>
      <c r="Z71" s="2918"/>
      <c r="AA71" s="2918"/>
      <c r="AB71" s="2918"/>
      <c r="AC71" s="2897">
        <f t="shared" si="36"/>
        <v>0</v>
      </c>
      <c r="AD71" s="2929"/>
      <c r="AE71" s="2929"/>
      <c r="AF71" s="2929"/>
      <c r="AG71" s="2929"/>
      <c r="AH71" s="2929"/>
      <c r="AI71" s="2929"/>
      <c r="AJ71" s="2929"/>
      <c r="AK71" s="2929"/>
      <c r="AL71" s="2929"/>
      <c r="AM71" s="2929"/>
      <c r="AN71" s="2929"/>
      <c r="AO71" s="2929"/>
      <c r="AP71" s="2929"/>
      <c r="AQ71" s="2929"/>
      <c r="AR71" s="2929"/>
      <c r="AS71" s="2929"/>
      <c r="AT71" s="2949"/>
      <c r="AU71" s="2950"/>
      <c r="AV71" s="454">
        <f t="shared" si="37"/>
        <v>0</v>
      </c>
      <c r="AW71" s="454">
        <f t="shared" si="38"/>
        <v>0</v>
      </c>
      <c r="AX71" s="454">
        <f t="shared" si="39"/>
        <v>0</v>
      </c>
      <c r="AY71" s="2966">
        <f t="shared" si="40"/>
        <v>0</v>
      </c>
      <c r="AZ71" s="2897">
        <f t="shared" si="41"/>
        <v>0</v>
      </c>
      <c r="BA71" s="2897">
        <f t="shared" si="42"/>
        <v>0</v>
      </c>
      <c r="BB71" s="2897">
        <f t="shared" si="43"/>
        <v>0</v>
      </c>
      <c r="BC71" s="2897">
        <f t="shared" si="44"/>
        <v>0</v>
      </c>
      <c r="BD71" s="2897">
        <f t="shared" si="45"/>
        <v>0</v>
      </c>
      <c r="BE71" s="2897">
        <f t="shared" si="46"/>
        <v>0</v>
      </c>
      <c r="BF71" s="2897">
        <f t="shared" si="47"/>
        <v>0</v>
      </c>
      <c r="BG71" s="2897">
        <f t="shared" si="48"/>
        <v>0</v>
      </c>
      <c r="BH71" s="2897">
        <f t="shared" si="49"/>
        <v>0</v>
      </c>
      <c r="BI71" s="2897">
        <f t="shared" si="50"/>
        <v>0</v>
      </c>
      <c r="BJ71" s="2897">
        <f t="shared" si="51"/>
        <v>0</v>
      </c>
      <c r="BK71" s="2897">
        <f t="shared" si="52"/>
        <v>0</v>
      </c>
      <c r="BL71" s="2897">
        <f t="shared" si="53"/>
        <v>0</v>
      </c>
      <c r="BM71" s="2897">
        <f t="shared" si="54"/>
        <v>0</v>
      </c>
      <c r="BN71" s="2897">
        <f t="shared" si="55"/>
        <v>0</v>
      </c>
      <c r="BO71" s="2897">
        <f t="shared" si="56"/>
        <v>0</v>
      </c>
      <c r="BP71" s="2897">
        <f t="shared" si="57"/>
        <v>0</v>
      </c>
      <c r="BQ71" s="2897">
        <f t="shared" si="58"/>
        <v>0</v>
      </c>
      <c r="BR71" s="2897">
        <f t="shared" si="59"/>
        <v>0</v>
      </c>
      <c r="BS71" s="2897">
        <f t="shared" si="60"/>
        <v>0</v>
      </c>
      <c r="BT71" s="2971">
        <f t="shared" si="61"/>
        <v>0</v>
      </c>
    </row>
    <row r="72" spans="1:72">
      <c r="A72" s="2894"/>
      <c r="B72" s="2895"/>
      <c r="C72" s="2895"/>
      <c r="D72" s="2907"/>
      <c r="E72" s="2897">
        <f t="shared" si="33"/>
        <v>0</v>
      </c>
      <c r="F72" s="2898"/>
      <c r="G72" s="2899">
        <f t="shared" si="34"/>
        <v>0</v>
      </c>
      <c r="H72" s="2900">
        <f t="shared" si="35"/>
        <v>0</v>
      </c>
      <c r="I72" s="2918"/>
      <c r="J72" s="2918"/>
      <c r="K72" s="2918"/>
      <c r="L72" s="2918"/>
      <c r="M72" s="2918"/>
      <c r="N72" s="2918"/>
      <c r="O72" s="2918"/>
      <c r="P72" s="2918"/>
      <c r="Q72" s="2918"/>
      <c r="R72" s="2918"/>
      <c r="S72" s="2918"/>
      <c r="T72" s="2918"/>
      <c r="U72" s="2918"/>
      <c r="V72" s="2918"/>
      <c r="W72" s="2918"/>
      <c r="X72" s="2918"/>
      <c r="Y72" s="2918"/>
      <c r="Z72" s="2918"/>
      <c r="AA72" s="2918"/>
      <c r="AB72" s="2918"/>
      <c r="AC72" s="2897">
        <f t="shared" si="36"/>
        <v>0</v>
      </c>
      <c r="AD72" s="2929"/>
      <c r="AE72" s="2929"/>
      <c r="AF72" s="2929"/>
      <c r="AG72" s="2929"/>
      <c r="AH72" s="2929"/>
      <c r="AI72" s="2929"/>
      <c r="AJ72" s="2929"/>
      <c r="AK72" s="2929"/>
      <c r="AL72" s="2929"/>
      <c r="AM72" s="2929"/>
      <c r="AN72" s="2929"/>
      <c r="AO72" s="2929"/>
      <c r="AP72" s="2929"/>
      <c r="AQ72" s="2929"/>
      <c r="AR72" s="2929"/>
      <c r="AS72" s="2929"/>
      <c r="AT72" s="2949"/>
      <c r="AU72" s="2950"/>
      <c r="AV72" s="454">
        <f t="shared" si="37"/>
        <v>0</v>
      </c>
      <c r="AW72" s="454">
        <f t="shared" si="38"/>
        <v>0</v>
      </c>
      <c r="AX72" s="454">
        <f t="shared" si="39"/>
        <v>0</v>
      </c>
      <c r="AY72" s="2966">
        <f t="shared" si="40"/>
        <v>0</v>
      </c>
      <c r="AZ72" s="2897">
        <f t="shared" si="41"/>
        <v>0</v>
      </c>
      <c r="BA72" s="2897">
        <f t="shared" si="42"/>
        <v>0</v>
      </c>
      <c r="BB72" s="2897">
        <f t="shared" si="43"/>
        <v>0</v>
      </c>
      <c r="BC72" s="2897">
        <f t="shared" si="44"/>
        <v>0</v>
      </c>
      <c r="BD72" s="2897">
        <f t="shared" si="45"/>
        <v>0</v>
      </c>
      <c r="BE72" s="2897">
        <f t="shared" si="46"/>
        <v>0</v>
      </c>
      <c r="BF72" s="2897">
        <f t="shared" si="47"/>
        <v>0</v>
      </c>
      <c r="BG72" s="2897">
        <f t="shared" si="48"/>
        <v>0</v>
      </c>
      <c r="BH72" s="2897">
        <f t="shared" si="49"/>
        <v>0</v>
      </c>
      <c r="BI72" s="2897">
        <f t="shared" si="50"/>
        <v>0</v>
      </c>
      <c r="BJ72" s="2897">
        <f t="shared" si="51"/>
        <v>0</v>
      </c>
      <c r="BK72" s="2897">
        <f t="shared" si="52"/>
        <v>0</v>
      </c>
      <c r="BL72" s="2897">
        <f t="shared" si="53"/>
        <v>0</v>
      </c>
      <c r="BM72" s="2897">
        <f t="shared" si="54"/>
        <v>0</v>
      </c>
      <c r="BN72" s="2897">
        <f t="shared" si="55"/>
        <v>0</v>
      </c>
      <c r="BO72" s="2897">
        <f t="shared" si="56"/>
        <v>0</v>
      </c>
      <c r="BP72" s="2897">
        <f t="shared" si="57"/>
        <v>0</v>
      </c>
      <c r="BQ72" s="2897">
        <f t="shared" si="58"/>
        <v>0</v>
      </c>
      <c r="BR72" s="2897">
        <f t="shared" si="59"/>
        <v>0</v>
      </c>
      <c r="BS72" s="2897">
        <f t="shared" si="60"/>
        <v>0</v>
      </c>
      <c r="BT72" s="2971">
        <f t="shared" si="61"/>
        <v>0</v>
      </c>
    </row>
    <row r="73" spans="1:72">
      <c r="A73" s="2894"/>
      <c r="B73" s="2895"/>
      <c r="C73" s="2895"/>
      <c r="D73" s="2907"/>
      <c r="E73" s="2897">
        <f t="shared" si="33"/>
        <v>0</v>
      </c>
      <c r="F73" s="2898"/>
      <c r="G73" s="2899">
        <f t="shared" si="34"/>
        <v>0</v>
      </c>
      <c r="H73" s="2900">
        <f t="shared" si="35"/>
        <v>0</v>
      </c>
      <c r="I73" s="2918"/>
      <c r="J73" s="2918"/>
      <c r="K73" s="2918"/>
      <c r="L73" s="2918"/>
      <c r="M73" s="2918"/>
      <c r="N73" s="2918"/>
      <c r="O73" s="2918"/>
      <c r="P73" s="2918"/>
      <c r="Q73" s="2918"/>
      <c r="R73" s="2918"/>
      <c r="S73" s="2918"/>
      <c r="T73" s="2918"/>
      <c r="U73" s="2918"/>
      <c r="V73" s="2918"/>
      <c r="W73" s="2918"/>
      <c r="X73" s="2918"/>
      <c r="Y73" s="2918"/>
      <c r="Z73" s="2918"/>
      <c r="AA73" s="2918"/>
      <c r="AB73" s="2918"/>
      <c r="AC73" s="2897">
        <f t="shared" si="36"/>
        <v>0</v>
      </c>
      <c r="AD73" s="2929"/>
      <c r="AE73" s="2929"/>
      <c r="AF73" s="2929"/>
      <c r="AG73" s="2929"/>
      <c r="AH73" s="2929"/>
      <c r="AI73" s="2929"/>
      <c r="AJ73" s="2929"/>
      <c r="AK73" s="2929"/>
      <c r="AL73" s="2929"/>
      <c r="AM73" s="2929"/>
      <c r="AN73" s="2929"/>
      <c r="AO73" s="2929"/>
      <c r="AP73" s="2929"/>
      <c r="AQ73" s="2929"/>
      <c r="AR73" s="2929"/>
      <c r="AS73" s="2929"/>
      <c r="AT73" s="2949"/>
      <c r="AU73" s="2950"/>
      <c r="AV73" s="454">
        <f t="shared" si="37"/>
        <v>0</v>
      </c>
      <c r="AW73" s="454">
        <f t="shared" si="38"/>
        <v>0</v>
      </c>
      <c r="AX73" s="454">
        <f t="shared" si="39"/>
        <v>0</v>
      </c>
      <c r="AY73" s="2966">
        <f t="shared" si="40"/>
        <v>0</v>
      </c>
      <c r="AZ73" s="2897">
        <f t="shared" si="41"/>
        <v>0</v>
      </c>
      <c r="BA73" s="2897">
        <f t="shared" si="42"/>
        <v>0</v>
      </c>
      <c r="BB73" s="2897">
        <f t="shared" si="43"/>
        <v>0</v>
      </c>
      <c r="BC73" s="2897">
        <f t="shared" si="44"/>
        <v>0</v>
      </c>
      <c r="BD73" s="2897">
        <f t="shared" si="45"/>
        <v>0</v>
      </c>
      <c r="BE73" s="2897">
        <f t="shared" si="46"/>
        <v>0</v>
      </c>
      <c r="BF73" s="2897">
        <f t="shared" si="47"/>
        <v>0</v>
      </c>
      <c r="BG73" s="2897">
        <f t="shared" si="48"/>
        <v>0</v>
      </c>
      <c r="BH73" s="2897">
        <f t="shared" si="49"/>
        <v>0</v>
      </c>
      <c r="BI73" s="2897">
        <f t="shared" si="50"/>
        <v>0</v>
      </c>
      <c r="BJ73" s="2897">
        <f t="shared" si="51"/>
        <v>0</v>
      </c>
      <c r="BK73" s="2897">
        <f t="shared" si="52"/>
        <v>0</v>
      </c>
      <c r="BL73" s="2897">
        <f t="shared" si="53"/>
        <v>0</v>
      </c>
      <c r="BM73" s="2897">
        <f t="shared" si="54"/>
        <v>0</v>
      </c>
      <c r="BN73" s="2897">
        <f t="shared" si="55"/>
        <v>0</v>
      </c>
      <c r="BO73" s="2897">
        <f t="shared" si="56"/>
        <v>0</v>
      </c>
      <c r="BP73" s="2897">
        <f t="shared" si="57"/>
        <v>0</v>
      </c>
      <c r="BQ73" s="2897">
        <f t="shared" si="58"/>
        <v>0</v>
      </c>
      <c r="BR73" s="2897">
        <f t="shared" si="59"/>
        <v>0</v>
      </c>
      <c r="BS73" s="2897">
        <f t="shared" si="60"/>
        <v>0</v>
      </c>
      <c r="BT73" s="2971">
        <f t="shared" si="61"/>
        <v>0</v>
      </c>
    </row>
    <row r="74" spans="1:72">
      <c r="A74" s="2894"/>
      <c r="B74" s="2895"/>
      <c r="C74" s="2895"/>
      <c r="D74" s="2907"/>
      <c r="E74" s="2897">
        <f t="shared" si="33"/>
        <v>0</v>
      </c>
      <c r="F74" s="2898"/>
      <c r="G74" s="2899">
        <f t="shared" si="34"/>
        <v>0</v>
      </c>
      <c r="H74" s="2900">
        <f t="shared" si="35"/>
        <v>0</v>
      </c>
      <c r="I74" s="2918"/>
      <c r="J74" s="2918"/>
      <c r="K74" s="2918"/>
      <c r="L74" s="2918"/>
      <c r="M74" s="2918"/>
      <c r="N74" s="2918"/>
      <c r="O74" s="2918"/>
      <c r="P74" s="2918"/>
      <c r="Q74" s="2918"/>
      <c r="R74" s="2918"/>
      <c r="S74" s="2918"/>
      <c r="T74" s="2918"/>
      <c r="U74" s="2918"/>
      <c r="V74" s="2918"/>
      <c r="W74" s="2918"/>
      <c r="X74" s="2918"/>
      <c r="Y74" s="2918"/>
      <c r="Z74" s="2918"/>
      <c r="AA74" s="2918"/>
      <c r="AB74" s="2918"/>
      <c r="AC74" s="2897">
        <f t="shared" si="36"/>
        <v>0</v>
      </c>
      <c r="AD74" s="2929"/>
      <c r="AE74" s="2929"/>
      <c r="AF74" s="2929"/>
      <c r="AG74" s="2929"/>
      <c r="AH74" s="2929"/>
      <c r="AI74" s="2929"/>
      <c r="AJ74" s="2929"/>
      <c r="AK74" s="2929"/>
      <c r="AL74" s="2929"/>
      <c r="AM74" s="2929"/>
      <c r="AN74" s="2929"/>
      <c r="AO74" s="2929"/>
      <c r="AP74" s="2929"/>
      <c r="AQ74" s="2929"/>
      <c r="AR74" s="2929"/>
      <c r="AS74" s="2929"/>
      <c r="AT74" s="2949"/>
      <c r="AU74" s="2950"/>
      <c r="AV74" s="454">
        <f t="shared" si="37"/>
        <v>0</v>
      </c>
      <c r="AW74" s="454">
        <f t="shared" si="38"/>
        <v>0</v>
      </c>
      <c r="AX74" s="454">
        <f t="shared" si="39"/>
        <v>0</v>
      </c>
      <c r="AY74" s="2966">
        <f t="shared" si="40"/>
        <v>0</v>
      </c>
      <c r="AZ74" s="2897">
        <f t="shared" si="41"/>
        <v>0</v>
      </c>
      <c r="BA74" s="2897">
        <f t="shared" si="42"/>
        <v>0</v>
      </c>
      <c r="BB74" s="2897">
        <f t="shared" si="43"/>
        <v>0</v>
      </c>
      <c r="BC74" s="2897">
        <f t="shared" si="44"/>
        <v>0</v>
      </c>
      <c r="BD74" s="2897">
        <f t="shared" si="45"/>
        <v>0</v>
      </c>
      <c r="BE74" s="2897">
        <f t="shared" si="46"/>
        <v>0</v>
      </c>
      <c r="BF74" s="2897">
        <f t="shared" si="47"/>
        <v>0</v>
      </c>
      <c r="BG74" s="2897">
        <f t="shared" si="48"/>
        <v>0</v>
      </c>
      <c r="BH74" s="2897">
        <f t="shared" si="49"/>
        <v>0</v>
      </c>
      <c r="BI74" s="2897">
        <f t="shared" si="50"/>
        <v>0</v>
      </c>
      <c r="BJ74" s="2897">
        <f t="shared" si="51"/>
        <v>0</v>
      </c>
      <c r="BK74" s="2897">
        <f t="shared" si="52"/>
        <v>0</v>
      </c>
      <c r="BL74" s="2897">
        <f t="shared" si="53"/>
        <v>0</v>
      </c>
      <c r="BM74" s="2897">
        <f t="shared" si="54"/>
        <v>0</v>
      </c>
      <c r="BN74" s="2897">
        <f t="shared" si="55"/>
        <v>0</v>
      </c>
      <c r="BO74" s="2897">
        <f t="shared" si="56"/>
        <v>0</v>
      </c>
      <c r="BP74" s="2897">
        <f t="shared" si="57"/>
        <v>0</v>
      </c>
      <c r="BQ74" s="2897">
        <f t="shared" si="58"/>
        <v>0</v>
      </c>
      <c r="BR74" s="2897">
        <f t="shared" si="59"/>
        <v>0</v>
      </c>
      <c r="BS74" s="2897">
        <f t="shared" si="60"/>
        <v>0</v>
      </c>
      <c r="BT74" s="2971">
        <f t="shared" si="61"/>
        <v>0</v>
      </c>
    </row>
    <row r="75" spans="1:72">
      <c r="A75" s="2894"/>
      <c r="B75" s="2895"/>
      <c r="C75" s="2895"/>
      <c r="D75" s="2907"/>
      <c r="E75" s="2897">
        <f t="shared" si="33"/>
        <v>0</v>
      </c>
      <c r="F75" s="2898"/>
      <c r="G75" s="2899">
        <f t="shared" si="34"/>
        <v>0</v>
      </c>
      <c r="H75" s="2900">
        <f t="shared" si="35"/>
        <v>0</v>
      </c>
      <c r="I75" s="2918"/>
      <c r="J75" s="2918"/>
      <c r="K75" s="2918"/>
      <c r="L75" s="2918"/>
      <c r="M75" s="2918"/>
      <c r="N75" s="2918"/>
      <c r="O75" s="2918"/>
      <c r="P75" s="2918"/>
      <c r="Q75" s="2918"/>
      <c r="R75" s="2918"/>
      <c r="S75" s="2918"/>
      <c r="T75" s="2918"/>
      <c r="U75" s="2918"/>
      <c r="V75" s="2918"/>
      <c r="W75" s="2918"/>
      <c r="X75" s="2918"/>
      <c r="Y75" s="2918"/>
      <c r="Z75" s="2918"/>
      <c r="AA75" s="2918"/>
      <c r="AB75" s="2918"/>
      <c r="AC75" s="2897">
        <f t="shared" si="36"/>
        <v>0</v>
      </c>
      <c r="AD75" s="2929"/>
      <c r="AE75" s="2929"/>
      <c r="AF75" s="2929"/>
      <c r="AG75" s="2929"/>
      <c r="AH75" s="2929"/>
      <c r="AI75" s="2929"/>
      <c r="AJ75" s="2929"/>
      <c r="AK75" s="2929"/>
      <c r="AL75" s="2929"/>
      <c r="AM75" s="2929"/>
      <c r="AN75" s="2929"/>
      <c r="AO75" s="2929"/>
      <c r="AP75" s="2929"/>
      <c r="AQ75" s="2929"/>
      <c r="AR75" s="2929"/>
      <c r="AS75" s="2929"/>
      <c r="AT75" s="2949"/>
      <c r="AU75" s="2950"/>
      <c r="AV75" s="454">
        <f t="shared" si="37"/>
        <v>0</v>
      </c>
      <c r="AW75" s="454">
        <f t="shared" si="38"/>
        <v>0</v>
      </c>
      <c r="AX75" s="454">
        <f t="shared" si="39"/>
        <v>0</v>
      </c>
      <c r="AY75" s="2966">
        <f t="shared" si="40"/>
        <v>0</v>
      </c>
      <c r="AZ75" s="2897">
        <f t="shared" si="41"/>
        <v>0</v>
      </c>
      <c r="BA75" s="2897">
        <f t="shared" si="42"/>
        <v>0</v>
      </c>
      <c r="BB75" s="2897">
        <f t="shared" si="43"/>
        <v>0</v>
      </c>
      <c r="BC75" s="2897">
        <f t="shared" si="44"/>
        <v>0</v>
      </c>
      <c r="BD75" s="2897">
        <f t="shared" si="45"/>
        <v>0</v>
      </c>
      <c r="BE75" s="2897">
        <f t="shared" si="46"/>
        <v>0</v>
      </c>
      <c r="BF75" s="2897">
        <f t="shared" si="47"/>
        <v>0</v>
      </c>
      <c r="BG75" s="2897">
        <f t="shared" si="48"/>
        <v>0</v>
      </c>
      <c r="BH75" s="2897">
        <f t="shared" si="49"/>
        <v>0</v>
      </c>
      <c r="BI75" s="2897">
        <f t="shared" si="50"/>
        <v>0</v>
      </c>
      <c r="BJ75" s="2897">
        <f t="shared" si="51"/>
        <v>0</v>
      </c>
      <c r="BK75" s="2897">
        <f t="shared" si="52"/>
        <v>0</v>
      </c>
      <c r="BL75" s="2897">
        <f t="shared" si="53"/>
        <v>0</v>
      </c>
      <c r="BM75" s="2897">
        <f t="shared" si="54"/>
        <v>0</v>
      </c>
      <c r="BN75" s="2897">
        <f t="shared" si="55"/>
        <v>0</v>
      </c>
      <c r="BO75" s="2897">
        <f t="shared" si="56"/>
        <v>0</v>
      </c>
      <c r="BP75" s="2897">
        <f t="shared" si="57"/>
        <v>0</v>
      </c>
      <c r="BQ75" s="2897">
        <f t="shared" si="58"/>
        <v>0</v>
      </c>
      <c r="BR75" s="2897">
        <f t="shared" si="59"/>
        <v>0</v>
      </c>
      <c r="BS75" s="2897">
        <f t="shared" si="60"/>
        <v>0</v>
      </c>
      <c r="BT75" s="2971">
        <f t="shared" si="61"/>
        <v>0</v>
      </c>
    </row>
    <row r="76" spans="1:72">
      <c r="A76" s="2894"/>
      <c r="B76" s="2895"/>
      <c r="C76" s="2895"/>
      <c r="D76" s="2907"/>
      <c r="E76" s="2897">
        <f t="shared" si="33"/>
        <v>0</v>
      </c>
      <c r="F76" s="2898"/>
      <c r="G76" s="2899">
        <f t="shared" si="34"/>
        <v>0</v>
      </c>
      <c r="H76" s="2900">
        <f t="shared" si="35"/>
        <v>0</v>
      </c>
      <c r="I76" s="2918"/>
      <c r="J76" s="2918"/>
      <c r="K76" s="2918"/>
      <c r="L76" s="2918"/>
      <c r="M76" s="2918"/>
      <c r="N76" s="2918"/>
      <c r="O76" s="2918"/>
      <c r="P76" s="2918"/>
      <c r="Q76" s="2918"/>
      <c r="R76" s="2918"/>
      <c r="S76" s="2918"/>
      <c r="T76" s="2918"/>
      <c r="U76" s="2918"/>
      <c r="V76" s="2918"/>
      <c r="W76" s="2918"/>
      <c r="X76" s="2918"/>
      <c r="Y76" s="2918"/>
      <c r="Z76" s="2918"/>
      <c r="AA76" s="2918"/>
      <c r="AB76" s="2918"/>
      <c r="AC76" s="2897">
        <f t="shared" si="36"/>
        <v>0</v>
      </c>
      <c r="AD76" s="2929"/>
      <c r="AE76" s="2929"/>
      <c r="AF76" s="2929"/>
      <c r="AG76" s="2929"/>
      <c r="AH76" s="2929"/>
      <c r="AI76" s="2929"/>
      <c r="AJ76" s="2929"/>
      <c r="AK76" s="2929"/>
      <c r="AL76" s="2929"/>
      <c r="AM76" s="2929"/>
      <c r="AN76" s="2929"/>
      <c r="AO76" s="2929"/>
      <c r="AP76" s="2929"/>
      <c r="AQ76" s="2929"/>
      <c r="AR76" s="2929"/>
      <c r="AS76" s="2929"/>
      <c r="AT76" s="2949"/>
      <c r="AU76" s="2950"/>
      <c r="AV76" s="454">
        <f t="shared" si="37"/>
        <v>0</v>
      </c>
      <c r="AW76" s="454">
        <f t="shared" si="38"/>
        <v>0</v>
      </c>
      <c r="AX76" s="454">
        <f t="shared" si="39"/>
        <v>0</v>
      </c>
      <c r="AY76" s="2966">
        <f t="shared" si="40"/>
        <v>0</v>
      </c>
      <c r="AZ76" s="2897">
        <f t="shared" si="41"/>
        <v>0</v>
      </c>
      <c r="BA76" s="2897">
        <f t="shared" si="42"/>
        <v>0</v>
      </c>
      <c r="BB76" s="2897">
        <f t="shared" si="43"/>
        <v>0</v>
      </c>
      <c r="BC76" s="2897">
        <f t="shared" si="44"/>
        <v>0</v>
      </c>
      <c r="BD76" s="2897">
        <f t="shared" si="45"/>
        <v>0</v>
      </c>
      <c r="BE76" s="2897">
        <f t="shared" si="46"/>
        <v>0</v>
      </c>
      <c r="BF76" s="2897">
        <f t="shared" si="47"/>
        <v>0</v>
      </c>
      <c r="BG76" s="2897">
        <f t="shared" si="48"/>
        <v>0</v>
      </c>
      <c r="BH76" s="2897">
        <f t="shared" si="49"/>
        <v>0</v>
      </c>
      <c r="BI76" s="2897">
        <f t="shared" si="50"/>
        <v>0</v>
      </c>
      <c r="BJ76" s="2897">
        <f t="shared" si="51"/>
        <v>0</v>
      </c>
      <c r="BK76" s="2897">
        <f t="shared" si="52"/>
        <v>0</v>
      </c>
      <c r="BL76" s="2897">
        <f t="shared" si="53"/>
        <v>0</v>
      </c>
      <c r="BM76" s="2897">
        <f t="shared" si="54"/>
        <v>0</v>
      </c>
      <c r="BN76" s="2897">
        <f t="shared" si="55"/>
        <v>0</v>
      </c>
      <c r="BO76" s="2897">
        <f t="shared" si="56"/>
        <v>0</v>
      </c>
      <c r="BP76" s="2897">
        <f t="shared" si="57"/>
        <v>0</v>
      </c>
      <c r="BQ76" s="2897">
        <f t="shared" si="58"/>
        <v>0</v>
      </c>
      <c r="BR76" s="2897">
        <f t="shared" si="59"/>
        <v>0</v>
      </c>
      <c r="BS76" s="2897">
        <f t="shared" si="60"/>
        <v>0</v>
      </c>
      <c r="BT76" s="2971">
        <f t="shared" si="61"/>
        <v>0</v>
      </c>
    </row>
    <row r="77" spans="1:72">
      <c r="A77" s="2894"/>
      <c r="B77" s="2895"/>
      <c r="C77" s="2895"/>
      <c r="D77" s="2907"/>
      <c r="E77" s="2897">
        <f t="shared" si="33"/>
        <v>0</v>
      </c>
      <c r="F77" s="2898"/>
      <c r="G77" s="2899">
        <f t="shared" si="34"/>
        <v>0</v>
      </c>
      <c r="H77" s="2900">
        <f t="shared" si="35"/>
        <v>0</v>
      </c>
      <c r="I77" s="2918"/>
      <c r="J77" s="2918"/>
      <c r="K77" s="2918"/>
      <c r="L77" s="2918"/>
      <c r="M77" s="2918"/>
      <c r="N77" s="2918"/>
      <c r="O77" s="2918"/>
      <c r="P77" s="2918"/>
      <c r="Q77" s="2918"/>
      <c r="R77" s="2918"/>
      <c r="S77" s="2918"/>
      <c r="T77" s="2918"/>
      <c r="U77" s="2918"/>
      <c r="V77" s="2918"/>
      <c r="W77" s="2918"/>
      <c r="X77" s="2918"/>
      <c r="Y77" s="2918"/>
      <c r="Z77" s="2918"/>
      <c r="AA77" s="2918"/>
      <c r="AB77" s="2918"/>
      <c r="AC77" s="2897">
        <f t="shared" si="36"/>
        <v>0</v>
      </c>
      <c r="AD77" s="2929"/>
      <c r="AE77" s="2929"/>
      <c r="AF77" s="2929"/>
      <c r="AG77" s="2929"/>
      <c r="AH77" s="2929"/>
      <c r="AI77" s="2929"/>
      <c r="AJ77" s="2929"/>
      <c r="AK77" s="2929"/>
      <c r="AL77" s="2929"/>
      <c r="AM77" s="2929"/>
      <c r="AN77" s="2929"/>
      <c r="AO77" s="2929"/>
      <c r="AP77" s="2929"/>
      <c r="AQ77" s="2929"/>
      <c r="AR77" s="2929"/>
      <c r="AS77" s="2929"/>
      <c r="AT77" s="2949"/>
      <c r="AU77" s="2950"/>
      <c r="AV77" s="454">
        <f t="shared" si="37"/>
        <v>0</v>
      </c>
      <c r="AW77" s="454">
        <f t="shared" si="38"/>
        <v>0</v>
      </c>
      <c r="AX77" s="454">
        <f t="shared" si="39"/>
        <v>0</v>
      </c>
      <c r="AY77" s="2966">
        <f t="shared" si="40"/>
        <v>0</v>
      </c>
      <c r="AZ77" s="2897">
        <f t="shared" si="41"/>
        <v>0</v>
      </c>
      <c r="BA77" s="2897">
        <f t="shared" si="42"/>
        <v>0</v>
      </c>
      <c r="BB77" s="2897">
        <f t="shared" si="43"/>
        <v>0</v>
      </c>
      <c r="BC77" s="2897">
        <f t="shared" si="44"/>
        <v>0</v>
      </c>
      <c r="BD77" s="2897">
        <f t="shared" si="45"/>
        <v>0</v>
      </c>
      <c r="BE77" s="2897">
        <f t="shared" si="46"/>
        <v>0</v>
      </c>
      <c r="BF77" s="2897">
        <f t="shared" si="47"/>
        <v>0</v>
      </c>
      <c r="BG77" s="2897">
        <f t="shared" si="48"/>
        <v>0</v>
      </c>
      <c r="BH77" s="2897">
        <f t="shared" si="49"/>
        <v>0</v>
      </c>
      <c r="BI77" s="2897">
        <f t="shared" si="50"/>
        <v>0</v>
      </c>
      <c r="BJ77" s="2897">
        <f t="shared" si="51"/>
        <v>0</v>
      </c>
      <c r="BK77" s="2897">
        <f t="shared" si="52"/>
        <v>0</v>
      </c>
      <c r="BL77" s="2897">
        <f t="shared" si="53"/>
        <v>0</v>
      </c>
      <c r="BM77" s="2897">
        <f t="shared" si="54"/>
        <v>0</v>
      </c>
      <c r="BN77" s="2897">
        <f t="shared" si="55"/>
        <v>0</v>
      </c>
      <c r="BO77" s="2897">
        <f t="shared" si="56"/>
        <v>0</v>
      </c>
      <c r="BP77" s="2897">
        <f t="shared" si="57"/>
        <v>0</v>
      </c>
      <c r="BQ77" s="2897">
        <f t="shared" si="58"/>
        <v>0</v>
      </c>
      <c r="BR77" s="2897">
        <f t="shared" si="59"/>
        <v>0</v>
      </c>
      <c r="BS77" s="2897">
        <f t="shared" si="60"/>
        <v>0</v>
      </c>
      <c r="BT77" s="2971">
        <f t="shared" si="61"/>
        <v>0</v>
      </c>
    </row>
    <row r="78" spans="1:72">
      <c r="A78" s="2894"/>
      <c r="B78" s="2895"/>
      <c r="C78" s="2895"/>
      <c r="D78" s="2907"/>
      <c r="E78" s="2897">
        <f t="shared" si="33"/>
        <v>0</v>
      </c>
      <c r="F78" s="2898"/>
      <c r="G78" s="2899">
        <f t="shared" si="34"/>
        <v>0</v>
      </c>
      <c r="H78" s="2900">
        <f t="shared" si="35"/>
        <v>0</v>
      </c>
      <c r="I78" s="2918"/>
      <c r="J78" s="2918"/>
      <c r="K78" s="2918"/>
      <c r="L78" s="2918"/>
      <c r="M78" s="2918"/>
      <c r="N78" s="2918"/>
      <c r="O78" s="2918"/>
      <c r="P78" s="2918"/>
      <c r="Q78" s="2918"/>
      <c r="R78" s="2918"/>
      <c r="S78" s="2918"/>
      <c r="T78" s="2918"/>
      <c r="U78" s="2918"/>
      <c r="V78" s="2918"/>
      <c r="W78" s="2918"/>
      <c r="X78" s="2918"/>
      <c r="Y78" s="2918"/>
      <c r="Z78" s="2918"/>
      <c r="AA78" s="2918"/>
      <c r="AB78" s="2918"/>
      <c r="AC78" s="2897">
        <f t="shared" si="36"/>
        <v>0</v>
      </c>
      <c r="AD78" s="2929"/>
      <c r="AE78" s="2929"/>
      <c r="AF78" s="2929"/>
      <c r="AG78" s="2929"/>
      <c r="AH78" s="2929"/>
      <c r="AI78" s="2929"/>
      <c r="AJ78" s="2929"/>
      <c r="AK78" s="2929"/>
      <c r="AL78" s="2929"/>
      <c r="AM78" s="2929"/>
      <c r="AN78" s="2929"/>
      <c r="AO78" s="2929"/>
      <c r="AP78" s="2929"/>
      <c r="AQ78" s="2929"/>
      <c r="AR78" s="2929"/>
      <c r="AS78" s="2929"/>
      <c r="AT78" s="2949"/>
      <c r="AU78" s="2950"/>
      <c r="AV78" s="454">
        <f t="shared" si="37"/>
        <v>0</v>
      </c>
      <c r="AW78" s="454">
        <f t="shared" si="38"/>
        <v>0</v>
      </c>
      <c r="AX78" s="454">
        <f t="shared" si="39"/>
        <v>0</v>
      </c>
      <c r="AY78" s="2966">
        <f t="shared" si="40"/>
        <v>0</v>
      </c>
      <c r="AZ78" s="2897">
        <f t="shared" si="41"/>
        <v>0</v>
      </c>
      <c r="BA78" s="2897">
        <f t="shared" si="42"/>
        <v>0</v>
      </c>
      <c r="BB78" s="2897">
        <f t="shared" si="43"/>
        <v>0</v>
      </c>
      <c r="BC78" s="2897">
        <f t="shared" si="44"/>
        <v>0</v>
      </c>
      <c r="BD78" s="2897">
        <f t="shared" si="45"/>
        <v>0</v>
      </c>
      <c r="BE78" s="2897">
        <f t="shared" si="46"/>
        <v>0</v>
      </c>
      <c r="BF78" s="2897">
        <f t="shared" si="47"/>
        <v>0</v>
      </c>
      <c r="BG78" s="2897">
        <f t="shared" si="48"/>
        <v>0</v>
      </c>
      <c r="BH78" s="2897">
        <f t="shared" si="49"/>
        <v>0</v>
      </c>
      <c r="BI78" s="2897">
        <f t="shared" si="50"/>
        <v>0</v>
      </c>
      <c r="BJ78" s="2897">
        <f t="shared" si="51"/>
        <v>0</v>
      </c>
      <c r="BK78" s="2897">
        <f t="shared" si="52"/>
        <v>0</v>
      </c>
      <c r="BL78" s="2897">
        <f t="shared" si="53"/>
        <v>0</v>
      </c>
      <c r="BM78" s="2897">
        <f t="shared" si="54"/>
        <v>0</v>
      </c>
      <c r="BN78" s="2897">
        <f t="shared" si="55"/>
        <v>0</v>
      </c>
      <c r="BO78" s="2897">
        <f t="shared" si="56"/>
        <v>0</v>
      </c>
      <c r="BP78" s="2897">
        <f t="shared" si="57"/>
        <v>0</v>
      </c>
      <c r="BQ78" s="2897">
        <f t="shared" si="58"/>
        <v>0</v>
      </c>
      <c r="BR78" s="2897">
        <f t="shared" si="59"/>
        <v>0</v>
      </c>
      <c r="BS78" s="2897">
        <f t="shared" si="60"/>
        <v>0</v>
      </c>
      <c r="BT78" s="2971">
        <f t="shared" si="61"/>
        <v>0</v>
      </c>
    </row>
    <row r="79" spans="1:72">
      <c r="A79" s="2894"/>
      <c r="B79" s="2895"/>
      <c r="C79" s="2895"/>
      <c r="D79" s="2907"/>
      <c r="E79" s="2897">
        <f t="shared" si="33"/>
        <v>0</v>
      </c>
      <c r="F79" s="2898"/>
      <c r="G79" s="2899">
        <f t="shared" si="34"/>
        <v>0</v>
      </c>
      <c r="H79" s="2900">
        <f t="shared" si="35"/>
        <v>0</v>
      </c>
      <c r="I79" s="2918"/>
      <c r="J79" s="2918"/>
      <c r="K79" s="2918"/>
      <c r="L79" s="2918"/>
      <c r="M79" s="2918"/>
      <c r="N79" s="2918"/>
      <c r="O79" s="2918"/>
      <c r="P79" s="2918"/>
      <c r="Q79" s="2918"/>
      <c r="R79" s="2918"/>
      <c r="S79" s="2918"/>
      <c r="T79" s="2918"/>
      <c r="U79" s="2918"/>
      <c r="V79" s="2918"/>
      <c r="W79" s="2918"/>
      <c r="X79" s="2918"/>
      <c r="Y79" s="2918"/>
      <c r="Z79" s="2918"/>
      <c r="AA79" s="2918"/>
      <c r="AB79" s="2918"/>
      <c r="AC79" s="2897">
        <f t="shared" si="36"/>
        <v>0</v>
      </c>
      <c r="AD79" s="2929"/>
      <c r="AE79" s="2929"/>
      <c r="AF79" s="2929"/>
      <c r="AG79" s="2929"/>
      <c r="AH79" s="2929"/>
      <c r="AI79" s="2929"/>
      <c r="AJ79" s="2929"/>
      <c r="AK79" s="2929"/>
      <c r="AL79" s="2929"/>
      <c r="AM79" s="2929"/>
      <c r="AN79" s="2929"/>
      <c r="AO79" s="2929"/>
      <c r="AP79" s="2929"/>
      <c r="AQ79" s="2929"/>
      <c r="AR79" s="2929"/>
      <c r="AS79" s="2929"/>
      <c r="AT79" s="2949"/>
      <c r="AU79" s="2950"/>
      <c r="AV79" s="454">
        <f t="shared" si="37"/>
        <v>0</v>
      </c>
      <c r="AW79" s="454">
        <f t="shared" si="38"/>
        <v>0</v>
      </c>
      <c r="AX79" s="454">
        <f t="shared" si="39"/>
        <v>0</v>
      </c>
      <c r="AY79" s="2966">
        <f t="shared" si="40"/>
        <v>0</v>
      </c>
      <c r="AZ79" s="2897">
        <f t="shared" si="41"/>
        <v>0</v>
      </c>
      <c r="BA79" s="2897">
        <f t="shared" si="42"/>
        <v>0</v>
      </c>
      <c r="BB79" s="2897">
        <f t="shared" si="43"/>
        <v>0</v>
      </c>
      <c r="BC79" s="2897">
        <f t="shared" si="44"/>
        <v>0</v>
      </c>
      <c r="BD79" s="2897">
        <f t="shared" si="45"/>
        <v>0</v>
      </c>
      <c r="BE79" s="2897">
        <f t="shared" si="46"/>
        <v>0</v>
      </c>
      <c r="BF79" s="2897">
        <f t="shared" si="47"/>
        <v>0</v>
      </c>
      <c r="BG79" s="2897">
        <f t="shared" si="48"/>
        <v>0</v>
      </c>
      <c r="BH79" s="2897">
        <f t="shared" si="49"/>
        <v>0</v>
      </c>
      <c r="BI79" s="2897">
        <f t="shared" si="50"/>
        <v>0</v>
      </c>
      <c r="BJ79" s="2897">
        <f t="shared" si="51"/>
        <v>0</v>
      </c>
      <c r="BK79" s="2897">
        <f t="shared" si="52"/>
        <v>0</v>
      </c>
      <c r="BL79" s="2897">
        <f t="shared" si="53"/>
        <v>0</v>
      </c>
      <c r="BM79" s="2897">
        <f t="shared" si="54"/>
        <v>0</v>
      </c>
      <c r="BN79" s="2897">
        <f t="shared" si="55"/>
        <v>0</v>
      </c>
      <c r="BO79" s="2897">
        <f t="shared" si="56"/>
        <v>0</v>
      </c>
      <c r="BP79" s="2897">
        <f t="shared" si="57"/>
        <v>0</v>
      </c>
      <c r="BQ79" s="2897">
        <f t="shared" si="58"/>
        <v>0</v>
      </c>
      <c r="BR79" s="2897">
        <f t="shared" si="59"/>
        <v>0</v>
      </c>
      <c r="BS79" s="2897">
        <f t="shared" si="60"/>
        <v>0</v>
      </c>
      <c r="BT79" s="2971">
        <f t="shared" si="61"/>
        <v>0</v>
      </c>
    </row>
    <row r="80" spans="1:72">
      <c r="A80" s="2894"/>
      <c r="B80" s="2895"/>
      <c r="C80" s="2895"/>
      <c r="D80" s="2907"/>
      <c r="E80" s="2897">
        <f t="shared" si="33"/>
        <v>0</v>
      </c>
      <c r="F80" s="2898"/>
      <c r="G80" s="2899">
        <f t="shared" si="34"/>
        <v>0</v>
      </c>
      <c r="H80" s="2900">
        <f t="shared" si="35"/>
        <v>0</v>
      </c>
      <c r="I80" s="2918"/>
      <c r="J80" s="2918"/>
      <c r="K80" s="2918"/>
      <c r="L80" s="2918"/>
      <c r="M80" s="2918"/>
      <c r="N80" s="2918"/>
      <c r="O80" s="2918"/>
      <c r="P80" s="2918"/>
      <c r="Q80" s="2918"/>
      <c r="R80" s="2918"/>
      <c r="S80" s="2918"/>
      <c r="T80" s="2918"/>
      <c r="U80" s="2918"/>
      <c r="V80" s="2918"/>
      <c r="W80" s="2918"/>
      <c r="X80" s="2918"/>
      <c r="Y80" s="2918"/>
      <c r="Z80" s="2918"/>
      <c r="AA80" s="2918"/>
      <c r="AB80" s="2918"/>
      <c r="AC80" s="2897">
        <f t="shared" si="36"/>
        <v>0</v>
      </c>
      <c r="AD80" s="2929"/>
      <c r="AE80" s="2929"/>
      <c r="AF80" s="2929"/>
      <c r="AG80" s="2929"/>
      <c r="AH80" s="2929"/>
      <c r="AI80" s="2929"/>
      <c r="AJ80" s="2929"/>
      <c r="AK80" s="2929"/>
      <c r="AL80" s="2929"/>
      <c r="AM80" s="2929"/>
      <c r="AN80" s="2929"/>
      <c r="AO80" s="2929"/>
      <c r="AP80" s="2929"/>
      <c r="AQ80" s="2929"/>
      <c r="AR80" s="2929"/>
      <c r="AS80" s="2929"/>
      <c r="AT80" s="2949"/>
      <c r="AU80" s="2950"/>
      <c r="AV80" s="454">
        <f t="shared" si="37"/>
        <v>0</v>
      </c>
      <c r="AW80" s="454">
        <f t="shared" si="38"/>
        <v>0</v>
      </c>
      <c r="AX80" s="454">
        <f t="shared" si="39"/>
        <v>0</v>
      </c>
      <c r="AY80" s="2966">
        <f t="shared" si="40"/>
        <v>0</v>
      </c>
      <c r="AZ80" s="2897">
        <f t="shared" si="41"/>
        <v>0</v>
      </c>
      <c r="BA80" s="2897">
        <f t="shared" si="42"/>
        <v>0</v>
      </c>
      <c r="BB80" s="2897">
        <f t="shared" si="43"/>
        <v>0</v>
      </c>
      <c r="BC80" s="2897">
        <f t="shared" si="44"/>
        <v>0</v>
      </c>
      <c r="BD80" s="2897">
        <f t="shared" si="45"/>
        <v>0</v>
      </c>
      <c r="BE80" s="2897">
        <f t="shared" si="46"/>
        <v>0</v>
      </c>
      <c r="BF80" s="2897">
        <f t="shared" si="47"/>
        <v>0</v>
      </c>
      <c r="BG80" s="2897">
        <f t="shared" si="48"/>
        <v>0</v>
      </c>
      <c r="BH80" s="2897">
        <f t="shared" si="49"/>
        <v>0</v>
      </c>
      <c r="BI80" s="2897">
        <f t="shared" si="50"/>
        <v>0</v>
      </c>
      <c r="BJ80" s="2897">
        <f t="shared" si="51"/>
        <v>0</v>
      </c>
      <c r="BK80" s="2897">
        <f t="shared" si="52"/>
        <v>0</v>
      </c>
      <c r="BL80" s="2897">
        <f t="shared" si="53"/>
        <v>0</v>
      </c>
      <c r="BM80" s="2897">
        <f t="shared" si="54"/>
        <v>0</v>
      </c>
      <c r="BN80" s="2897">
        <f t="shared" si="55"/>
        <v>0</v>
      </c>
      <c r="BO80" s="2897">
        <f t="shared" si="56"/>
        <v>0</v>
      </c>
      <c r="BP80" s="2897">
        <f t="shared" si="57"/>
        <v>0</v>
      </c>
      <c r="BQ80" s="2897">
        <f t="shared" si="58"/>
        <v>0</v>
      </c>
      <c r="BR80" s="2897">
        <f t="shared" si="59"/>
        <v>0</v>
      </c>
      <c r="BS80" s="2897">
        <f t="shared" si="60"/>
        <v>0</v>
      </c>
      <c r="BT80" s="2971">
        <f t="shared" si="61"/>
        <v>0</v>
      </c>
    </row>
    <row r="81" spans="1:72">
      <c r="A81" s="2894"/>
      <c r="B81" s="2895"/>
      <c r="C81" s="2895"/>
      <c r="D81" s="2907"/>
      <c r="E81" s="2897">
        <f t="shared" si="33"/>
        <v>0</v>
      </c>
      <c r="F81" s="2898"/>
      <c r="G81" s="2899">
        <f t="shared" si="34"/>
        <v>0</v>
      </c>
      <c r="H81" s="2900">
        <f t="shared" si="35"/>
        <v>0</v>
      </c>
      <c r="I81" s="2918"/>
      <c r="J81" s="2918"/>
      <c r="K81" s="2918"/>
      <c r="L81" s="2918"/>
      <c r="M81" s="2918"/>
      <c r="N81" s="2918"/>
      <c r="O81" s="2918"/>
      <c r="P81" s="2918"/>
      <c r="Q81" s="2918"/>
      <c r="R81" s="2918"/>
      <c r="S81" s="2918"/>
      <c r="T81" s="2918"/>
      <c r="U81" s="2918"/>
      <c r="V81" s="2918"/>
      <c r="W81" s="2918"/>
      <c r="X81" s="2918"/>
      <c r="Y81" s="2918"/>
      <c r="Z81" s="2918"/>
      <c r="AA81" s="2918"/>
      <c r="AB81" s="2918"/>
      <c r="AC81" s="2897">
        <f t="shared" si="36"/>
        <v>0</v>
      </c>
      <c r="AD81" s="2929"/>
      <c r="AE81" s="2929"/>
      <c r="AF81" s="2929"/>
      <c r="AG81" s="2929"/>
      <c r="AH81" s="2929"/>
      <c r="AI81" s="2929"/>
      <c r="AJ81" s="2929"/>
      <c r="AK81" s="2929"/>
      <c r="AL81" s="2929"/>
      <c r="AM81" s="2929"/>
      <c r="AN81" s="2929"/>
      <c r="AO81" s="2929"/>
      <c r="AP81" s="2929"/>
      <c r="AQ81" s="2929"/>
      <c r="AR81" s="2929"/>
      <c r="AS81" s="2929"/>
      <c r="AT81" s="2949"/>
      <c r="AU81" s="2950"/>
      <c r="AV81" s="454">
        <f t="shared" si="37"/>
        <v>0</v>
      </c>
      <c r="AW81" s="454">
        <f t="shared" si="38"/>
        <v>0</v>
      </c>
      <c r="AX81" s="454">
        <f t="shared" si="39"/>
        <v>0</v>
      </c>
      <c r="AY81" s="2966">
        <f t="shared" si="40"/>
        <v>0</v>
      </c>
      <c r="AZ81" s="2897">
        <f t="shared" si="41"/>
        <v>0</v>
      </c>
      <c r="BA81" s="2897">
        <f t="shared" si="42"/>
        <v>0</v>
      </c>
      <c r="BB81" s="2897">
        <f t="shared" si="43"/>
        <v>0</v>
      </c>
      <c r="BC81" s="2897">
        <f t="shared" si="44"/>
        <v>0</v>
      </c>
      <c r="BD81" s="2897">
        <f t="shared" si="45"/>
        <v>0</v>
      </c>
      <c r="BE81" s="2897">
        <f t="shared" si="46"/>
        <v>0</v>
      </c>
      <c r="BF81" s="2897">
        <f t="shared" si="47"/>
        <v>0</v>
      </c>
      <c r="BG81" s="2897">
        <f t="shared" si="48"/>
        <v>0</v>
      </c>
      <c r="BH81" s="2897">
        <f t="shared" si="49"/>
        <v>0</v>
      </c>
      <c r="BI81" s="2897">
        <f t="shared" si="50"/>
        <v>0</v>
      </c>
      <c r="BJ81" s="2897">
        <f t="shared" si="51"/>
        <v>0</v>
      </c>
      <c r="BK81" s="2897">
        <f t="shared" si="52"/>
        <v>0</v>
      </c>
      <c r="BL81" s="2897">
        <f t="shared" si="53"/>
        <v>0</v>
      </c>
      <c r="BM81" s="2897">
        <f t="shared" si="54"/>
        <v>0</v>
      </c>
      <c r="BN81" s="2897">
        <f t="shared" si="55"/>
        <v>0</v>
      </c>
      <c r="BO81" s="2897">
        <f t="shared" si="56"/>
        <v>0</v>
      </c>
      <c r="BP81" s="2897">
        <f t="shared" si="57"/>
        <v>0</v>
      </c>
      <c r="BQ81" s="2897">
        <f t="shared" si="58"/>
        <v>0</v>
      </c>
      <c r="BR81" s="2897">
        <f t="shared" si="59"/>
        <v>0</v>
      </c>
      <c r="BS81" s="2897">
        <f t="shared" si="60"/>
        <v>0</v>
      </c>
      <c r="BT81" s="2971">
        <f t="shared" si="61"/>
        <v>0</v>
      </c>
    </row>
    <row r="82" spans="1:72">
      <c r="A82" s="2894"/>
      <c r="B82" s="2895"/>
      <c r="C82" s="2895"/>
      <c r="D82" s="2907"/>
      <c r="E82" s="2897">
        <f t="shared" si="33"/>
        <v>0</v>
      </c>
      <c r="F82" s="2898"/>
      <c r="G82" s="2899">
        <f t="shared" si="34"/>
        <v>0</v>
      </c>
      <c r="H82" s="2900">
        <f t="shared" si="35"/>
        <v>0</v>
      </c>
      <c r="I82" s="2918"/>
      <c r="J82" s="2918"/>
      <c r="K82" s="2918"/>
      <c r="L82" s="2918"/>
      <c r="M82" s="2918"/>
      <c r="N82" s="2918"/>
      <c r="O82" s="2918"/>
      <c r="P82" s="2918"/>
      <c r="Q82" s="2918"/>
      <c r="R82" s="2918"/>
      <c r="S82" s="2918"/>
      <c r="T82" s="2918"/>
      <c r="U82" s="2918"/>
      <c r="V82" s="2918"/>
      <c r="W82" s="2918"/>
      <c r="X82" s="2918"/>
      <c r="Y82" s="2918"/>
      <c r="Z82" s="2918"/>
      <c r="AA82" s="2918"/>
      <c r="AB82" s="2918"/>
      <c r="AC82" s="2897">
        <f t="shared" si="36"/>
        <v>0</v>
      </c>
      <c r="AD82" s="2929"/>
      <c r="AE82" s="2929"/>
      <c r="AF82" s="2929"/>
      <c r="AG82" s="2929"/>
      <c r="AH82" s="2929"/>
      <c r="AI82" s="2929"/>
      <c r="AJ82" s="2929"/>
      <c r="AK82" s="2929"/>
      <c r="AL82" s="2929"/>
      <c r="AM82" s="2929"/>
      <c r="AN82" s="2929"/>
      <c r="AO82" s="2929"/>
      <c r="AP82" s="2929"/>
      <c r="AQ82" s="2929"/>
      <c r="AR82" s="2929"/>
      <c r="AS82" s="2929"/>
      <c r="AT82" s="2949"/>
      <c r="AU82" s="2950"/>
      <c r="AV82" s="454">
        <f t="shared" si="37"/>
        <v>0</v>
      </c>
      <c r="AW82" s="454">
        <f t="shared" si="38"/>
        <v>0</v>
      </c>
      <c r="AX82" s="454">
        <f t="shared" si="39"/>
        <v>0</v>
      </c>
      <c r="AY82" s="2966">
        <f t="shared" si="40"/>
        <v>0</v>
      </c>
      <c r="AZ82" s="2897">
        <f t="shared" si="41"/>
        <v>0</v>
      </c>
      <c r="BA82" s="2897">
        <f t="shared" si="42"/>
        <v>0</v>
      </c>
      <c r="BB82" s="2897">
        <f t="shared" si="43"/>
        <v>0</v>
      </c>
      <c r="BC82" s="2897">
        <f t="shared" si="44"/>
        <v>0</v>
      </c>
      <c r="BD82" s="2897">
        <f t="shared" si="45"/>
        <v>0</v>
      </c>
      <c r="BE82" s="2897">
        <f t="shared" si="46"/>
        <v>0</v>
      </c>
      <c r="BF82" s="2897">
        <f t="shared" si="47"/>
        <v>0</v>
      </c>
      <c r="BG82" s="2897">
        <f t="shared" si="48"/>
        <v>0</v>
      </c>
      <c r="BH82" s="2897">
        <f t="shared" si="49"/>
        <v>0</v>
      </c>
      <c r="BI82" s="2897">
        <f t="shared" si="50"/>
        <v>0</v>
      </c>
      <c r="BJ82" s="2897">
        <f t="shared" si="51"/>
        <v>0</v>
      </c>
      <c r="BK82" s="2897">
        <f t="shared" si="52"/>
        <v>0</v>
      </c>
      <c r="BL82" s="2897">
        <f t="shared" si="53"/>
        <v>0</v>
      </c>
      <c r="BM82" s="2897">
        <f t="shared" si="54"/>
        <v>0</v>
      </c>
      <c r="BN82" s="2897">
        <f t="shared" si="55"/>
        <v>0</v>
      </c>
      <c r="BO82" s="2897">
        <f t="shared" si="56"/>
        <v>0</v>
      </c>
      <c r="BP82" s="2897">
        <f t="shared" si="57"/>
        <v>0</v>
      </c>
      <c r="BQ82" s="2897">
        <f t="shared" si="58"/>
        <v>0</v>
      </c>
      <c r="BR82" s="2897">
        <f t="shared" si="59"/>
        <v>0</v>
      </c>
      <c r="BS82" s="2897">
        <f t="shared" si="60"/>
        <v>0</v>
      </c>
      <c r="BT82" s="2971">
        <f t="shared" si="61"/>
        <v>0</v>
      </c>
    </row>
    <row r="83" spans="1:72">
      <c r="A83" s="2894"/>
      <c r="B83" s="2895"/>
      <c r="C83" s="2895"/>
      <c r="D83" s="2907"/>
      <c r="E83" s="2897">
        <f t="shared" si="33"/>
        <v>0</v>
      </c>
      <c r="F83" s="2898"/>
      <c r="G83" s="2899">
        <f t="shared" si="34"/>
        <v>0</v>
      </c>
      <c r="H83" s="2900">
        <f t="shared" si="35"/>
        <v>0</v>
      </c>
      <c r="I83" s="2918"/>
      <c r="J83" s="2918"/>
      <c r="K83" s="2918"/>
      <c r="L83" s="2918"/>
      <c r="M83" s="2918"/>
      <c r="N83" s="2918"/>
      <c r="O83" s="2918"/>
      <c r="P83" s="2918"/>
      <c r="Q83" s="2918"/>
      <c r="R83" s="2918"/>
      <c r="S83" s="2918"/>
      <c r="T83" s="2918"/>
      <c r="U83" s="2918"/>
      <c r="V83" s="2918"/>
      <c r="W83" s="2918"/>
      <c r="X83" s="2918"/>
      <c r="Y83" s="2918"/>
      <c r="Z83" s="2918"/>
      <c r="AA83" s="2918"/>
      <c r="AB83" s="2918"/>
      <c r="AC83" s="2897">
        <f t="shared" si="36"/>
        <v>0</v>
      </c>
      <c r="AD83" s="2929"/>
      <c r="AE83" s="2929"/>
      <c r="AF83" s="2929"/>
      <c r="AG83" s="2929"/>
      <c r="AH83" s="2929"/>
      <c r="AI83" s="2929"/>
      <c r="AJ83" s="2929"/>
      <c r="AK83" s="2929"/>
      <c r="AL83" s="2929"/>
      <c r="AM83" s="2929"/>
      <c r="AN83" s="2929"/>
      <c r="AO83" s="2929"/>
      <c r="AP83" s="2929"/>
      <c r="AQ83" s="2929"/>
      <c r="AR83" s="2929"/>
      <c r="AS83" s="2929"/>
      <c r="AT83" s="2949"/>
      <c r="AU83" s="2950"/>
      <c r="AV83" s="454">
        <f t="shared" si="37"/>
        <v>0</v>
      </c>
      <c r="AW83" s="454">
        <f t="shared" si="38"/>
        <v>0</v>
      </c>
      <c r="AX83" s="454">
        <f t="shared" si="39"/>
        <v>0</v>
      </c>
      <c r="AY83" s="2966">
        <f t="shared" si="40"/>
        <v>0</v>
      </c>
      <c r="AZ83" s="2897">
        <f t="shared" si="41"/>
        <v>0</v>
      </c>
      <c r="BA83" s="2897">
        <f t="shared" si="42"/>
        <v>0</v>
      </c>
      <c r="BB83" s="2897">
        <f t="shared" si="43"/>
        <v>0</v>
      </c>
      <c r="BC83" s="2897">
        <f t="shared" si="44"/>
        <v>0</v>
      </c>
      <c r="BD83" s="2897">
        <f t="shared" si="45"/>
        <v>0</v>
      </c>
      <c r="BE83" s="2897">
        <f t="shared" si="46"/>
        <v>0</v>
      </c>
      <c r="BF83" s="2897">
        <f t="shared" si="47"/>
        <v>0</v>
      </c>
      <c r="BG83" s="2897">
        <f t="shared" si="48"/>
        <v>0</v>
      </c>
      <c r="BH83" s="2897">
        <f t="shared" si="49"/>
        <v>0</v>
      </c>
      <c r="BI83" s="2897">
        <f t="shared" si="50"/>
        <v>0</v>
      </c>
      <c r="BJ83" s="2897">
        <f t="shared" si="51"/>
        <v>0</v>
      </c>
      <c r="BK83" s="2897">
        <f t="shared" si="52"/>
        <v>0</v>
      </c>
      <c r="BL83" s="2897">
        <f t="shared" si="53"/>
        <v>0</v>
      </c>
      <c r="BM83" s="2897">
        <f t="shared" si="54"/>
        <v>0</v>
      </c>
      <c r="BN83" s="2897">
        <f t="shared" si="55"/>
        <v>0</v>
      </c>
      <c r="BO83" s="2897">
        <f t="shared" si="56"/>
        <v>0</v>
      </c>
      <c r="BP83" s="2897">
        <f t="shared" si="57"/>
        <v>0</v>
      </c>
      <c r="BQ83" s="2897">
        <f t="shared" si="58"/>
        <v>0</v>
      </c>
      <c r="BR83" s="2897">
        <f t="shared" si="59"/>
        <v>0</v>
      </c>
      <c r="BS83" s="2897">
        <f t="shared" si="60"/>
        <v>0</v>
      </c>
      <c r="BT83" s="2971">
        <f t="shared" si="61"/>
        <v>0</v>
      </c>
    </row>
    <row r="84" spans="1:72">
      <c r="A84" s="2894"/>
      <c r="B84" s="2895"/>
      <c r="C84" s="2895"/>
      <c r="D84" s="2907"/>
      <c r="E84" s="2897">
        <f t="shared" si="33"/>
        <v>0</v>
      </c>
      <c r="F84" s="2898"/>
      <c r="G84" s="2899">
        <f t="shared" si="34"/>
        <v>0</v>
      </c>
      <c r="H84" s="2900">
        <f t="shared" si="35"/>
        <v>0</v>
      </c>
      <c r="I84" s="2918"/>
      <c r="J84" s="2918"/>
      <c r="K84" s="2918"/>
      <c r="L84" s="2918"/>
      <c r="M84" s="2918"/>
      <c r="N84" s="2918"/>
      <c r="O84" s="2918"/>
      <c r="P84" s="2918"/>
      <c r="Q84" s="2918"/>
      <c r="R84" s="2918"/>
      <c r="S84" s="2918"/>
      <c r="T84" s="2918"/>
      <c r="U84" s="2918"/>
      <c r="V84" s="2918"/>
      <c r="W84" s="2918"/>
      <c r="X84" s="2918"/>
      <c r="Y84" s="2918"/>
      <c r="Z84" s="2918"/>
      <c r="AA84" s="2918"/>
      <c r="AB84" s="2918"/>
      <c r="AC84" s="2897">
        <f t="shared" si="36"/>
        <v>0</v>
      </c>
      <c r="AD84" s="2929"/>
      <c r="AE84" s="2929"/>
      <c r="AF84" s="2929"/>
      <c r="AG84" s="2929"/>
      <c r="AH84" s="2929"/>
      <c r="AI84" s="2929"/>
      <c r="AJ84" s="2929"/>
      <c r="AK84" s="2929"/>
      <c r="AL84" s="2929"/>
      <c r="AM84" s="2929"/>
      <c r="AN84" s="2929"/>
      <c r="AO84" s="2929"/>
      <c r="AP84" s="2929"/>
      <c r="AQ84" s="2929"/>
      <c r="AR84" s="2929"/>
      <c r="AS84" s="2929"/>
      <c r="AT84" s="2949"/>
      <c r="AU84" s="2950"/>
      <c r="AV84" s="454">
        <f t="shared" si="37"/>
        <v>0</v>
      </c>
      <c r="AW84" s="454">
        <f t="shared" si="38"/>
        <v>0</v>
      </c>
      <c r="AX84" s="454">
        <f t="shared" si="39"/>
        <v>0</v>
      </c>
      <c r="AY84" s="2966">
        <f t="shared" si="40"/>
        <v>0</v>
      </c>
      <c r="AZ84" s="2897">
        <f t="shared" si="41"/>
        <v>0</v>
      </c>
      <c r="BA84" s="2897">
        <f t="shared" si="42"/>
        <v>0</v>
      </c>
      <c r="BB84" s="2897">
        <f t="shared" si="43"/>
        <v>0</v>
      </c>
      <c r="BC84" s="2897">
        <f t="shared" si="44"/>
        <v>0</v>
      </c>
      <c r="BD84" s="2897">
        <f t="shared" si="45"/>
        <v>0</v>
      </c>
      <c r="BE84" s="2897">
        <f t="shared" si="46"/>
        <v>0</v>
      </c>
      <c r="BF84" s="2897">
        <f t="shared" si="47"/>
        <v>0</v>
      </c>
      <c r="BG84" s="2897">
        <f t="shared" si="48"/>
        <v>0</v>
      </c>
      <c r="BH84" s="2897">
        <f t="shared" si="49"/>
        <v>0</v>
      </c>
      <c r="BI84" s="2897">
        <f t="shared" si="50"/>
        <v>0</v>
      </c>
      <c r="BJ84" s="2897">
        <f t="shared" si="51"/>
        <v>0</v>
      </c>
      <c r="BK84" s="2897">
        <f t="shared" si="52"/>
        <v>0</v>
      </c>
      <c r="BL84" s="2897">
        <f t="shared" si="53"/>
        <v>0</v>
      </c>
      <c r="BM84" s="2897">
        <f t="shared" si="54"/>
        <v>0</v>
      </c>
      <c r="BN84" s="2897">
        <f t="shared" si="55"/>
        <v>0</v>
      </c>
      <c r="BO84" s="2897">
        <f t="shared" si="56"/>
        <v>0</v>
      </c>
      <c r="BP84" s="2897">
        <f t="shared" si="57"/>
        <v>0</v>
      </c>
      <c r="BQ84" s="2897">
        <f t="shared" si="58"/>
        <v>0</v>
      </c>
      <c r="BR84" s="2897">
        <f t="shared" si="59"/>
        <v>0</v>
      </c>
      <c r="BS84" s="2897">
        <f t="shared" si="60"/>
        <v>0</v>
      </c>
      <c r="BT84" s="2971">
        <f t="shared" si="61"/>
        <v>0</v>
      </c>
    </row>
    <row r="85" spans="1:72">
      <c r="A85" s="2894"/>
      <c r="B85" s="2895"/>
      <c r="C85" s="2895"/>
      <c r="D85" s="2907"/>
      <c r="E85" s="2897">
        <f t="shared" si="33"/>
        <v>0</v>
      </c>
      <c r="F85" s="2898"/>
      <c r="G85" s="2899">
        <f t="shared" si="34"/>
        <v>0</v>
      </c>
      <c r="H85" s="2900">
        <f t="shared" si="35"/>
        <v>0</v>
      </c>
      <c r="I85" s="2918"/>
      <c r="J85" s="2918"/>
      <c r="K85" s="2918"/>
      <c r="L85" s="2918"/>
      <c r="M85" s="2918"/>
      <c r="N85" s="2918"/>
      <c r="O85" s="2918"/>
      <c r="P85" s="2918"/>
      <c r="Q85" s="2918"/>
      <c r="R85" s="2918"/>
      <c r="S85" s="2918"/>
      <c r="T85" s="2918"/>
      <c r="U85" s="2918"/>
      <c r="V85" s="2918"/>
      <c r="W85" s="2918"/>
      <c r="X85" s="2918"/>
      <c r="Y85" s="2918"/>
      <c r="Z85" s="2918"/>
      <c r="AA85" s="2918"/>
      <c r="AB85" s="2918"/>
      <c r="AC85" s="2897">
        <f t="shared" si="36"/>
        <v>0</v>
      </c>
      <c r="AD85" s="2929"/>
      <c r="AE85" s="2929"/>
      <c r="AF85" s="2929"/>
      <c r="AG85" s="2929"/>
      <c r="AH85" s="2929"/>
      <c r="AI85" s="2929"/>
      <c r="AJ85" s="2929"/>
      <c r="AK85" s="2929"/>
      <c r="AL85" s="2929"/>
      <c r="AM85" s="2929"/>
      <c r="AN85" s="2929"/>
      <c r="AO85" s="2929"/>
      <c r="AP85" s="2929"/>
      <c r="AQ85" s="2929"/>
      <c r="AR85" s="2929"/>
      <c r="AS85" s="2929"/>
      <c r="AT85" s="2949"/>
      <c r="AU85" s="2950"/>
      <c r="AV85" s="454">
        <f t="shared" si="37"/>
        <v>0</v>
      </c>
      <c r="AW85" s="454">
        <f t="shared" si="38"/>
        <v>0</v>
      </c>
      <c r="AX85" s="454">
        <f t="shared" si="39"/>
        <v>0</v>
      </c>
      <c r="AY85" s="2966">
        <f t="shared" si="40"/>
        <v>0</v>
      </c>
      <c r="AZ85" s="2897">
        <f t="shared" si="41"/>
        <v>0</v>
      </c>
      <c r="BA85" s="2897">
        <f t="shared" si="42"/>
        <v>0</v>
      </c>
      <c r="BB85" s="2897">
        <f t="shared" si="43"/>
        <v>0</v>
      </c>
      <c r="BC85" s="2897">
        <f t="shared" si="44"/>
        <v>0</v>
      </c>
      <c r="BD85" s="2897">
        <f t="shared" si="45"/>
        <v>0</v>
      </c>
      <c r="BE85" s="2897">
        <f t="shared" si="46"/>
        <v>0</v>
      </c>
      <c r="BF85" s="2897">
        <f t="shared" si="47"/>
        <v>0</v>
      </c>
      <c r="BG85" s="2897">
        <f t="shared" si="48"/>
        <v>0</v>
      </c>
      <c r="BH85" s="2897">
        <f t="shared" si="49"/>
        <v>0</v>
      </c>
      <c r="BI85" s="2897">
        <f t="shared" si="50"/>
        <v>0</v>
      </c>
      <c r="BJ85" s="2897">
        <f t="shared" si="51"/>
        <v>0</v>
      </c>
      <c r="BK85" s="2897">
        <f t="shared" si="52"/>
        <v>0</v>
      </c>
      <c r="BL85" s="2897">
        <f t="shared" si="53"/>
        <v>0</v>
      </c>
      <c r="BM85" s="2897">
        <f t="shared" si="54"/>
        <v>0</v>
      </c>
      <c r="BN85" s="2897">
        <f t="shared" si="55"/>
        <v>0</v>
      </c>
      <c r="BO85" s="2897">
        <f t="shared" si="56"/>
        <v>0</v>
      </c>
      <c r="BP85" s="2897">
        <f t="shared" si="57"/>
        <v>0</v>
      </c>
      <c r="BQ85" s="2897">
        <f t="shared" si="58"/>
        <v>0</v>
      </c>
      <c r="BR85" s="2897">
        <f t="shared" si="59"/>
        <v>0</v>
      </c>
      <c r="BS85" s="2897">
        <f t="shared" si="60"/>
        <v>0</v>
      </c>
      <c r="BT85" s="2971">
        <f t="shared" si="61"/>
        <v>0</v>
      </c>
    </row>
    <row r="86" spans="1:72">
      <c r="A86" s="2894"/>
      <c r="B86" s="2895"/>
      <c r="C86" s="2895"/>
      <c r="D86" s="2907"/>
      <c r="E86" s="2897">
        <f t="shared" si="33"/>
        <v>0</v>
      </c>
      <c r="F86" s="2898"/>
      <c r="G86" s="2899">
        <f t="shared" si="34"/>
        <v>0</v>
      </c>
      <c r="H86" s="2900">
        <f t="shared" si="35"/>
        <v>0</v>
      </c>
      <c r="I86" s="2918"/>
      <c r="J86" s="2918"/>
      <c r="K86" s="2918"/>
      <c r="L86" s="2918"/>
      <c r="M86" s="2918"/>
      <c r="N86" s="2918"/>
      <c r="O86" s="2918"/>
      <c r="P86" s="2918"/>
      <c r="Q86" s="2918"/>
      <c r="R86" s="2918"/>
      <c r="S86" s="2918"/>
      <c r="T86" s="2918"/>
      <c r="U86" s="2918"/>
      <c r="V86" s="2918"/>
      <c r="W86" s="2918"/>
      <c r="X86" s="2918"/>
      <c r="Y86" s="2918"/>
      <c r="Z86" s="2918"/>
      <c r="AA86" s="2918"/>
      <c r="AB86" s="2918"/>
      <c r="AC86" s="2897">
        <f t="shared" si="36"/>
        <v>0</v>
      </c>
      <c r="AD86" s="2929"/>
      <c r="AE86" s="2929"/>
      <c r="AF86" s="2929"/>
      <c r="AG86" s="2929"/>
      <c r="AH86" s="2929"/>
      <c r="AI86" s="2929"/>
      <c r="AJ86" s="2929"/>
      <c r="AK86" s="2929"/>
      <c r="AL86" s="2929"/>
      <c r="AM86" s="2929"/>
      <c r="AN86" s="2929"/>
      <c r="AO86" s="2929"/>
      <c r="AP86" s="2929"/>
      <c r="AQ86" s="2929"/>
      <c r="AR86" s="2929"/>
      <c r="AS86" s="2929"/>
      <c r="AT86" s="2949"/>
      <c r="AU86" s="2950"/>
      <c r="AV86" s="454">
        <f t="shared" si="37"/>
        <v>0</v>
      </c>
      <c r="AW86" s="454">
        <f t="shared" si="38"/>
        <v>0</v>
      </c>
      <c r="AX86" s="454">
        <f t="shared" si="39"/>
        <v>0</v>
      </c>
      <c r="AY86" s="2966">
        <f t="shared" si="40"/>
        <v>0</v>
      </c>
      <c r="AZ86" s="2897">
        <f t="shared" si="41"/>
        <v>0</v>
      </c>
      <c r="BA86" s="2897">
        <f t="shared" si="42"/>
        <v>0</v>
      </c>
      <c r="BB86" s="2897">
        <f t="shared" si="43"/>
        <v>0</v>
      </c>
      <c r="BC86" s="2897">
        <f t="shared" si="44"/>
        <v>0</v>
      </c>
      <c r="BD86" s="2897">
        <f t="shared" si="45"/>
        <v>0</v>
      </c>
      <c r="BE86" s="2897">
        <f t="shared" si="46"/>
        <v>0</v>
      </c>
      <c r="BF86" s="2897">
        <f t="shared" si="47"/>
        <v>0</v>
      </c>
      <c r="BG86" s="2897">
        <f t="shared" si="48"/>
        <v>0</v>
      </c>
      <c r="BH86" s="2897">
        <f t="shared" si="49"/>
        <v>0</v>
      </c>
      <c r="BI86" s="2897">
        <f t="shared" si="50"/>
        <v>0</v>
      </c>
      <c r="BJ86" s="2897">
        <f t="shared" si="51"/>
        <v>0</v>
      </c>
      <c r="BK86" s="2897">
        <f t="shared" si="52"/>
        <v>0</v>
      </c>
      <c r="BL86" s="2897">
        <f t="shared" si="53"/>
        <v>0</v>
      </c>
      <c r="BM86" s="2897">
        <f t="shared" si="54"/>
        <v>0</v>
      </c>
      <c r="BN86" s="2897">
        <f t="shared" si="55"/>
        <v>0</v>
      </c>
      <c r="BO86" s="2897">
        <f t="shared" si="56"/>
        <v>0</v>
      </c>
      <c r="BP86" s="2897">
        <f t="shared" si="57"/>
        <v>0</v>
      </c>
      <c r="BQ86" s="2897">
        <f t="shared" si="58"/>
        <v>0</v>
      </c>
      <c r="BR86" s="2897">
        <f t="shared" si="59"/>
        <v>0</v>
      </c>
      <c r="BS86" s="2897">
        <f t="shared" si="60"/>
        <v>0</v>
      </c>
      <c r="BT86" s="2971">
        <f t="shared" si="61"/>
        <v>0</v>
      </c>
    </row>
    <row r="87" spans="1:72">
      <c r="A87" s="2894"/>
      <c r="B87" s="2895"/>
      <c r="C87" s="2895"/>
      <c r="D87" s="2907"/>
      <c r="E87" s="2897">
        <f t="shared" si="33"/>
        <v>0</v>
      </c>
      <c r="F87" s="2898"/>
      <c r="G87" s="2899">
        <f t="shared" si="34"/>
        <v>0</v>
      </c>
      <c r="H87" s="2900">
        <f t="shared" si="35"/>
        <v>0</v>
      </c>
      <c r="I87" s="2918"/>
      <c r="J87" s="2918"/>
      <c r="K87" s="2918"/>
      <c r="L87" s="2918"/>
      <c r="M87" s="2918"/>
      <c r="N87" s="2918"/>
      <c r="O87" s="2918"/>
      <c r="P87" s="2918"/>
      <c r="Q87" s="2918"/>
      <c r="R87" s="2918"/>
      <c r="S87" s="2918"/>
      <c r="T87" s="2918"/>
      <c r="U87" s="2918"/>
      <c r="V87" s="2918"/>
      <c r="W87" s="2918"/>
      <c r="X87" s="2918"/>
      <c r="Y87" s="2918"/>
      <c r="Z87" s="2918"/>
      <c r="AA87" s="2918"/>
      <c r="AB87" s="2918"/>
      <c r="AC87" s="2897">
        <f t="shared" si="36"/>
        <v>0</v>
      </c>
      <c r="AD87" s="2929"/>
      <c r="AE87" s="2929"/>
      <c r="AF87" s="2929"/>
      <c r="AG87" s="2929"/>
      <c r="AH87" s="2929"/>
      <c r="AI87" s="2929"/>
      <c r="AJ87" s="2929"/>
      <c r="AK87" s="2929"/>
      <c r="AL87" s="2929"/>
      <c r="AM87" s="2929"/>
      <c r="AN87" s="2929"/>
      <c r="AO87" s="2929"/>
      <c r="AP87" s="2929"/>
      <c r="AQ87" s="2929"/>
      <c r="AR87" s="2929"/>
      <c r="AS87" s="2929"/>
      <c r="AT87" s="2949"/>
      <c r="AU87" s="2950"/>
      <c r="AV87" s="454">
        <f t="shared" si="37"/>
        <v>0</v>
      </c>
      <c r="AW87" s="454">
        <f t="shared" si="38"/>
        <v>0</v>
      </c>
      <c r="AX87" s="454">
        <f t="shared" si="39"/>
        <v>0</v>
      </c>
      <c r="AY87" s="2966">
        <f t="shared" si="40"/>
        <v>0</v>
      </c>
      <c r="AZ87" s="2897">
        <f t="shared" si="41"/>
        <v>0</v>
      </c>
      <c r="BA87" s="2897">
        <f t="shared" si="42"/>
        <v>0</v>
      </c>
      <c r="BB87" s="2897">
        <f t="shared" si="43"/>
        <v>0</v>
      </c>
      <c r="BC87" s="2897">
        <f t="shared" si="44"/>
        <v>0</v>
      </c>
      <c r="BD87" s="2897">
        <f t="shared" si="45"/>
        <v>0</v>
      </c>
      <c r="BE87" s="2897">
        <f t="shared" si="46"/>
        <v>0</v>
      </c>
      <c r="BF87" s="2897">
        <f t="shared" si="47"/>
        <v>0</v>
      </c>
      <c r="BG87" s="2897">
        <f t="shared" si="48"/>
        <v>0</v>
      </c>
      <c r="BH87" s="2897">
        <f t="shared" si="49"/>
        <v>0</v>
      </c>
      <c r="BI87" s="2897">
        <f t="shared" si="50"/>
        <v>0</v>
      </c>
      <c r="BJ87" s="2897">
        <f t="shared" si="51"/>
        <v>0</v>
      </c>
      <c r="BK87" s="2897">
        <f t="shared" si="52"/>
        <v>0</v>
      </c>
      <c r="BL87" s="2897">
        <f t="shared" si="53"/>
        <v>0</v>
      </c>
      <c r="BM87" s="2897">
        <f t="shared" si="54"/>
        <v>0</v>
      </c>
      <c r="BN87" s="2897">
        <f t="shared" si="55"/>
        <v>0</v>
      </c>
      <c r="BO87" s="2897">
        <f t="shared" si="56"/>
        <v>0</v>
      </c>
      <c r="BP87" s="2897">
        <f t="shared" si="57"/>
        <v>0</v>
      </c>
      <c r="BQ87" s="2897">
        <f t="shared" si="58"/>
        <v>0</v>
      </c>
      <c r="BR87" s="2897">
        <f t="shared" si="59"/>
        <v>0</v>
      </c>
      <c r="BS87" s="2897">
        <f t="shared" si="60"/>
        <v>0</v>
      </c>
      <c r="BT87" s="2971">
        <f t="shared" si="61"/>
        <v>0</v>
      </c>
    </row>
    <row r="88" spans="1:72">
      <c r="A88" s="2894"/>
      <c r="B88" s="2895"/>
      <c r="C88" s="2895"/>
      <c r="D88" s="2907"/>
      <c r="E88" s="2897">
        <f t="shared" si="33"/>
        <v>0</v>
      </c>
      <c r="F88" s="2898"/>
      <c r="G88" s="2899">
        <f t="shared" si="34"/>
        <v>0</v>
      </c>
      <c r="H88" s="2900">
        <f t="shared" si="35"/>
        <v>0</v>
      </c>
      <c r="I88" s="2918"/>
      <c r="J88" s="2918"/>
      <c r="K88" s="2918"/>
      <c r="L88" s="2918"/>
      <c r="M88" s="2918"/>
      <c r="N88" s="2918"/>
      <c r="O88" s="2918"/>
      <c r="P88" s="2918"/>
      <c r="Q88" s="2918"/>
      <c r="R88" s="2918"/>
      <c r="S88" s="2918"/>
      <c r="T88" s="2918"/>
      <c r="U88" s="2918"/>
      <c r="V88" s="2918"/>
      <c r="W88" s="2918"/>
      <c r="X88" s="2918"/>
      <c r="Y88" s="2918"/>
      <c r="Z88" s="2918"/>
      <c r="AA88" s="2918"/>
      <c r="AB88" s="2918"/>
      <c r="AC88" s="2897">
        <f t="shared" si="36"/>
        <v>0</v>
      </c>
      <c r="AD88" s="2929"/>
      <c r="AE88" s="2929"/>
      <c r="AF88" s="2929"/>
      <c r="AG88" s="2929"/>
      <c r="AH88" s="2929"/>
      <c r="AI88" s="2929"/>
      <c r="AJ88" s="2929"/>
      <c r="AK88" s="2929"/>
      <c r="AL88" s="2929"/>
      <c r="AM88" s="2929"/>
      <c r="AN88" s="2929"/>
      <c r="AO88" s="2929"/>
      <c r="AP88" s="2929"/>
      <c r="AQ88" s="2929"/>
      <c r="AR88" s="2929"/>
      <c r="AS88" s="2929"/>
      <c r="AT88" s="2949"/>
      <c r="AU88" s="2950"/>
      <c r="AV88" s="454">
        <f t="shared" si="37"/>
        <v>0</v>
      </c>
      <c r="AW88" s="454">
        <f t="shared" si="38"/>
        <v>0</v>
      </c>
      <c r="AX88" s="454">
        <f t="shared" si="39"/>
        <v>0</v>
      </c>
      <c r="AY88" s="2966">
        <f t="shared" si="40"/>
        <v>0</v>
      </c>
      <c r="AZ88" s="2897">
        <f t="shared" si="41"/>
        <v>0</v>
      </c>
      <c r="BA88" s="2897">
        <f t="shared" si="42"/>
        <v>0</v>
      </c>
      <c r="BB88" s="2897">
        <f t="shared" si="43"/>
        <v>0</v>
      </c>
      <c r="BC88" s="2897">
        <f t="shared" si="44"/>
        <v>0</v>
      </c>
      <c r="BD88" s="2897">
        <f t="shared" si="45"/>
        <v>0</v>
      </c>
      <c r="BE88" s="2897">
        <f t="shared" si="46"/>
        <v>0</v>
      </c>
      <c r="BF88" s="2897">
        <f t="shared" si="47"/>
        <v>0</v>
      </c>
      <c r="BG88" s="2897">
        <f t="shared" si="48"/>
        <v>0</v>
      </c>
      <c r="BH88" s="2897">
        <f t="shared" si="49"/>
        <v>0</v>
      </c>
      <c r="BI88" s="2897">
        <f t="shared" si="50"/>
        <v>0</v>
      </c>
      <c r="BJ88" s="2897">
        <f t="shared" si="51"/>
        <v>0</v>
      </c>
      <c r="BK88" s="2897">
        <f t="shared" si="52"/>
        <v>0</v>
      </c>
      <c r="BL88" s="2897">
        <f t="shared" si="53"/>
        <v>0</v>
      </c>
      <c r="BM88" s="2897">
        <f t="shared" si="54"/>
        <v>0</v>
      </c>
      <c r="BN88" s="2897">
        <f t="shared" si="55"/>
        <v>0</v>
      </c>
      <c r="BO88" s="2897">
        <f t="shared" si="56"/>
        <v>0</v>
      </c>
      <c r="BP88" s="2897">
        <f t="shared" si="57"/>
        <v>0</v>
      </c>
      <c r="BQ88" s="2897">
        <f t="shared" si="58"/>
        <v>0</v>
      </c>
      <c r="BR88" s="2897">
        <f t="shared" si="59"/>
        <v>0</v>
      </c>
      <c r="BS88" s="2897">
        <f t="shared" si="60"/>
        <v>0</v>
      </c>
      <c r="BT88" s="2971">
        <f t="shared" si="61"/>
        <v>0</v>
      </c>
    </row>
    <row r="89" spans="1:72">
      <c r="A89" s="2894"/>
      <c r="B89" s="2895"/>
      <c r="C89" s="2895"/>
      <c r="D89" s="2907"/>
      <c r="E89" s="2897">
        <f t="shared" si="33"/>
        <v>0</v>
      </c>
      <c r="F89" s="2898"/>
      <c r="G89" s="2899">
        <f t="shared" si="34"/>
        <v>0</v>
      </c>
      <c r="H89" s="2900">
        <f t="shared" si="35"/>
        <v>0</v>
      </c>
      <c r="I89" s="2918"/>
      <c r="J89" s="2918"/>
      <c r="K89" s="2918"/>
      <c r="L89" s="2918"/>
      <c r="M89" s="2918"/>
      <c r="N89" s="2918"/>
      <c r="O89" s="2918"/>
      <c r="P89" s="2918"/>
      <c r="Q89" s="2918"/>
      <c r="R89" s="2918"/>
      <c r="S89" s="2918"/>
      <c r="T89" s="2918"/>
      <c r="U89" s="2918"/>
      <c r="V89" s="2918"/>
      <c r="W89" s="2918"/>
      <c r="X89" s="2918"/>
      <c r="Y89" s="2918"/>
      <c r="Z89" s="2918"/>
      <c r="AA89" s="2918"/>
      <c r="AB89" s="2918"/>
      <c r="AC89" s="2897">
        <f t="shared" si="36"/>
        <v>0</v>
      </c>
      <c r="AD89" s="2929"/>
      <c r="AE89" s="2929"/>
      <c r="AF89" s="2929"/>
      <c r="AG89" s="2929"/>
      <c r="AH89" s="2929"/>
      <c r="AI89" s="2929"/>
      <c r="AJ89" s="2929"/>
      <c r="AK89" s="2929"/>
      <c r="AL89" s="2929"/>
      <c r="AM89" s="2929"/>
      <c r="AN89" s="2929"/>
      <c r="AO89" s="2929"/>
      <c r="AP89" s="2929"/>
      <c r="AQ89" s="2929"/>
      <c r="AR89" s="2929"/>
      <c r="AS89" s="2929"/>
      <c r="AT89" s="2949"/>
      <c r="AU89" s="2950"/>
      <c r="AV89" s="454">
        <f t="shared" si="37"/>
        <v>0</v>
      </c>
      <c r="AW89" s="454">
        <f t="shared" si="38"/>
        <v>0</v>
      </c>
      <c r="AX89" s="454">
        <f t="shared" si="39"/>
        <v>0</v>
      </c>
      <c r="AY89" s="2966">
        <f t="shared" si="40"/>
        <v>0</v>
      </c>
      <c r="AZ89" s="2897">
        <f t="shared" si="41"/>
        <v>0</v>
      </c>
      <c r="BA89" s="2897">
        <f t="shared" si="42"/>
        <v>0</v>
      </c>
      <c r="BB89" s="2897">
        <f t="shared" si="43"/>
        <v>0</v>
      </c>
      <c r="BC89" s="2897">
        <f t="shared" si="44"/>
        <v>0</v>
      </c>
      <c r="BD89" s="2897">
        <f t="shared" si="45"/>
        <v>0</v>
      </c>
      <c r="BE89" s="2897">
        <f t="shared" si="46"/>
        <v>0</v>
      </c>
      <c r="BF89" s="2897">
        <f t="shared" si="47"/>
        <v>0</v>
      </c>
      <c r="BG89" s="2897">
        <f t="shared" si="48"/>
        <v>0</v>
      </c>
      <c r="BH89" s="2897">
        <f t="shared" si="49"/>
        <v>0</v>
      </c>
      <c r="BI89" s="2897">
        <f t="shared" si="50"/>
        <v>0</v>
      </c>
      <c r="BJ89" s="2897">
        <f t="shared" si="51"/>
        <v>0</v>
      </c>
      <c r="BK89" s="2897">
        <f t="shared" si="52"/>
        <v>0</v>
      </c>
      <c r="BL89" s="2897">
        <f t="shared" si="53"/>
        <v>0</v>
      </c>
      <c r="BM89" s="2897">
        <f t="shared" si="54"/>
        <v>0</v>
      </c>
      <c r="BN89" s="2897">
        <f t="shared" si="55"/>
        <v>0</v>
      </c>
      <c r="BO89" s="2897">
        <f t="shared" si="56"/>
        <v>0</v>
      </c>
      <c r="BP89" s="2897">
        <f t="shared" si="57"/>
        <v>0</v>
      </c>
      <c r="BQ89" s="2897">
        <f t="shared" si="58"/>
        <v>0</v>
      </c>
      <c r="BR89" s="2897">
        <f t="shared" si="59"/>
        <v>0</v>
      </c>
      <c r="BS89" s="2897">
        <f t="shared" si="60"/>
        <v>0</v>
      </c>
      <c r="BT89" s="2971">
        <f t="shared" si="61"/>
        <v>0</v>
      </c>
    </row>
    <row r="90" spans="1:72">
      <c r="A90" s="2894"/>
      <c r="B90" s="2895"/>
      <c r="C90" s="2895"/>
      <c r="D90" s="2907"/>
      <c r="E90" s="2897">
        <f t="shared" si="33"/>
        <v>0</v>
      </c>
      <c r="F90" s="2898"/>
      <c r="G90" s="2899">
        <f t="shared" si="34"/>
        <v>0</v>
      </c>
      <c r="H90" s="2900">
        <f t="shared" si="35"/>
        <v>0</v>
      </c>
      <c r="I90" s="2918"/>
      <c r="J90" s="2918"/>
      <c r="K90" s="2918"/>
      <c r="L90" s="2918"/>
      <c r="M90" s="2918"/>
      <c r="N90" s="2918"/>
      <c r="O90" s="2918"/>
      <c r="P90" s="2918"/>
      <c r="Q90" s="2918"/>
      <c r="R90" s="2918"/>
      <c r="S90" s="2918"/>
      <c r="T90" s="2918"/>
      <c r="U90" s="2918"/>
      <c r="V90" s="2918"/>
      <c r="W90" s="2918"/>
      <c r="X90" s="2918"/>
      <c r="Y90" s="2918"/>
      <c r="Z90" s="2918"/>
      <c r="AA90" s="2918"/>
      <c r="AB90" s="2918"/>
      <c r="AC90" s="2897">
        <f t="shared" si="36"/>
        <v>0</v>
      </c>
      <c r="AD90" s="2929"/>
      <c r="AE90" s="2929"/>
      <c r="AF90" s="2929"/>
      <c r="AG90" s="2929"/>
      <c r="AH90" s="2929"/>
      <c r="AI90" s="2929"/>
      <c r="AJ90" s="2929"/>
      <c r="AK90" s="2929"/>
      <c r="AL90" s="2929"/>
      <c r="AM90" s="2929"/>
      <c r="AN90" s="2929"/>
      <c r="AO90" s="2929"/>
      <c r="AP90" s="2929"/>
      <c r="AQ90" s="2929"/>
      <c r="AR90" s="2929"/>
      <c r="AS90" s="2929"/>
      <c r="AT90" s="2949"/>
      <c r="AU90" s="2950"/>
      <c r="AV90" s="454">
        <f t="shared" si="37"/>
        <v>0</v>
      </c>
      <c r="AW90" s="454">
        <f t="shared" si="38"/>
        <v>0</v>
      </c>
      <c r="AX90" s="454">
        <f t="shared" si="39"/>
        <v>0</v>
      </c>
      <c r="AY90" s="2966">
        <f t="shared" si="40"/>
        <v>0</v>
      </c>
      <c r="AZ90" s="2897">
        <f t="shared" si="41"/>
        <v>0</v>
      </c>
      <c r="BA90" s="2897">
        <f t="shared" si="42"/>
        <v>0</v>
      </c>
      <c r="BB90" s="2897">
        <f t="shared" si="43"/>
        <v>0</v>
      </c>
      <c r="BC90" s="2897">
        <f t="shared" si="44"/>
        <v>0</v>
      </c>
      <c r="BD90" s="2897">
        <f t="shared" si="45"/>
        <v>0</v>
      </c>
      <c r="BE90" s="2897">
        <f t="shared" si="46"/>
        <v>0</v>
      </c>
      <c r="BF90" s="2897">
        <f t="shared" si="47"/>
        <v>0</v>
      </c>
      <c r="BG90" s="2897">
        <f t="shared" si="48"/>
        <v>0</v>
      </c>
      <c r="BH90" s="2897">
        <f t="shared" si="49"/>
        <v>0</v>
      </c>
      <c r="BI90" s="2897">
        <f t="shared" si="50"/>
        <v>0</v>
      </c>
      <c r="BJ90" s="2897">
        <f t="shared" si="51"/>
        <v>0</v>
      </c>
      <c r="BK90" s="2897">
        <f t="shared" si="52"/>
        <v>0</v>
      </c>
      <c r="BL90" s="2897">
        <f t="shared" si="53"/>
        <v>0</v>
      </c>
      <c r="BM90" s="2897">
        <f t="shared" si="54"/>
        <v>0</v>
      </c>
      <c r="BN90" s="2897">
        <f t="shared" si="55"/>
        <v>0</v>
      </c>
      <c r="BO90" s="2897">
        <f t="shared" si="56"/>
        <v>0</v>
      </c>
      <c r="BP90" s="2897">
        <f t="shared" si="57"/>
        <v>0</v>
      </c>
      <c r="BQ90" s="2897">
        <f t="shared" si="58"/>
        <v>0</v>
      </c>
      <c r="BR90" s="2897">
        <f t="shared" si="59"/>
        <v>0</v>
      </c>
      <c r="BS90" s="2897">
        <f t="shared" si="60"/>
        <v>0</v>
      </c>
      <c r="BT90" s="2971">
        <f t="shared" si="61"/>
        <v>0</v>
      </c>
    </row>
    <row r="91" spans="1:72">
      <c r="A91" s="2894"/>
      <c r="B91" s="2895"/>
      <c r="C91" s="2895"/>
      <c r="D91" s="2907"/>
      <c r="E91" s="2897">
        <f t="shared" si="33"/>
        <v>0</v>
      </c>
      <c r="F91" s="2898"/>
      <c r="G91" s="2899">
        <f t="shared" si="34"/>
        <v>0</v>
      </c>
      <c r="H91" s="2900">
        <f t="shared" si="35"/>
        <v>0</v>
      </c>
      <c r="I91" s="2918"/>
      <c r="J91" s="2918"/>
      <c r="K91" s="2918"/>
      <c r="L91" s="2918"/>
      <c r="M91" s="2918"/>
      <c r="N91" s="2918"/>
      <c r="O91" s="2918"/>
      <c r="P91" s="2918"/>
      <c r="Q91" s="2918"/>
      <c r="R91" s="2918"/>
      <c r="S91" s="2918"/>
      <c r="T91" s="2918"/>
      <c r="U91" s="2918"/>
      <c r="V91" s="2918"/>
      <c r="W91" s="2918"/>
      <c r="X91" s="2918"/>
      <c r="Y91" s="2918"/>
      <c r="Z91" s="2918"/>
      <c r="AA91" s="2918"/>
      <c r="AB91" s="2918"/>
      <c r="AC91" s="2897">
        <f t="shared" si="36"/>
        <v>0</v>
      </c>
      <c r="AD91" s="2929"/>
      <c r="AE91" s="2929"/>
      <c r="AF91" s="2929"/>
      <c r="AG91" s="2929"/>
      <c r="AH91" s="2929"/>
      <c r="AI91" s="2929"/>
      <c r="AJ91" s="2929"/>
      <c r="AK91" s="2929"/>
      <c r="AL91" s="2929"/>
      <c r="AM91" s="2929"/>
      <c r="AN91" s="2929"/>
      <c r="AO91" s="2929"/>
      <c r="AP91" s="2929"/>
      <c r="AQ91" s="2929"/>
      <c r="AR91" s="2929"/>
      <c r="AS91" s="2929"/>
      <c r="AT91" s="2949"/>
      <c r="AU91" s="2950"/>
      <c r="AV91" s="454">
        <f t="shared" si="37"/>
        <v>0</v>
      </c>
      <c r="AW91" s="454">
        <f t="shared" si="38"/>
        <v>0</v>
      </c>
      <c r="AX91" s="454">
        <f t="shared" si="39"/>
        <v>0</v>
      </c>
      <c r="AY91" s="2966">
        <f t="shared" si="40"/>
        <v>0</v>
      </c>
      <c r="AZ91" s="2897">
        <f t="shared" si="41"/>
        <v>0</v>
      </c>
      <c r="BA91" s="2897">
        <f t="shared" si="42"/>
        <v>0</v>
      </c>
      <c r="BB91" s="2897">
        <f t="shared" si="43"/>
        <v>0</v>
      </c>
      <c r="BC91" s="2897">
        <f t="shared" si="44"/>
        <v>0</v>
      </c>
      <c r="BD91" s="2897">
        <f t="shared" si="45"/>
        <v>0</v>
      </c>
      <c r="BE91" s="2897">
        <f t="shared" si="46"/>
        <v>0</v>
      </c>
      <c r="BF91" s="2897">
        <f t="shared" si="47"/>
        <v>0</v>
      </c>
      <c r="BG91" s="2897">
        <f t="shared" si="48"/>
        <v>0</v>
      </c>
      <c r="BH91" s="2897">
        <f t="shared" si="49"/>
        <v>0</v>
      </c>
      <c r="BI91" s="2897">
        <f t="shared" si="50"/>
        <v>0</v>
      </c>
      <c r="BJ91" s="2897">
        <f t="shared" si="51"/>
        <v>0</v>
      </c>
      <c r="BK91" s="2897">
        <f t="shared" si="52"/>
        <v>0</v>
      </c>
      <c r="BL91" s="2897">
        <f t="shared" si="53"/>
        <v>0</v>
      </c>
      <c r="BM91" s="2897">
        <f t="shared" si="54"/>
        <v>0</v>
      </c>
      <c r="BN91" s="2897">
        <f t="shared" si="55"/>
        <v>0</v>
      </c>
      <c r="BO91" s="2897">
        <f t="shared" si="56"/>
        <v>0</v>
      </c>
      <c r="BP91" s="2897">
        <f t="shared" si="57"/>
        <v>0</v>
      </c>
      <c r="BQ91" s="2897">
        <f t="shared" si="58"/>
        <v>0</v>
      </c>
      <c r="BR91" s="2897">
        <f t="shared" si="59"/>
        <v>0</v>
      </c>
      <c r="BS91" s="2897">
        <f t="shared" si="60"/>
        <v>0</v>
      </c>
      <c r="BT91" s="2971">
        <f t="shared" si="61"/>
        <v>0</v>
      </c>
    </row>
    <row r="92" spans="1:72">
      <c r="A92" s="2894"/>
      <c r="B92" s="2895"/>
      <c r="C92" s="2895"/>
      <c r="D92" s="2907"/>
      <c r="E92" s="2897">
        <f t="shared" si="33"/>
        <v>0</v>
      </c>
      <c r="F92" s="2898"/>
      <c r="G92" s="2899">
        <f t="shared" si="34"/>
        <v>0</v>
      </c>
      <c r="H92" s="2900">
        <f t="shared" si="35"/>
        <v>0</v>
      </c>
      <c r="I92" s="2918"/>
      <c r="J92" s="2918"/>
      <c r="K92" s="2918"/>
      <c r="L92" s="2918"/>
      <c r="M92" s="2918"/>
      <c r="N92" s="2918"/>
      <c r="O92" s="2918"/>
      <c r="P92" s="2918"/>
      <c r="Q92" s="2918"/>
      <c r="R92" s="2918"/>
      <c r="S92" s="2918"/>
      <c r="T92" s="2918"/>
      <c r="U92" s="2918"/>
      <c r="V92" s="2918"/>
      <c r="W92" s="2918"/>
      <c r="X92" s="2918"/>
      <c r="Y92" s="2918"/>
      <c r="Z92" s="2918"/>
      <c r="AA92" s="2918"/>
      <c r="AB92" s="2918"/>
      <c r="AC92" s="2897">
        <f t="shared" si="36"/>
        <v>0</v>
      </c>
      <c r="AD92" s="2929"/>
      <c r="AE92" s="2929"/>
      <c r="AF92" s="2929"/>
      <c r="AG92" s="2929"/>
      <c r="AH92" s="2929"/>
      <c r="AI92" s="2929"/>
      <c r="AJ92" s="2929"/>
      <c r="AK92" s="2929"/>
      <c r="AL92" s="2929"/>
      <c r="AM92" s="2929"/>
      <c r="AN92" s="2929"/>
      <c r="AO92" s="2929"/>
      <c r="AP92" s="2929"/>
      <c r="AQ92" s="2929"/>
      <c r="AR92" s="2929"/>
      <c r="AS92" s="2929"/>
      <c r="AT92" s="2949"/>
      <c r="AU92" s="2950"/>
      <c r="AV92" s="454">
        <f t="shared" si="37"/>
        <v>0</v>
      </c>
      <c r="AW92" s="454">
        <f t="shared" si="38"/>
        <v>0</v>
      </c>
      <c r="AX92" s="454">
        <f t="shared" si="39"/>
        <v>0</v>
      </c>
      <c r="AY92" s="2966">
        <f t="shared" si="40"/>
        <v>0</v>
      </c>
      <c r="AZ92" s="2897">
        <f t="shared" si="41"/>
        <v>0</v>
      </c>
      <c r="BA92" s="2897">
        <f t="shared" si="42"/>
        <v>0</v>
      </c>
      <c r="BB92" s="2897">
        <f t="shared" si="43"/>
        <v>0</v>
      </c>
      <c r="BC92" s="2897">
        <f t="shared" si="44"/>
        <v>0</v>
      </c>
      <c r="BD92" s="2897">
        <f t="shared" si="45"/>
        <v>0</v>
      </c>
      <c r="BE92" s="2897">
        <f t="shared" si="46"/>
        <v>0</v>
      </c>
      <c r="BF92" s="2897">
        <f t="shared" si="47"/>
        <v>0</v>
      </c>
      <c r="BG92" s="2897">
        <f t="shared" si="48"/>
        <v>0</v>
      </c>
      <c r="BH92" s="2897">
        <f t="shared" si="49"/>
        <v>0</v>
      </c>
      <c r="BI92" s="2897">
        <f t="shared" si="50"/>
        <v>0</v>
      </c>
      <c r="BJ92" s="2897">
        <f t="shared" si="51"/>
        <v>0</v>
      </c>
      <c r="BK92" s="2897">
        <f t="shared" si="52"/>
        <v>0</v>
      </c>
      <c r="BL92" s="2897">
        <f t="shared" si="53"/>
        <v>0</v>
      </c>
      <c r="BM92" s="2897">
        <f t="shared" si="54"/>
        <v>0</v>
      </c>
      <c r="BN92" s="2897">
        <f t="shared" si="55"/>
        <v>0</v>
      </c>
      <c r="BO92" s="2897">
        <f t="shared" si="56"/>
        <v>0</v>
      </c>
      <c r="BP92" s="2897">
        <f t="shared" si="57"/>
        <v>0</v>
      </c>
      <c r="BQ92" s="2897">
        <f t="shared" si="58"/>
        <v>0</v>
      </c>
      <c r="BR92" s="2897">
        <f t="shared" si="59"/>
        <v>0</v>
      </c>
      <c r="BS92" s="2897">
        <f t="shared" si="60"/>
        <v>0</v>
      </c>
      <c r="BT92" s="2971">
        <f t="shared" si="61"/>
        <v>0</v>
      </c>
    </row>
    <row r="93" spans="1:72">
      <c r="A93" s="2894"/>
      <c r="B93" s="2895"/>
      <c r="C93" s="2895"/>
      <c r="D93" s="2907"/>
      <c r="E93" s="2897">
        <f t="shared" si="33"/>
        <v>0</v>
      </c>
      <c r="F93" s="2898"/>
      <c r="G93" s="2899">
        <f t="shared" si="34"/>
        <v>0</v>
      </c>
      <c r="H93" s="2900">
        <f t="shared" si="35"/>
        <v>0</v>
      </c>
      <c r="I93" s="2918"/>
      <c r="J93" s="2918"/>
      <c r="K93" s="2918"/>
      <c r="L93" s="2918"/>
      <c r="M93" s="2918"/>
      <c r="N93" s="2918"/>
      <c r="O93" s="2918"/>
      <c r="P93" s="2918"/>
      <c r="Q93" s="2918"/>
      <c r="R93" s="2918"/>
      <c r="S93" s="2918"/>
      <c r="T93" s="2918"/>
      <c r="U93" s="2918"/>
      <c r="V93" s="2918"/>
      <c r="W93" s="2918"/>
      <c r="X93" s="2918"/>
      <c r="Y93" s="2918"/>
      <c r="Z93" s="2918"/>
      <c r="AA93" s="2918"/>
      <c r="AB93" s="2918"/>
      <c r="AC93" s="2897">
        <f t="shared" si="36"/>
        <v>0</v>
      </c>
      <c r="AD93" s="2929"/>
      <c r="AE93" s="2929"/>
      <c r="AF93" s="2929"/>
      <c r="AG93" s="2929"/>
      <c r="AH93" s="2929"/>
      <c r="AI93" s="2929"/>
      <c r="AJ93" s="2929"/>
      <c r="AK93" s="2929"/>
      <c r="AL93" s="2929"/>
      <c r="AM93" s="2929"/>
      <c r="AN93" s="2929"/>
      <c r="AO93" s="2929"/>
      <c r="AP93" s="2929"/>
      <c r="AQ93" s="2929"/>
      <c r="AR93" s="2929"/>
      <c r="AS93" s="2929"/>
      <c r="AT93" s="2949"/>
      <c r="AU93" s="2950"/>
      <c r="AV93" s="454">
        <f t="shared" si="37"/>
        <v>0</v>
      </c>
      <c r="AW93" s="454">
        <f t="shared" si="38"/>
        <v>0</v>
      </c>
      <c r="AX93" s="454">
        <f t="shared" si="39"/>
        <v>0</v>
      </c>
      <c r="AY93" s="2966">
        <f t="shared" si="40"/>
        <v>0</v>
      </c>
      <c r="AZ93" s="2897">
        <f t="shared" si="41"/>
        <v>0</v>
      </c>
      <c r="BA93" s="2897">
        <f t="shared" si="42"/>
        <v>0</v>
      </c>
      <c r="BB93" s="2897">
        <f t="shared" si="43"/>
        <v>0</v>
      </c>
      <c r="BC93" s="2897">
        <f t="shared" si="44"/>
        <v>0</v>
      </c>
      <c r="BD93" s="2897">
        <f t="shared" si="45"/>
        <v>0</v>
      </c>
      <c r="BE93" s="2897">
        <f t="shared" si="46"/>
        <v>0</v>
      </c>
      <c r="BF93" s="2897">
        <f t="shared" si="47"/>
        <v>0</v>
      </c>
      <c r="BG93" s="2897">
        <f t="shared" si="48"/>
        <v>0</v>
      </c>
      <c r="BH93" s="2897">
        <f t="shared" si="49"/>
        <v>0</v>
      </c>
      <c r="BI93" s="2897">
        <f t="shared" si="50"/>
        <v>0</v>
      </c>
      <c r="BJ93" s="2897">
        <f t="shared" si="51"/>
        <v>0</v>
      </c>
      <c r="BK93" s="2897">
        <f t="shared" si="52"/>
        <v>0</v>
      </c>
      <c r="BL93" s="2897">
        <f t="shared" si="53"/>
        <v>0</v>
      </c>
      <c r="BM93" s="2897">
        <f t="shared" si="54"/>
        <v>0</v>
      </c>
      <c r="BN93" s="2897">
        <f t="shared" si="55"/>
        <v>0</v>
      </c>
      <c r="BO93" s="2897">
        <f t="shared" si="56"/>
        <v>0</v>
      </c>
      <c r="BP93" s="2897">
        <f t="shared" si="57"/>
        <v>0</v>
      </c>
      <c r="BQ93" s="2897">
        <f t="shared" si="58"/>
        <v>0</v>
      </c>
      <c r="BR93" s="2897">
        <f t="shared" si="59"/>
        <v>0</v>
      </c>
      <c r="BS93" s="2897">
        <f t="shared" si="60"/>
        <v>0</v>
      </c>
      <c r="BT93" s="2971">
        <f t="shared" si="61"/>
        <v>0</v>
      </c>
    </row>
    <row r="94" spans="1:72">
      <c r="A94" s="2894"/>
      <c r="B94" s="2895"/>
      <c r="C94" s="2895"/>
      <c r="D94" s="2907"/>
      <c r="E94" s="2897">
        <f t="shared" si="33"/>
        <v>0</v>
      </c>
      <c r="F94" s="2898"/>
      <c r="G94" s="2899">
        <f t="shared" si="34"/>
        <v>0</v>
      </c>
      <c r="H94" s="2900">
        <f t="shared" si="35"/>
        <v>0</v>
      </c>
      <c r="I94" s="2918"/>
      <c r="J94" s="2918"/>
      <c r="K94" s="2918"/>
      <c r="L94" s="2918"/>
      <c r="M94" s="2918"/>
      <c r="N94" s="2918"/>
      <c r="O94" s="2918"/>
      <c r="P94" s="2918"/>
      <c r="Q94" s="2918"/>
      <c r="R94" s="2918"/>
      <c r="S94" s="2918"/>
      <c r="T94" s="2918"/>
      <c r="U94" s="2918"/>
      <c r="V94" s="2918"/>
      <c r="W94" s="2918"/>
      <c r="X94" s="2918"/>
      <c r="Y94" s="2918"/>
      <c r="Z94" s="2918"/>
      <c r="AA94" s="2918"/>
      <c r="AB94" s="2918"/>
      <c r="AC94" s="2897">
        <f t="shared" si="36"/>
        <v>0</v>
      </c>
      <c r="AD94" s="2929"/>
      <c r="AE94" s="2929"/>
      <c r="AF94" s="2929"/>
      <c r="AG94" s="2929"/>
      <c r="AH94" s="2929"/>
      <c r="AI94" s="2929"/>
      <c r="AJ94" s="2929"/>
      <c r="AK94" s="2929"/>
      <c r="AL94" s="2929"/>
      <c r="AM94" s="2929"/>
      <c r="AN94" s="2929"/>
      <c r="AO94" s="2929"/>
      <c r="AP94" s="2929"/>
      <c r="AQ94" s="2929"/>
      <c r="AR94" s="2929"/>
      <c r="AS94" s="2929"/>
      <c r="AT94" s="2949"/>
      <c r="AU94" s="2950"/>
      <c r="AV94" s="454">
        <f t="shared" si="37"/>
        <v>0</v>
      </c>
      <c r="AW94" s="454">
        <f t="shared" si="38"/>
        <v>0</v>
      </c>
      <c r="AX94" s="454">
        <f t="shared" si="39"/>
        <v>0</v>
      </c>
      <c r="AY94" s="2966">
        <f t="shared" si="40"/>
        <v>0</v>
      </c>
      <c r="AZ94" s="2897">
        <f t="shared" si="41"/>
        <v>0</v>
      </c>
      <c r="BA94" s="2897">
        <f t="shared" si="42"/>
        <v>0</v>
      </c>
      <c r="BB94" s="2897">
        <f t="shared" si="43"/>
        <v>0</v>
      </c>
      <c r="BC94" s="2897">
        <f t="shared" si="44"/>
        <v>0</v>
      </c>
      <c r="BD94" s="2897">
        <f t="shared" si="45"/>
        <v>0</v>
      </c>
      <c r="BE94" s="2897">
        <f t="shared" si="46"/>
        <v>0</v>
      </c>
      <c r="BF94" s="2897">
        <f t="shared" si="47"/>
        <v>0</v>
      </c>
      <c r="BG94" s="2897">
        <f t="shared" si="48"/>
        <v>0</v>
      </c>
      <c r="BH94" s="2897">
        <f t="shared" si="49"/>
        <v>0</v>
      </c>
      <c r="BI94" s="2897">
        <f t="shared" si="50"/>
        <v>0</v>
      </c>
      <c r="BJ94" s="2897">
        <f t="shared" si="51"/>
        <v>0</v>
      </c>
      <c r="BK94" s="2897">
        <f t="shared" si="52"/>
        <v>0</v>
      </c>
      <c r="BL94" s="2897">
        <f t="shared" si="53"/>
        <v>0</v>
      </c>
      <c r="BM94" s="2897">
        <f t="shared" si="54"/>
        <v>0</v>
      </c>
      <c r="BN94" s="2897">
        <f t="shared" si="55"/>
        <v>0</v>
      </c>
      <c r="BO94" s="2897">
        <f t="shared" si="56"/>
        <v>0</v>
      </c>
      <c r="BP94" s="2897">
        <f t="shared" si="57"/>
        <v>0</v>
      </c>
      <c r="BQ94" s="2897">
        <f t="shared" si="58"/>
        <v>0</v>
      </c>
      <c r="BR94" s="2897">
        <f t="shared" si="59"/>
        <v>0</v>
      </c>
      <c r="BS94" s="2897">
        <f t="shared" si="60"/>
        <v>0</v>
      </c>
      <c r="BT94" s="2971">
        <f t="shared" si="61"/>
        <v>0</v>
      </c>
    </row>
    <row r="95" spans="1:72">
      <c r="A95" s="2894"/>
      <c r="B95" s="2895"/>
      <c r="C95" s="2895"/>
      <c r="D95" s="2907"/>
      <c r="E95" s="2897">
        <f t="shared" si="33"/>
        <v>0</v>
      </c>
      <c r="F95" s="2898"/>
      <c r="G95" s="2899">
        <f t="shared" si="34"/>
        <v>0</v>
      </c>
      <c r="H95" s="2900">
        <f t="shared" si="35"/>
        <v>0</v>
      </c>
      <c r="I95" s="2918"/>
      <c r="J95" s="2918"/>
      <c r="K95" s="2918"/>
      <c r="L95" s="2918"/>
      <c r="M95" s="2918"/>
      <c r="N95" s="2918"/>
      <c r="O95" s="2918"/>
      <c r="P95" s="2918"/>
      <c r="Q95" s="2918"/>
      <c r="R95" s="2918"/>
      <c r="S95" s="2918"/>
      <c r="T95" s="2918"/>
      <c r="U95" s="2918"/>
      <c r="V95" s="2918"/>
      <c r="W95" s="2918"/>
      <c r="X95" s="2918"/>
      <c r="Y95" s="2918"/>
      <c r="Z95" s="2918"/>
      <c r="AA95" s="2918"/>
      <c r="AB95" s="2918"/>
      <c r="AC95" s="2897">
        <f t="shared" si="36"/>
        <v>0</v>
      </c>
      <c r="AD95" s="2929"/>
      <c r="AE95" s="2929"/>
      <c r="AF95" s="2929"/>
      <c r="AG95" s="2929"/>
      <c r="AH95" s="2929"/>
      <c r="AI95" s="2929"/>
      <c r="AJ95" s="2929"/>
      <c r="AK95" s="2929"/>
      <c r="AL95" s="2929"/>
      <c r="AM95" s="2929"/>
      <c r="AN95" s="2929"/>
      <c r="AO95" s="2929"/>
      <c r="AP95" s="2929"/>
      <c r="AQ95" s="2929"/>
      <c r="AR95" s="2929"/>
      <c r="AS95" s="2929"/>
      <c r="AT95" s="2949"/>
      <c r="AU95" s="2950"/>
      <c r="AV95" s="454">
        <f t="shared" si="37"/>
        <v>0</v>
      </c>
      <c r="AW95" s="454">
        <f t="shared" si="38"/>
        <v>0</v>
      </c>
      <c r="AX95" s="454">
        <f t="shared" si="39"/>
        <v>0</v>
      </c>
      <c r="AY95" s="2966">
        <f t="shared" si="40"/>
        <v>0</v>
      </c>
      <c r="AZ95" s="2897">
        <f t="shared" si="41"/>
        <v>0</v>
      </c>
      <c r="BA95" s="2897">
        <f t="shared" si="42"/>
        <v>0</v>
      </c>
      <c r="BB95" s="2897">
        <f t="shared" si="43"/>
        <v>0</v>
      </c>
      <c r="BC95" s="2897">
        <f t="shared" si="44"/>
        <v>0</v>
      </c>
      <c r="BD95" s="2897">
        <f t="shared" si="45"/>
        <v>0</v>
      </c>
      <c r="BE95" s="2897">
        <f t="shared" si="46"/>
        <v>0</v>
      </c>
      <c r="BF95" s="2897">
        <f t="shared" si="47"/>
        <v>0</v>
      </c>
      <c r="BG95" s="2897">
        <f t="shared" si="48"/>
        <v>0</v>
      </c>
      <c r="BH95" s="2897">
        <f t="shared" si="49"/>
        <v>0</v>
      </c>
      <c r="BI95" s="2897">
        <f t="shared" si="50"/>
        <v>0</v>
      </c>
      <c r="BJ95" s="2897">
        <f t="shared" si="51"/>
        <v>0</v>
      </c>
      <c r="BK95" s="2897">
        <f t="shared" si="52"/>
        <v>0</v>
      </c>
      <c r="BL95" s="2897">
        <f t="shared" si="53"/>
        <v>0</v>
      </c>
      <c r="BM95" s="2897">
        <f t="shared" si="54"/>
        <v>0</v>
      </c>
      <c r="BN95" s="2897">
        <f t="shared" si="55"/>
        <v>0</v>
      </c>
      <c r="BO95" s="2897">
        <f t="shared" si="56"/>
        <v>0</v>
      </c>
      <c r="BP95" s="2897">
        <f t="shared" si="57"/>
        <v>0</v>
      </c>
      <c r="BQ95" s="2897">
        <f t="shared" si="58"/>
        <v>0</v>
      </c>
      <c r="BR95" s="2897">
        <f t="shared" si="59"/>
        <v>0</v>
      </c>
      <c r="BS95" s="2897">
        <f t="shared" si="60"/>
        <v>0</v>
      </c>
      <c r="BT95" s="2971">
        <f t="shared" si="61"/>
        <v>0</v>
      </c>
    </row>
    <row r="96" spans="1:72">
      <c r="A96" s="2894"/>
      <c r="B96" s="2895"/>
      <c r="C96" s="2895"/>
      <c r="D96" s="2907"/>
      <c r="E96" s="2897">
        <f t="shared" si="33"/>
        <v>0</v>
      </c>
      <c r="F96" s="2898"/>
      <c r="G96" s="2899">
        <f t="shared" si="34"/>
        <v>0</v>
      </c>
      <c r="H96" s="2900">
        <f t="shared" si="35"/>
        <v>0</v>
      </c>
      <c r="I96" s="2918"/>
      <c r="J96" s="2918"/>
      <c r="K96" s="2918"/>
      <c r="L96" s="2918"/>
      <c r="M96" s="2918"/>
      <c r="N96" s="2918"/>
      <c r="O96" s="2918"/>
      <c r="P96" s="2918"/>
      <c r="Q96" s="2918"/>
      <c r="R96" s="2918"/>
      <c r="S96" s="2918"/>
      <c r="T96" s="2918"/>
      <c r="U96" s="2918"/>
      <c r="V96" s="2918"/>
      <c r="W96" s="2918"/>
      <c r="X96" s="2918"/>
      <c r="Y96" s="2918"/>
      <c r="Z96" s="2918"/>
      <c r="AA96" s="2918"/>
      <c r="AB96" s="2918"/>
      <c r="AC96" s="2897">
        <f t="shared" si="36"/>
        <v>0</v>
      </c>
      <c r="AD96" s="2929"/>
      <c r="AE96" s="2929"/>
      <c r="AF96" s="2929"/>
      <c r="AG96" s="2929"/>
      <c r="AH96" s="2929"/>
      <c r="AI96" s="2929"/>
      <c r="AJ96" s="2929"/>
      <c r="AK96" s="2929"/>
      <c r="AL96" s="2929"/>
      <c r="AM96" s="2929"/>
      <c r="AN96" s="2929"/>
      <c r="AO96" s="2929"/>
      <c r="AP96" s="2929"/>
      <c r="AQ96" s="2929"/>
      <c r="AR96" s="2929"/>
      <c r="AS96" s="2929"/>
      <c r="AT96" s="2949"/>
      <c r="AU96" s="2950"/>
      <c r="AV96" s="454">
        <f t="shared" si="37"/>
        <v>0</v>
      </c>
      <c r="AW96" s="454">
        <f t="shared" si="38"/>
        <v>0</v>
      </c>
      <c r="AX96" s="454">
        <f t="shared" si="39"/>
        <v>0</v>
      </c>
      <c r="AY96" s="2966">
        <f t="shared" si="40"/>
        <v>0</v>
      </c>
      <c r="AZ96" s="2897">
        <f t="shared" si="41"/>
        <v>0</v>
      </c>
      <c r="BA96" s="2897">
        <f t="shared" si="42"/>
        <v>0</v>
      </c>
      <c r="BB96" s="2897">
        <f t="shared" si="43"/>
        <v>0</v>
      </c>
      <c r="BC96" s="2897">
        <f t="shared" si="44"/>
        <v>0</v>
      </c>
      <c r="BD96" s="2897">
        <f t="shared" si="45"/>
        <v>0</v>
      </c>
      <c r="BE96" s="2897">
        <f t="shared" si="46"/>
        <v>0</v>
      </c>
      <c r="BF96" s="2897">
        <f t="shared" si="47"/>
        <v>0</v>
      </c>
      <c r="BG96" s="2897">
        <f t="shared" si="48"/>
        <v>0</v>
      </c>
      <c r="BH96" s="2897">
        <f t="shared" si="49"/>
        <v>0</v>
      </c>
      <c r="BI96" s="2897">
        <f t="shared" si="50"/>
        <v>0</v>
      </c>
      <c r="BJ96" s="2897">
        <f t="shared" si="51"/>
        <v>0</v>
      </c>
      <c r="BK96" s="2897">
        <f t="shared" si="52"/>
        <v>0</v>
      </c>
      <c r="BL96" s="2897">
        <f t="shared" si="53"/>
        <v>0</v>
      </c>
      <c r="BM96" s="2897">
        <f t="shared" si="54"/>
        <v>0</v>
      </c>
      <c r="BN96" s="2897">
        <f t="shared" si="55"/>
        <v>0</v>
      </c>
      <c r="BO96" s="2897">
        <f t="shared" si="56"/>
        <v>0</v>
      </c>
      <c r="BP96" s="2897">
        <f t="shared" si="57"/>
        <v>0</v>
      </c>
      <c r="BQ96" s="2897">
        <f t="shared" si="58"/>
        <v>0</v>
      </c>
      <c r="BR96" s="2897">
        <f t="shared" si="59"/>
        <v>0</v>
      </c>
      <c r="BS96" s="2897">
        <f t="shared" si="60"/>
        <v>0</v>
      </c>
      <c r="BT96" s="2971">
        <f t="shared" si="61"/>
        <v>0</v>
      </c>
    </row>
    <row r="97" spans="1:72">
      <c r="A97" s="2894"/>
      <c r="B97" s="2895"/>
      <c r="C97" s="2895"/>
      <c r="D97" s="2907"/>
      <c r="E97" s="2897">
        <f t="shared" si="33"/>
        <v>0</v>
      </c>
      <c r="F97" s="2898"/>
      <c r="G97" s="2899">
        <f t="shared" si="34"/>
        <v>0</v>
      </c>
      <c r="H97" s="2900">
        <f t="shared" si="35"/>
        <v>0</v>
      </c>
      <c r="I97" s="2918"/>
      <c r="J97" s="2918"/>
      <c r="K97" s="2918"/>
      <c r="L97" s="2918"/>
      <c r="M97" s="2918"/>
      <c r="N97" s="2918"/>
      <c r="O97" s="2918"/>
      <c r="P97" s="2918"/>
      <c r="Q97" s="2918"/>
      <c r="R97" s="2918"/>
      <c r="S97" s="2918"/>
      <c r="T97" s="2918"/>
      <c r="U97" s="2918"/>
      <c r="V97" s="2918"/>
      <c r="W97" s="2918"/>
      <c r="X97" s="2918"/>
      <c r="Y97" s="2918"/>
      <c r="Z97" s="2918"/>
      <c r="AA97" s="2918"/>
      <c r="AB97" s="2918"/>
      <c r="AC97" s="2897">
        <f t="shared" si="36"/>
        <v>0</v>
      </c>
      <c r="AD97" s="2929"/>
      <c r="AE97" s="2929"/>
      <c r="AF97" s="2929"/>
      <c r="AG97" s="2929"/>
      <c r="AH97" s="2929"/>
      <c r="AI97" s="2929"/>
      <c r="AJ97" s="2929"/>
      <c r="AK97" s="2929"/>
      <c r="AL97" s="2929"/>
      <c r="AM97" s="2929"/>
      <c r="AN97" s="2929"/>
      <c r="AO97" s="2929"/>
      <c r="AP97" s="2929"/>
      <c r="AQ97" s="2929"/>
      <c r="AR97" s="2929"/>
      <c r="AS97" s="2929"/>
      <c r="AT97" s="2949"/>
      <c r="AU97" s="2950"/>
      <c r="AV97" s="454">
        <f t="shared" si="37"/>
        <v>0</v>
      </c>
      <c r="AW97" s="454">
        <f t="shared" si="38"/>
        <v>0</v>
      </c>
      <c r="AX97" s="454">
        <f t="shared" si="39"/>
        <v>0</v>
      </c>
      <c r="AY97" s="2966">
        <f t="shared" si="40"/>
        <v>0</v>
      </c>
      <c r="AZ97" s="2897">
        <f t="shared" si="41"/>
        <v>0</v>
      </c>
      <c r="BA97" s="2897">
        <f t="shared" si="42"/>
        <v>0</v>
      </c>
      <c r="BB97" s="2897">
        <f t="shared" si="43"/>
        <v>0</v>
      </c>
      <c r="BC97" s="2897">
        <f t="shared" si="44"/>
        <v>0</v>
      </c>
      <c r="BD97" s="2897">
        <f t="shared" si="45"/>
        <v>0</v>
      </c>
      <c r="BE97" s="2897">
        <f t="shared" si="46"/>
        <v>0</v>
      </c>
      <c r="BF97" s="2897">
        <f t="shared" si="47"/>
        <v>0</v>
      </c>
      <c r="BG97" s="2897">
        <f t="shared" si="48"/>
        <v>0</v>
      </c>
      <c r="BH97" s="2897">
        <f t="shared" si="49"/>
        <v>0</v>
      </c>
      <c r="BI97" s="2897">
        <f t="shared" si="50"/>
        <v>0</v>
      </c>
      <c r="BJ97" s="2897">
        <f t="shared" si="51"/>
        <v>0</v>
      </c>
      <c r="BK97" s="2897">
        <f t="shared" si="52"/>
        <v>0</v>
      </c>
      <c r="BL97" s="2897">
        <f t="shared" si="53"/>
        <v>0</v>
      </c>
      <c r="BM97" s="2897">
        <f t="shared" si="54"/>
        <v>0</v>
      </c>
      <c r="BN97" s="2897">
        <f t="shared" si="55"/>
        <v>0</v>
      </c>
      <c r="BO97" s="2897">
        <f t="shared" si="56"/>
        <v>0</v>
      </c>
      <c r="BP97" s="2897">
        <f t="shared" si="57"/>
        <v>0</v>
      </c>
      <c r="BQ97" s="2897">
        <f t="shared" si="58"/>
        <v>0</v>
      </c>
      <c r="BR97" s="2897">
        <f t="shared" si="59"/>
        <v>0</v>
      </c>
      <c r="BS97" s="2897">
        <f t="shared" si="60"/>
        <v>0</v>
      </c>
      <c r="BT97" s="2971">
        <f t="shared" si="61"/>
        <v>0</v>
      </c>
    </row>
    <row r="98" spans="1:72">
      <c r="A98" s="2894"/>
      <c r="B98" s="2895"/>
      <c r="C98" s="2895"/>
      <c r="D98" s="2907"/>
      <c r="E98" s="2897">
        <f t="shared" si="33"/>
        <v>0</v>
      </c>
      <c r="F98" s="2898"/>
      <c r="G98" s="2899">
        <f t="shared" si="34"/>
        <v>0</v>
      </c>
      <c r="H98" s="2900">
        <f t="shared" si="35"/>
        <v>0</v>
      </c>
      <c r="I98" s="2918"/>
      <c r="J98" s="2918"/>
      <c r="K98" s="2918"/>
      <c r="L98" s="2918"/>
      <c r="M98" s="2918"/>
      <c r="N98" s="2918"/>
      <c r="O98" s="2918"/>
      <c r="P98" s="2918"/>
      <c r="Q98" s="2918"/>
      <c r="R98" s="2918"/>
      <c r="S98" s="2918"/>
      <c r="T98" s="2918"/>
      <c r="U98" s="2918"/>
      <c r="V98" s="2918"/>
      <c r="W98" s="2918"/>
      <c r="X98" s="2918"/>
      <c r="Y98" s="2918"/>
      <c r="Z98" s="2918"/>
      <c r="AA98" s="2918"/>
      <c r="AB98" s="2918"/>
      <c r="AC98" s="2897">
        <f t="shared" si="36"/>
        <v>0</v>
      </c>
      <c r="AD98" s="2929"/>
      <c r="AE98" s="2929"/>
      <c r="AF98" s="2929"/>
      <c r="AG98" s="2929"/>
      <c r="AH98" s="2929"/>
      <c r="AI98" s="2929"/>
      <c r="AJ98" s="2929"/>
      <c r="AK98" s="2929"/>
      <c r="AL98" s="2929"/>
      <c r="AM98" s="2929"/>
      <c r="AN98" s="2929"/>
      <c r="AO98" s="2929"/>
      <c r="AP98" s="2929"/>
      <c r="AQ98" s="2929"/>
      <c r="AR98" s="2929"/>
      <c r="AS98" s="2929"/>
      <c r="AT98" s="2949"/>
      <c r="AU98" s="2950"/>
      <c r="AV98" s="454">
        <f t="shared" si="37"/>
        <v>0</v>
      </c>
      <c r="AW98" s="454">
        <f t="shared" si="38"/>
        <v>0</v>
      </c>
      <c r="AX98" s="454">
        <f t="shared" si="39"/>
        <v>0</v>
      </c>
      <c r="AY98" s="2966">
        <f t="shared" si="40"/>
        <v>0</v>
      </c>
      <c r="AZ98" s="2897">
        <f t="shared" si="41"/>
        <v>0</v>
      </c>
      <c r="BA98" s="2897">
        <f t="shared" si="42"/>
        <v>0</v>
      </c>
      <c r="BB98" s="2897">
        <f t="shared" si="43"/>
        <v>0</v>
      </c>
      <c r="BC98" s="2897">
        <f t="shared" si="44"/>
        <v>0</v>
      </c>
      <c r="BD98" s="2897">
        <f t="shared" si="45"/>
        <v>0</v>
      </c>
      <c r="BE98" s="2897">
        <f t="shared" si="46"/>
        <v>0</v>
      </c>
      <c r="BF98" s="2897">
        <f t="shared" si="47"/>
        <v>0</v>
      </c>
      <c r="BG98" s="2897">
        <f t="shared" si="48"/>
        <v>0</v>
      </c>
      <c r="BH98" s="2897">
        <f t="shared" si="49"/>
        <v>0</v>
      </c>
      <c r="BI98" s="2897">
        <f t="shared" si="50"/>
        <v>0</v>
      </c>
      <c r="BJ98" s="2897">
        <f t="shared" si="51"/>
        <v>0</v>
      </c>
      <c r="BK98" s="2897">
        <f t="shared" si="52"/>
        <v>0</v>
      </c>
      <c r="BL98" s="2897">
        <f t="shared" si="53"/>
        <v>0</v>
      </c>
      <c r="BM98" s="2897">
        <f t="shared" si="54"/>
        <v>0</v>
      </c>
      <c r="BN98" s="2897">
        <f t="shared" si="55"/>
        <v>0</v>
      </c>
      <c r="BO98" s="2897">
        <f t="shared" si="56"/>
        <v>0</v>
      </c>
      <c r="BP98" s="2897">
        <f t="shared" si="57"/>
        <v>0</v>
      </c>
      <c r="BQ98" s="2897">
        <f t="shared" si="58"/>
        <v>0</v>
      </c>
      <c r="BR98" s="2897">
        <f t="shared" si="59"/>
        <v>0</v>
      </c>
      <c r="BS98" s="2897">
        <f t="shared" si="60"/>
        <v>0</v>
      </c>
      <c r="BT98" s="2971">
        <f t="shared" si="61"/>
        <v>0</v>
      </c>
    </row>
    <row r="99" spans="1:72">
      <c r="A99" s="2894"/>
      <c r="B99" s="2895"/>
      <c r="C99" s="2895"/>
      <c r="D99" s="2907"/>
      <c r="E99" s="2897">
        <f t="shared" si="33"/>
        <v>0</v>
      </c>
      <c r="F99" s="2898"/>
      <c r="G99" s="2899">
        <f t="shared" si="34"/>
        <v>0</v>
      </c>
      <c r="H99" s="2900">
        <f t="shared" si="35"/>
        <v>0</v>
      </c>
      <c r="I99" s="2918"/>
      <c r="J99" s="2918"/>
      <c r="K99" s="2918"/>
      <c r="L99" s="2918"/>
      <c r="M99" s="2918"/>
      <c r="N99" s="2918"/>
      <c r="O99" s="2918"/>
      <c r="P99" s="2918"/>
      <c r="Q99" s="2918"/>
      <c r="R99" s="2918"/>
      <c r="S99" s="2918"/>
      <c r="T99" s="2918"/>
      <c r="U99" s="2918"/>
      <c r="V99" s="2918"/>
      <c r="W99" s="2918"/>
      <c r="X99" s="2918"/>
      <c r="Y99" s="2918"/>
      <c r="Z99" s="2918"/>
      <c r="AA99" s="2918"/>
      <c r="AB99" s="2918"/>
      <c r="AC99" s="2897">
        <f t="shared" si="36"/>
        <v>0</v>
      </c>
      <c r="AD99" s="2929"/>
      <c r="AE99" s="2929"/>
      <c r="AF99" s="2929"/>
      <c r="AG99" s="2929"/>
      <c r="AH99" s="2929"/>
      <c r="AI99" s="2929"/>
      <c r="AJ99" s="2929"/>
      <c r="AK99" s="2929"/>
      <c r="AL99" s="2929"/>
      <c r="AM99" s="2929"/>
      <c r="AN99" s="2929"/>
      <c r="AO99" s="2929"/>
      <c r="AP99" s="2929"/>
      <c r="AQ99" s="2929"/>
      <c r="AR99" s="2929"/>
      <c r="AS99" s="2929"/>
      <c r="AT99" s="2949"/>
      <c r="AU99" s="2950"/>
      <c r="AV99" s="454">
        <f t="shared" si="37"/>
        <v>0</v>
      </c>
      <c r="AW99" s="454">
        <f t="shared" si="38"/>
        <v>0</v>
      </c>
      <c r="AX99" s="454">
        <f t="shared" si="39"/>
        <v>0</v>
      </c>
      <c r="AY99" s="2966">
        <f t="shared" si="40"/>
        <v>0</v>
      </c>
      <c r="AZ99" s="2897">
        <f t="shared" si="41"/>
        <v>0</v>
      </c>
      <c r="BA99" s="2897">
        <f t="shared" si="42"/>
        <v>0</v>
      </c>
      <c r="BB99" s="2897">
        <f t="shared" si="43"/>
        <v>0</v>
      </c>
      <c r="BC99" s="2897">
        <f t="shared" si="44"/>
        <v>0</v>
      </c>
      <c r="BD99" s="2897">
        <f t="shared" si="45"/>
        <v>0</v>
      </c>
      <c r="BE99" s="2897">
        <f t="shared" si="46"/>
        <v>0</v>
      </c>
      <c r="BF99" s="2897">
        <f t="shared" si="47"/>
        <v>0</v>
      </c>
      <c r="BG99" s="2897">
        <f t="shared" si="48"/>
        <v>0</v>
      </c>
      <c r="BH99" s="2897">
        <f t="shared" si="49"/>
        <v>0</v>
      </c>
      <c r="BI99" s="2897">
        <f t="shared" si="50"/>
        <v>0</v>
      </c>
      <c r="BJ99" s="2897">
        <f t="shared" si="51"/>
        <v>0</v>
      </c>
      <c r="BK99" s="2897">
        <f t="shared" si="52"/>
        <v>0</v>
      </c>
      <c r="BL99" s="2897">
        <f t="shared" si="53"/>
        <v>0</v>
      </c>
      <c r="BM99" s="2897">
        <f t="shared" si="54"/>
        <v>0</v>
      </c>
      <c r="BN99" s="2897">
        <f t="shared" si="55"/>
        <v>0</v>
      </c>
      <c r="BO99" s="2897">
        <f t="shared" si="56"/>
        <v>0</v>
      </c>
      <c r="BP99" s="2897">
        <f t="shared" si="57"/>
        <v>0</v>
      </c>
      <c r="BQ99" s="2897">
        <f t="shared" si="58"/>
        <v>0</v>
      </c>
      <c r="BR99" s="2897">
        <f t="shared" si="59"/>
        <v>0</v>
      </c>
      <c r="BS99" s="2897">
        <f t="shared" si="60"/>
        <v>0</v>
      </c>
      <c r="BT99" s="2971">
        <f t="shared" si="61"/>
        <v>0</v>
      </c>
    </row>
    <row r="100" spans="1:72">
      <c r="A100" s="2894"/>
      <c r="B100" s="2895"/>
      <c r="C100" s="2895"/>
      <c r="D100" s="2907"/>
      <c r="E100" s="2897">
        <f t="shared" si="33"/>
        <v>0</v>
      </c>
      <c r="F100" s="2898"/>
      <c r="G100" s="2899">
        <f t="shared" si="34"/>
        <v>0</v>
      </c>
      <c r="H100" s="2900">
        <f t="shared" si="35"/>
        <v>0</v>
      </c>
      <c r="I100" s="2918"/>
      <c r="J100" s="2918"/>
      <c r="K100" s="2918"/>
      <c r="L100" s="2918"/>
      <c r="M100" s="2918"/>
      <c r="N100" s="2918"/>
      <c r="O100" s="2918"/>
      <c r="P100" s="2918"/>
      <c r="Q100" s="2918"/>
      <c r="R100" s="2918"/>
      <c r="S100" s="2918"/>
      <c r="T100" s="2918"/>
      <c r="U100" s="2918"/>
      <c r="V100" s="2918"/>
      <c r="W100" s="2918"/>
      <c r="X100" s="2918"/>
      <c r="Y100" s="2918"/>
      <c r="Z100" s="2918"/>
      <c r="AA100" s="2918"/>
      <c r="AB100" s="2918"/>
      <c r="AC100" s="2897">
        <f t="shared" si="36"/>
        <v>0</v>
      </c>
      <c r="AD100" s="2929"/>
      <c r="AE100" s="2929"/>
      <c r="AF100" s="2929"/>
      <c r="AG100" s="2929"/>
      <c r="AH100" s="2929"/>
      <c r="AI100" s="2929"/>
      <c r="AJ100" s="2929"/>
      <c r="AK100" s="2929"/>
      <c r="AL100" s="2929"/>
      <c r="AM100" s="2929"/>
      <c r="AN100" s="2929"/>
      <c r="AO100" s="2929"/>
      <c r="AP100" s="2929"/>
      <c r="AQ100" s="2929"/>
      <c r="AR100" s="2929"/>
      <c r="AS100" s="2929"/>
      <c r="AT100" s="2949"/>
      <c r="AU100" s="2950"/>
      <c r="AV100" s="454">
        <f t="shared" si="37"/>
        <v>0</v>
      </c>
      <c r="AW100" s="454">
        <f t="shared" si="38"/>
        <v>0</v>
      </c>
      <c r="AX100" s="454">
        <f t="shared" si="39"/>
        <v>0</v>
      </c>
      <c r="AY100" s="2966">
        <f t="shared" si="40"/>
        <v>0</v>
      </c>
      <c r="AZ100" s="2897">
        <f t="shared" si="41"/>
        <v>0</v>
      </c>
      <c r="BA100" s="2897">
        <f t="shared" si="42"/>
        <v>0</v>
      </c>
      <c r="BB100" s="2897">
        <f t="shared" si="43"/>
        <v>0</v>
      </c>
      <c r="BC100" s="2897">
        <f t="shared" si="44"/>
        <v>0</v>
      </c>
      <c r="BD100" s="2897">
        <f t="shared" si="45"/>
        <v>0</v>
      </c>
      <c r="BE100" s="2897">
        <f t="shared" si="46"/>
        <v>0</v>
      </c>
      <c r="BF100" s="2897">
        <f t="shared" si="47"/>
        <v>0</v>
      </c>
      <c r="BG100" s="2897">
        <f t="shared" si="48"/>
        <v>0</v>
      </c>
      <c r="BH100" s="2897">
        <f t="shared" si="49"/>
        <v>0</v>
      </c>
      <c r="BI100" s="2897">
        <f t="shared" si="50"/>
        <v>0</v>
      </c>
      <c r="BJ100" s="2897">
        <f t="shared" si="51"/>
        <v>0</v>
      </c>
      <c r="BK100" s="2897">
        <f t="shared" si="52"/>
        <v>0</v>
      </c>
      <c r="BL100" s="2897">
        <f t="shared" si="53"/>
        <v>0</v>
      </c>
      <c r="BM100" s="2897">
        <f t="shared" si="54"/>
        <v>0</v>
      </c>
      <c r="BN100" s="2897">
        <f t="shared" si="55"/>
        <v>0</v>
      </c>
      <c r="BO100" s="2897">
        <f t="shared" si="56"/>
        <v>0</v>
      </c>
      <c r="BP100" s="2897">
        <f t="shared" si="57"/>
        <v>0</v>
      </c>
      <c r="BQ100" s="2897">
        <f t="shared" si="58"/>
        <v>0</v>
      </c>
      <c r="BR100" s="2897">
        <f t="shared" si="59"/>
        <v>0</v>
      </c>
      <c r="BS100" s="2897">
        <f t="shared" si="60"/>
        <v>0</v>
      </c>
      <c r="BT100" s="2971">
        <f t="shared" si="61"/>
        <v>0</v>
      </c>
    </row>
    <row r="101" spans="1:72">
      <c r="A101" s="2894"/>
      <c r="B101" s="2895"/>
      <c r="C101" s="2895"/>
      <c r="D101" s="2907"/>
      <c r="E101" s="2897">
        <f t="shared" si="33"/>
        <v>0</v>
      </c>
      <c r="F101" s="2898"/>
      <c r="G101" s="2899">
        <f t="shared" si="34"/>
        <v>0</v>
      </c>
      <c r="H101" s="2900">
        <f t="shared" si="35"/>
        <v>0</v>
      </c>
      <c r="I101" s="2918"/>
      <c r="J101" s="2918"/>
      <c r="K101" s="2918"/>
      <c r="L101" s="2918"/>
      <c r="M101" s="2918"/>
      <c r="N101" s="2918"/>
      <c r="O101" s="2918"/>
      <c r="P101" s="2918"/>
      <c r="Q101" s="2918"/>
      <c r="R101" s="2918"/>
      <c r="S101" s="2918"/>
      <c r="T101" s="2918"/>
      <c r="U101" s="2918"/>
      <c r="V101" s="2918"/>
      <c r="W101" s="2918"/>
      <c r="X101" s="2918"/>
      <c r="Y101" s="2918"/>
      <c r="Z101" s="2918"/>
      <c r="AA101" s="2918"/>
      <c r="AB101" s="2918"/>
      <c r="AC101" s="2897">
        <f t="shared" si="36"/>
        <v>0</v>
      </c>
      <c r="AD101" s="2929"/>
      <c r="AE101" s="2929"/>
      <c r="AF101" s="2929"/>
      <c r="AG101" s="2929"/>
      <c r="AH101" s="2929"/>
      <c r="AI101" s="2929"/>
      <c r="AJ101" s="2929"/>
      <c r="AK101" s="2929"/>
      <c r="AL101" s="2929"/>
      <c r="AM101" s="2929"/>
      <c r="AN101" s="2929"/>
      <c r="AO101" s="2929"/>
      <c r="AP101" s="2929"/>
      <c r="AQ101" s="2929"/>
      <c r="AR101" s="2929"/>
      <c r="AS101" s="2929"/>
      <c r="AT101" s="2949"/>
      <c r="AU101" s="2950"/>
      <c r="AV101" s="454">
        <f t="shared" si="37"/>
        <v>0</v>
      </c>
      <c r="AW101" s="454">
        <f t="shared" si="38"/>
        <v>0</v>
      </c>
      <c r="AX101" s="454">
        <f t="shared" si="39"/>
        <v>0</v>
      </c>
      <c r="AY101" s="2966">
        <f t="shared" si="40"/>
        <v>0</v>
      </c>
      <c r="AZ101" s="2897">
        <f t="shared" si="41"/>
        <v>0</v>
      </c>
      <c r="BA101" s="2897">
        <f t="shared" si="42"/>
        <v>0</v>
      </c>
      <c r="BB101" s="2897">
        <f t="shared" si="43"/>
        <v>0</v>
      </c>
      <c r="BC101" s="2897">
        <f t="shared" si="44"/>
        <v>0</v>
      </c>
      <c r="BD101" s="2897">
        <f t="shared" si="45"/>
        <v>0</v>
      </c>
      <c r="BE101" s="2897">
        <f t="shared" si="46"/>
        <v>0</v>
      </c>
      <c r="BF101" s="2897">
        <f t="shared" si="47"/>
        <v>0</v>
      </c>
      <c r="BG101" s="2897">
        <f t="shared" si="48"/>
        <v>0</v>
      </c>
      <c r="BH101" s="2897">
        <f t="shared" si="49"/>
        <v>0</v>
      </c>
      <c r="BI101" s="2897">
        <f t="shared" si="50"/>
        <v>0</v>
      </c>
      <c r="BJ101" s="2897">
        <f t="shared" si="51"/>
        <v>0</v>
      </c>
      <c r="BK101" s="2897">
        <f t="shared" si="52"/>
        <v>0</v>
      </c>
      <c r="BL101" s="2897">
        <f t="shared" si="53"/>
        <v>0</v>
      </c>
      <c r="BM101" s="2897">
        <f t="shared" si="54"/>
        <v>0</v>
      </c>
      <c r="BN101" s="2897">
        <f t="shared" si="55"/>
        <v>0</v>
      </c>
      <c r="BO101" s="2897">
        <f t="shared" si="56"/>
        <v>0</v>
      </c>
      <c r="BP101" s="2897">
        <f t="shared" si="57"/>
        <v>0</v>
      </c>
      <c r="BQ101" s="2897">
        <f t="shared" si="58"/>
        <v>0</v>
      </c>
      <c r="BR101" s="2897">
        <f t="shared" si="59"/>
        <v>0</v>
      </c>
      <c r="BS101" s="2897">
        <f t="shared" si="60"/>
        <v>0</v>
      </c>
      <c r="BT101" s="2971">
        <f t="shared" si="61"/>
        <v>0</v>
      </c>
    </row>
    <row r="102" spans="1:72">
      <c r="A102" s="2894"/>
      <c r="B102" s="2895"/>
      <c r="C102" s="2895"/>
      <c r="D102" s="2907"/>
      <c r="E102" s="2897">
        <f t="shared" si="33"/>
        <v>0</v>
      </c>
      <c r="F102" s="2898"/>
      <c r="G102" s="2899">
        <f t="shared" si="34"/>
        <v>0</v>
      </c>
      <c r="H102" s="2900">
        <f t="shared" si="35"/>
        <v>0</v>
      </c>
      <c r="I102" s="2918"/>
      <c r="J102" s="2918"/>
      <c r="K102" s="2918"/>
      <c r="L102" s="2918"/>
      <c r="M102" s="2918"/>
      <c r="N102" s="2918"/>
      <c r="O102" s="2918"/>
      <c r="P102" s="2918"/>
      <c r="Q102" s="2918"/>
      <c r="R102" s="2918"/>
      <c r="S102" s="2918"/>
      <c r="T102" s="2918"/>
      <c r="U102" s="2918"/>
      <c r="V102" s="2918"/>
      <c r="W102" s="2918"/>
      <c r="X102" s="2918"/>
      <c r="Y102" s="2918"/>
      <c r="Z102" s="2918"/>
      <c r="AA102" s="2918"/>
      <c r="AB102" s="2918"/>
      <c r="AC102" s="2897">
        <f t="shared" si="36"/>
        <v>0</v>
      </c>
      <c r="AD102" s="2929"/>
      <c r="AE102" s="2929"/>
      <c r="AF102" s="2929"/>
      <c r="AG102" s="2929"/>
      <c r="AH102" s="2929"/>
      <c r="AI102" s="2929"/>
      <c r="AJ102" s="2929"/>
      <c r="AK102" s="2929"/>
      <c r="AL102" s="2929"/>
      <c r="AM102" s="2929"/>
      <c r="AN102" s="2929"/>
      <c r="AO102" s="2929"/>
      <c r="AP102" s="2929"/>
      <c r="AQ102" s="2929"/>
      <c r="AR102" s="2929"/>
      <c r="AS102" s="2929"/>
      <c r="AT102" s="2949"/>
      <c r="AU102" s="2950"/>
      <c r="AV102" s="454">
        <f t="shared" si="37"/>
        <v>0</v>
      </c>
      <c r="AW102" s="454">
        <f t="shared" si="38"/>
        <v>0</v>
      </c>
      <c r="AX102" s="454">
        <f t="shared" si="39"/>
        <v>0</v>
      </c>
      <c r="AY102" s="2966">
        <f t="shared" si="40"/>
        <v>0</v>
      </c>
      <c r="AZ102" s="2897">
        <f t="shared" si="41"/>
        <v>0</v>
      </c>
      <c r="BA102" s="2897">
        <f t="shared" si="42"/>
        <v>0</v>
      </c>
      <c r="BB102" s="2897">
        <f t="shared" si="43"/>
        <v>0</v>
      </c>
      <c r="BC102" s="2897">
        <f t="shared" si="44"/>
        <v>0</v>
      </c>
      <c r="BD102" s="2897">
        <f t="shared" si="45"/>
        <v>0</v>
      </c>
      <c r="BE102" s="2897">
        <f t="shared" si="46"/>
        <v>0</v>
      </c>
      <c r="BF102" s="2897">
        <f t="shared" si="47"/>
        <v>0</v>
      </c>
      <c r="BG102" s="2897">
        <f t="shared" si="48"/>
        <v>0</v>
      </c>
      <c r="BH102" s="2897">
        <f t="shared" si="49"/>
        <v>0</v>
      </c>
      <c r="BI102" s="2897">
        <f t="shared" si="50"/>
        <v>0</v>
      </c>
      <c r="BJ102" s="2897">
        <f t="shared" si="51"/>
        <v>0</v>
      </c>
      <c r="BK102" s="2897">
        <f t="shared" si="52"/>
        <v>0</v>
      </c>
      <c r="BL102" s="2897">
        <f t="shared" si="53"/>
        <v>0</v>
      </c>
      <c r="BM102" s="2897">
        <f t="shared" si="54"/>
        <v>0</v>
      </c>
      <c r="BN102" s="2897">
        <f t="shared" si="55"/>
        <v>0</v>
      </c>
      <c r="BO102" s="2897">
        <f t="shared" si="56"/>
        <v>0</v>
      </c>
      <c r="BP102" s="2897">
        <f t="shared" si="57"/>
        <v>0</v>
      </c>
      <c r="BQ102" s="2897">
        <f t="shared" si="58"/>
        <v>0</v>
      </c>
      <c r="BR102" s="2897">
        <f t="shared" si="59"/>
        <v>0</v>
      </c>
      <c r="BS102" s="2897">
        <f t="shared" si="60"/>
        <v>0</v>
      </c>
      <c r="BT102" s="2971">
        <f t="shared" si="61"/>
        <v>0</v>
      </c>
    </row>
    <row r="103" spans="1:72">
      <c r="A103" s="2894"/>
      <c r="B103" s="2895"/>
      <c r="C103" s="2895"/>
      <c r="D103" s="2907"/>
      <c r="E103" s="2897">
        <f t="shared" si="33"/>
        <v>0</v>
      </c>
      <c r="F103" s="2898"/>
      <c r="G103" s="2899">
        <f t="shared" si="34"/>
        <v>0</v>
      </c>
      <c r="H103" s="2900">
        <f t="shared" si="35"/>
        <v>0</v>
      </c>
      <c r="I103" s="2918"/>
      <c r="J103" s="2918"/>
      <c r="K103" s="2918"/>
      <c r="L103" s="2918"/>
      <c r="M103" s="2918"/>
      <c r="N103" s="2918"/>
      <c r="O103" s="2918"/>
      <c r="P103" s="2918"/>
      <c r="Q103" s="2918"/>
      <c r="R103" s="2918"/>
      <c r="S103" s="2918"/>
      <c r="T103" s="2918"/>
      <c r="U103" s="2918"/>
      <c r="V103" s="2918"/>
      <c r="W103" s="2918"/>
      <c r="X103" s="2918"/>
      <c r="Y103" s="2918"/>
      <c r="Z103" s="2918"/>
      <c r="AA103" s="2918"/>
      <c r="AB103" s="2918"/>
      <c r="AC103" s="2897">
        <f t="shared" si="36"/>
        <v>0</v>
      </c>
      <c r="AD103" s="2929"/>
      <c r="AE103" s="2929"/>
      <c r="AF103" s="2929"/>
      <c r="AG103" s="2929"/>
      <c r="AH103" s="2929"/>
      <c r="AI103" s="2929"/>
      <c r="AJ103" s="2929"/>
      <c r="AK103" s="2929"/>
      <c r="AL103" s="2929"/>
      <c r="AM103" s="2929"/>
      <c r="AN103" s="2929"/>
      <c r="AO103" s="2929"/>
      <c r="AP103" s="2929"/>
      <c r="AQ103" s="2929"/>
      <c r="AR103" s="2929"/>
      <c r="AS103" s="2929"/>
      <c r="AT103" s="2949"/>
      <c r="AU103" s="2950"/>
      <c r="AV103" s="454">
        <f t="shared" si="37"/>
        <v>0</v>
      </c>
      <c r="AW103" s="454">
        <f t="shared" si="38"/>
        <v>0</v>
      </c>
      <c r="AX103" s="454">
        <f t="shared" si="39"/>
        <v>0</v>
      </c>
      <c r="AY103" s="2966">
        <f t="shared" si="40"/>
        <v>0</v>
      </c>
      <c r="AZ103" s="2897">
        <f t="shared" si="41"/>
        <v>0</v>
      </c>
      <c r="BA103" s="2897">
        <f t="shared" si="42"/>
        <v>0</v>
      </c>
      <c r="BB103" s="2897">
        <f t="shared" si="43"/>
        <v>0</v>
      </c>
      <c r="BC103" s="2897">
        <f t="shared" si="44"/>
        <v>0</v>
      </c>
      <c r="BD103" s="2897">
        <f t="shared" si="45"/>
        <v>0</v>
      </c>
      <c r="BE103" s="2897">
        <f t="shared" si="46"/>
        <v>0</v>
      </c>
      <c r="BF103" s="2897">
        <f t="shared" si="47"/>
        <v>0</v>
      </c>
      <c r="BG103" s="2897">
        <f t="shared" si="48"/>
        <v>0</v>
      </c>
      <c r="BH103" s="2897">
        <f t="shared" si="49"/>
        <v>0</v>
      </c>
      <c r="BI103" s="2897">
        <f t="shared" si="50"/>
        <v>0</v>
      </c>
      <c r="BJ103" s="2897">
        <f t="shared" si="51"/>
        <v>0</v>
      </c>
      <c r="BK103" s="2897">
        <f t="shared" si="52"/>
        <v>0</v>
      </c>
      <c r="BL103" s="2897">
        <f t="shared" si="53"/>
        <v>0</v>
      </c>
      <c r="BM103" s="2897">
        <f t="shared" si="54"/>
        <v>0</v>
      </c>
      <c r="BN103" s="2897">
        <f t="shared" si="55"/>
        <v>0</v>
      </c>
      <c r="BO103" s="2897">
        <f t="shared" si="56"/>
        <v>0</v>
      </c>
      <c r="BP103" s="2897">
        <f t="shared" si="57"/>
        <v>0</v>
      </c>
      <c r="BQ103" s="2897">
        <f t="shared" si="58"/>
        <v>0</v>
      </c>
      <c r="BR103" s="2897">
        <f t="shared" si="59"/>
        <v>0</v>
      </c>
      <c r="BS103" s="2897">
        <f t="shared" si="60"/>
        <v>0</v>
      </c>
      <c r="BT103" s="2971">
        <f t="shared" si="61"/>
        <v>0</v>
      </c>
    </row>
    <row r="104" spans="1:72">
      <c r="A104" s="2894"/>
      <c r="B104" s="2895"/>
      <c r="C104" s="2895"/>
      <c r="D104" s="2907"/>
      <c r="E104" s="2897">
        <f t="shared" si="33"/>
        <v>0</v>
      </c>
      <c r="F104" s="2898"/>
      <c r="G104" s="2899">
        <f t="shared" si="34"/>
        <v>0</v>
      </c>
      <c r="H104" s="2900">
        <f t="shared" si="35"/>
        <v>0</v>
      </c>
      <c r="I104" s="2918"/>
      <c r="J104" s="2918"/>
      <c r="K104" s="2918"/>
      <c r="L104" s="2918"/>
      <c r="M104" s="2918"/>
      <c r="N104" s="2918"/>
      <c r="O104" s="2918"/>
      <c r="P104" s="2918"/>
      <c r="Q104" s="2918"/>
      <c r="R104" s="2918"/>
      <c r="S104" s="2918"/>
      <c r="T104" s="2918"/>
      <c r="U104" s="2918"/>
      <c r="V104" s="2918"/>
      <c r="W104" s="2918"/>
      <c r="X104" s="2918"/>
      <c r="Y104" s="2918"/>
      <c r="Z104" s="2918"/>
      <c r="AA104" s="2918"/>
      <c r="AB104" s="2918"/>
      <c r="AC104" s="2897">
        <f t="shared" si="36"/>
        <v>0</v>
      </c>
      <c r="AD104" s="2929"/>
      <c r="AE104" s="2929"/>
      <c r="AF104" s="2929"/>
      <c r="AG104" s="2929"/>
      <c r="AH104" s="2929"/>
      <c r="AI104" s="2929"/>
      <c r="AJ104" s="2929"/>
      <c r="AK104" s="2929"/>
      <c r="AL104" s="2929"/>
      <c r="AM104" s="2929"/>
      <c r="AN104" s="2929"/>
      <c r="AO104" s="2929"/>
      <c r="AP104" s="2929"/>
      <c r="AQ104" s="2929"/>
      <c r="AR104" s="2929"/>
      <c r="AS104" s="2929"/>
      <c r="AT104" s="2949"/>
      <c r="AU104" s="2950"/>
      <c r="AV104" s="454">
        <f t="shared" si="37"/>
        <v>0</v>
      </c>
      <c r="AW104" s="454">
        <f t="shared" si="38"/>
        <v>0</v>
      </c>
      <c r="AX104" s="454">
        <f t="shared" si="39"/>
        <v>0</v>
      </c>
      <c r="AY104" s="2966">
        <f t="shared" si="40"/>
        <v>0</v>
      </c>
      <c r="AZ104" s="2897">
        <f t="shared" si="41"/>
        <v>0</v>
      </c>
      <c r="BA104" s="2897">
        <f t="shared" si="42"/>
        <v>0</v>
      </c>
      <c r="BB104" s="2897">
        <f t="shared" si="43"/>
        <v>0</v>
      </c>
      <c r="BC104" s="2897">
        <f t="shared" si="44"/>
        <v>0</v>
      </c>
      <c r="BD104" s="2897">
        <f t="shared" si="45"/>
        <v>0</v>
      </c>
      <c r="BE104" s="2897">
        <f t="shared" si="46"/>
        <v>0</v>
      </c>
      <c r="BF104" s="2897">
        <f t="shared" si="47"/>
        <v>0</v>
      </c>
      <c r="BG104" s="2897">
        <f t="shared" si="48"/>
        <v>0</v>
      </c>
      <c r="BH104" s="2897">
        <f t="shared" si="49"/>
        <v>0</v>
      </c>
      <c r="BI104" s="2897">
        <f t="shared" si="50"/>
        <v>0</v>
      </c>
      <c r="BJ104" s="2897">
        <f t="shared" si="51"/>
        <v>0</v>
      </c>
      <c r="BK104" s="2897">
        <f t="shared" si="52"/>
        <v>0</v>
      </c>
      <c r="BL104" s="2897">
        <f t="shared" si="53"/>
        <v>0</v>
      </c>
      <c r="BM104" s="2897">
        <f t="shared" si="54"/>
        <v>0</v>
      </c>
      <c r="BN104" s="2897">
        <f t="shared" si="55"/>
        <v>0</v>
      </c>
      <c r="BO104" s="2897">
        <f t="shared" si="56"/>
        <v>0</v>
      </c>
      <c r="BP104" s="2897">
        <f t="shared" si="57"/>
        <v>0</v>
      </c>
      <c r="BQ104" s="2897">
        <f t="shared" si="58"/>
        <v>0</v>
      </c>
      <c r="BR104" s="2897">
        <f t="shared" si="59"/>
        <v>0</v>
      </c>
      <c r="BS104" s="2897">
        <f t="shared" si="60"/>
        <v>0</v>
      </c>
      <c r="BT104" s="2971">
        <f t="shared" si="61"/>
        <v>0</v>
      </c>
    </row>
    <row r="105" spans="1:72">
      <c r="A105" s="2894"/>
      <c r="B105" s="2895"/>
      <c r="C105" s="2895"/>
      <c r="D105" s="2907"/>
      <c r="E105" s="2897">
        <f t="shared" si="33"/>
        <v>0</v>
      </c>
      <c r="F105" s="2898"/>
      <c r="G105" s="2899">
        <f t="shared" si="34"/>
        <v>0</v>
      </c>
      <c r="H105" s="2900">
        <f t="shared" si="35"/>
        <v>0</v>
      </c>
      <c r="I105" s="2918"/>
      <c r="J105" s="2918"/>
      <c r="K105" s="2918"/>
      <c r="L105" s="2918"/>
      <c r="M105" s="2918"/>
      <c r="N105" s="2918"/>
      <c r="O105" s="2918"/>
      <c r="P105" s="2918"/>
      <c r="Q105" s="2918"/>
      <c r="R105" s="2918"/>
      <c r="S105" s="2918"/>
      <c r="T105" s="2918"/>
      <c r="U105" s="2918"/>
      <c r="V105" s="2918"/>
      <c r="W105" s="2918"/>
      <c r="X105" s="2918"/>
      <c r="Y105" s="2918"/>
      <c r="Z105" s="2918"/>
      <c r="AA105" s="2918"/>
      <c r="AB105" s="2918"/>
      <c r="AC105" s="2897">
        <f t="shared" si="36"/>
        <v>0</v>
      </c>
      <c r="AD105" s="2929"/>
      <c r="AE105" s="2929"/>
      <c r="AF105" s="2929"/>
      <c r="AG105" s="2929"/>
      <c r="AH105" s="2929"/>
      <c r="AI105" s="2929"/>
      <c r="AJ105" s="2929"/>
      <c r="AK105" s="2929"/>
      <c r="AL105" s="2929"/>
      <c r="AM105" s="2929"/>
      <c r="AN105" s="2929"/>
      <c r="AO105" s="2929"/>
      <c r="AP105" s="2929"/>
      <c r="AQ105" s="2929"/>
      <c r="AR105" s="2929"/>
      <c r="AS105" s="2929"/>
      <c r="AT105" s="2949"/>
      <c r="AU105" s="2950"/>
      <c r="AV105" s="454">
        <f t="shared" si="37"/>
        <v>0</v>
      </c>
      <c r="AW105" s="454">
        <f t="shared" si="38"/>
        <v>0</v>
      </c>
      <c r="AX105" s="454">
        <f t="shared" si="39"/>
        <v>0</v>
      </c>
      <c r="AY105" s="2966">
        <f t="shared" si="40"/>
        <v>0</v>
      </c>
      <c r="AZ105" s="2897">
        <f t="shared" si="41"/>
        <v>0</v>
      </c>
      <c r="BA105" s="2897">
        <f t="shared" si="42"/>
        <v>0</v>
      </c>
      <c r="BB105" s="2897">
        <f t="shared" si="43"/>
        <v>0</v>
      </c>
      <c r="BC105" s="2897">
        <f t="shared" si="44"/>
        <v>0</v>
      </c>
      <c r="BD105" s="2897">
        <f t="shared" si="45"/>
        <v>0</v>
      </c>
      <c r="BE105" s="2897">
        <f t="shared" si="46"/>
        <v>0</v>
      </c>
      <c r="BF105" s="2897">
        <f t="shared" si="47"/>
        <v>0</v>
      </c>
      <c r="BG105" s="2897">
        <f t="shared" si="48"/>
        <v>0</v>
      </c>
      <c r="BH105" s="2897">
        <f t="shared" si="49"/>
        <v>0</v>
      </c>
      <c r="BI105" s="2897">
        <f t="shared" si="50"/>
        <v>0</v>
      </c>
      <c r="BJ105" s="2897">
        <f t="shared" si="51"/>
        <v>0</v>
      </c>
      <c r="BK105" s="2897">
        <f t="shared" si="52"/>
        <v>0</v>
      </c>
      <c r="BL105" s="2897">
        <f t="shared" si="53"/>
        <v>0</v>
      </c>
      <c r="BM105" s="2897">
        <f t="shared" si="54"/>
        <v>0</v>
      </c>
      <c r="BN105" s="2897">
        <f t="shared" si="55"/>
        <v>0</v>
      </c>
      <c r="BO105" s="2897">
        <f t="shared" si="56"/>
        <v>0</v>
      </c>
      <c r="BP105" s="2897">
        <f t="shared" si="57"/>
        <v>0</v>
      </c>
      <c r="BQ105" s="2897">
        <f t="shared" si="58"/>
        <v>0</v>
      </c>
      <c r="BR105" s="2897">
        <f t="shared" si="59"/>
        <v>0</v>
      </c>
      <c r="BS105" s="2897">
        <f t="shared" si="60"/>
        <v>0</v>
      </c>
      <c r="BT105" s="2971">
        <f t="shared" si="61"/>
        <v>0</v>
      </c>
    </row>
    <row r="106" spans="1:72">
      <c r="A106" s="2894"/>
      <c r="B106" s="2895"/>
      <c r="C106" s="2895"/>
      <c r="D106" s="2907"/>
      <c r="E106" s="2897">
        <f t="shared" si="33"/>
        <v>0</v>
      </c>
      <c r="F106" s="2898"/>
      <c r="G106" s="2899">
        <f t="shared" si="34"/>
        <v>0</v>
      </c>
      <c r="H106" s="2900">
        <f t="shared" si="35"/>
        <v>0</v>
      </c>
      <c r="I106" s="2918"/>
      <c r="J106" s="2918"/>
      <c r="K106" s="2918"/>
      <c r="L106" s="2918"/>
      <c r="M106" s="2918"/>
      <c r="N106" s="2918"/>
      <c r="O106" s="2918"/>
      <c r="P106" s="2918"/>
      <c r="Q106" s="2918"/>
      <c r="R106" s="2918"/>
      <c r="S106" s="2918"/>
      <c r="T106" s="2918"/>
      <c r="U106" s="2918"/>
      <c r="V106" s="2918"/>
      <c r="W106" s="2918"/>
      <c r="X106" s="2918"/>
      <c r="Y106" s="2918"/>
      <c r="Z106" s="2918"/>
      <c r="AA106" s="2918"/>
      <c r="AB106" s="2918"/>
      <c r="AC106" s="2897">
        <f t="shared" si="36"/>
        <v>0</v>
      </c>
      <c r="AD106" s="2929"/>
      <c r="AE106" s="2929"/>
      <c r="AF106" s="2929"/>
      <c r="AG106" s="2929"/>
      <c r="AH106" s="2929"/>
      <c r="AI106" s="2929"/>
      <c r="AJ106" s="2929"/>
      <c r="AK106" s="2929"/>
      <c r="AL106" s="2929"/>
      <c r="AM106" s="2929"/>
      <c r="AN106" s="2929"/>
      <c r="AO106" s="2929"/>
      <c r="AP106" s="2929"/>
      <c r="AQ106" s="2929"/>
      <c r="AR106" s="2929"/>
      <c r="AS106" s="2929"/>
      <c r="AT106" s="2949"/>
      <c r="AU106" s="2950"/>
      <c r="AV106" s="454">
        <f t="shared" si="37"/>
        <v>0</v>
      </c>
      <c r="AW106" s="454">
        <f t="shared" si="38"/>
        <v>0</v>
      </c>
      <c r="AX106" s="454">
        <f t="shared" si="39"/>
        <v>0</v>
      </c>
      <c r="AY106" s="2966">
        <f t="shared" si="40"/>
        <v>0</v>
      </c>
      <c r="AZ106" s="2897">
        <f t="shared" si="41"/>
        <v>0</v>
      </c>
      <c r="BA106" s="2897">
        <f t="shared" si="42"/>
        <v>0</v>
      </c>
      <c r="BB106" s="2897">
        <f t="shared" si="43"/>
        <v>0</v>
      </c>
      <c r="BC106" s="2897">
        <f t="shared" si="44"/>
        <v>0</v>
      </c>
      <c r="BD106" s="2897">
        <f t="shared" si="45"/>
        <v>0</v>
      </c>
      <c r="BE106" s="2897">
        <f t="shared" si="46"/>
        <v>0</v>
      </c>
      <c r="BF106" s="2897">
        <f t="shared" si="47"/>
        <v>0</v>
      </c>
      <c r="BG106" s="2897">
        <f t="shared" si="48"/>
        <v>0</v>
      </c>
      <c r="BH106" s="2897">
        <f t="shared" si="49"/>
        <v>0</v>
      </c>
      <c r="BI106" s="2897">
        <f t="shared" si="50"/>
        <v>0</v>
      </c>
      <c r="BJ106" s="2897">
        <f t="shared" si="51"/>
        <v>0</v>
      </c>
      <c r="BK106" s="2897">
        <f t="shared" si="52"/>
        <v>0</v>
      </c>
      <c r="BL106" s="2897">
        <f t="shared" si="53"/>
        <v>0</v>
      </c>
      <c r="BM106" s="2897">
        <f t="shared" si="54"/>
        <v>0</v>
      </c>
      <c r="BN106" s="2897">
        <f t="shared" si="55"/>
        <v>0</v>
      </c>
      <c r="BO106" s="2897">
        <f t="shared" si="56"/>
        <v>0</v>
      </c>
      <c r="BP106" s="2897">
        <f t="shared" si="57"/>
        <v>0</v>
      </c>
      <c r="BQ106" s="2897">
        <f t="shared" si="58"/>
        <v>0</v>
      </c>
      <c r="BR106" s="2897">
        <f t="shared" si="59"/>
        <v>0</v>
      </c>
      <c r="BS106" s="2897">
        <f t="shared" si="60"/>
        <v>0</v>
      </c>
      <c r="BT106" s="2971">
        <f t="shared" si="61"/>
        <v>0</v>
      </c>
    </row>
    <row r="107" spans="1:72">
      <c r="A107" s="2894"/>
      <c r="B107" s="2895"/>
      <c r="C107" s="2895"/>
      <c r="D107" s="2907"/>
      <c r="E107" s="2897">
        <f t="shared" si="33"/>
        <v>0</v>
      </c>
      <c r="F107" s="2898"/>
      <c r="G107" s="2899">
        <f t="shared" si="34"/>
        <v>0</v>
      </c>
      <c r="H107" s="2900">
        <f t="shared" si="35"/>
        <v>0</v>
      </c>
      <c r="I107" s="2918"/>
      <c r="J107" s="2918"/>
      <c r="K107" s="2918"/>
      <c r="L107" s="2918"/>
      <c r="M107" s="2918"/>
      <c r="N107" s="2918"/>
      <c r="O107" s="2918"/>
      <c r="P107" s="2918"/>
      <c r="Q107" s="2918"/>
      <c r="R107" s="2918"/>
      <c r="S107" s="2918"/>
      <c r="T107" s="2918"/>
      <c r="U107" s="2918"/>
      <c r="V107" s="2918"/>
      <c r="W107" s="2918"/>
      <c r="X107" s="2918"/>
      <c r="Y107" s="2918"/>
      <c r="Z107" s="2918"/>
      <c r="AA107" s="2918"/>
      <c r="AB107" s="2918"/>
      <c r="AC107" s="2897">
        <f t="shared" si="36"/>
        <v>0</v>
      </c>
      <c r="AD107" s="2929"/>
      <c r="AE107" s="2929"/>
      <c r="AF107" s="2929"/>
      <c r="AG107" s="2929"/>
      <c r="AH107" s="2929"/>
      <c r="AI107" s="2929"/>
      <c r="AJ107" s="2929"/>
      <c r="AK107" s="2929"/>
      <c r="AL107" s="2929"/>
      <c r="AM107" s="2929"/>
      <c r="AN107" s="2929"/>
      <c r="AO107" s="2929"/>
      <c r="AP107" s="2929"/>
      <c r="AQ107" s="2929"/>
      <c r="AR107" s="2929"/>
      <c r="AS107" s="2929"/>
      <c r="AT107" s="2949"/>
      <c r="AU107" s="2950"/>
      <c r="AV107" s="454">
        <f t="shared" si="37"/>
        <v>0</v>
      </c>
      <c r="AW107" s="454">
        <f t="shared" si="38"/>
        <v>0</v>
      </c>
      <c r="AX107" s="454">
        <f t="shared" si="39"/>
        <v>0</v>
      </c>
      <c r="AY107" s="2966">
        <f t="shared" si="40"/>
        <v>0</v>
      </c>
      <c r="AZ107" s="2897">
        <f t="shared" si="41"/>
        <v>0</v>
      </c>
      <c r="BA107" s="2897">
        <f t="shared" si="42"/>
        <v>0</v>
      </c>
      <c r="BB107" s="2897">
        <f t="shared" si="43"/>
        <v>0</v>
      </c>
      <c r="BC107" s="2897">
        <f t="shared" si="44"/>
        <v>0</v>
      </c>
      <c r="BD107" s="2897">
        <f t="shared" si="45"/>
        <v>0</v>
      </c>
      <c r="BE107" s="2897">
        <f t="shared" si="46"/>
        <v>0</v>
      </c>
      <c r="BF107" s="2897">
        <f t="shared" si="47"/>
        <v>0</v>
      </c>
      <c r="BG107" s="2897">
        <f t="shared" si="48"/>
        <v>0</v>
      </c>
      <c r="BH107" s="2897">
        <f t="shared" si="49"/>
        <v>0</v>
      </c>
      <c r="BI107" s="2897">
        <f t="shared" si="50"/>
        <v>0</v>
      </c>
      <c r="BJ107" s="2897">
        <f t="shared" si="51"/>
        <v>0</v>
      </c>
      <c r="BK107" s="2897">
        <f t="shared" si="52"/>
        <v>0</v>
      </c>
      <c r="BL107" s="2897">
        <f t="shared" si="53"/>
        <v>0</v>
      </c>
      <c r="BM107" s="2897">
        <f t="shared" si="54"/>
        <v>0</v>
      </c>
      <c r="BN107" s="2897">
        <f t="shared" si="55"/>
        <v>0</v>
      </c>
      <c r="BO107" s="2897">
        <f t="shared" si="56"/>
        <v>0</v>
      </c>
      <c r="BP107" s="2897">
        <f t="shared" si="57"/>
        <v>0</v>
      </c>
      <c r="BQ107" s="2897">
        <f t="shared" si="58"/>
        <v>0</v>
      </c>
      <c r="BR107" s="2897">
        <f t="shared" si="59"/>
        <v>0</v>
      </c>
      <c r="BS107" s="2897">
        <f t="shared" si="60"/>
        <v>0</v>
      </c>
      <c r="BT107" s="2971">
        <f t="shared" si="61"/>
        <v>0</v>
      </c>
    </row>
    <row r="108" spans="1:72">
      <c r="A108" s="2894"/>
      <c r="B108" s="2895"/>
      <c r="C108" s="2895"/>
      <c r="D108" s="2907"/>
      <c r="E108" s="2897">
        <f t="shared" si="33"/>
        <v>0</v>
      </c>
      <c r="F108" s="2898"/>
      <c r="G108" s="2899">
        <f t="shared" si="34"/>
        <v>0</v>
      </c>
      <c r="H108" s="2900">
        <f t="shared" si="35"/>
        <v>0</v>
      </c>
      <c r="I108" s="2918"/>
      <c r="J108" s="2918"/>
      <c r="K108" s="2918"/>
      <c r="L108" s="2918"/>
      <c r="M108" s="2918"/>
      <c r="N108" s="2918"/>
      <c r="O108" s="2918"/>
      <c r="P108" s="2918"/>
      <c r="Q108" s="2918"/>
      <c r="R108" s="2918"/>
      <c r="S108" s="2918"/>
      <c r="T108" s="2918"/>
      <c r="U108" s="2918"/>
      <c r="V108" s="2918"/>
      <c r="W108" s="2918"/>
      <c r="X108" s="2918"/>
      <c r="Y108" s="2918"/>
      <c r="Z108" s="2918"/>
      <c r="AA108" s="2918"/>
      <c r="AB108" s="2918"/>
      <c r="AC108" s="2897">
        <f t="shared" si="36"/>
        <v>0</v>
      </c>
      <c r="AD108" s="2929"/>
      <c r="AE108" s="2929"/>
      <c r="AF108" s="2929"/>
      <c r="AG108" s="2929"/>
      <c r="AH108" s="2929"/>
      <c r="AI108" s="2929"/>
      <c r="AJ108" s="2929"/>
      <c r="AK108" s="2929"/>
      <c r="AL108" s="2929"/>
      <c r="AM108" s="2929"/>
      <c r="AN108" s="2929"/>
      <c r="AO108" s="2929"/>
      <c r="AP108" s="2929"/>
      <c r="AQ108" s="2929"/>
      <c r="AR108" s="2929"/>
      <c r="AS108" s="2929"/>
      <c r="AT108" s="2949"/>
      <c r="AU108" s="2950"/>
      <c r="AV108" s="454">
        <f t="shared" si="37"/>
        <v>0</v>
      </c>
      <c r="AW108" s="454">
        <f t="shared" si="38"/>
        <v>0</v>
      </c>
      <c r="AX108" s="454">
        <f t="shared" si="39"/>
        <v>0</v>
      </c>
      <c r="AY108" s="2966">
        <f t="shared" si="40"/>
        <v>0</v>
      </c>
      <c r="AZ108" s="2897">
        <f t="shared" si="41"/>
        <v>0</v>
      </c>
      <c r="BA108" s="2897">
        <f t="shared" si="42"/>
        <v>0</v>
      </c>
      <c r="BB108" s="2897">
        <f t="shared" si="43"/>
        <v>0</v>
      </c>
      <c r="BC108" s="2897">
        <f t="shared" si="44"/>
        <v>0</v>
      </c>
      <c r="BD108" s="2897">
        <f t="shared" si="45"/>
        <v>0</v>
      </c>
      <c r="BE108" s="2897">
        <f t="shared" si="46"/>
        <v>0</v>
      </c>
      <c r="BF108" s="2897">
        <f t="shared" si="47"/>
        <v>0</v>
      </c>
      <c r="BG108" s="2897">
        <f t="shared" si="48"/>
        <v>0</v>
      </c>
      <c r="BH108" s="2897">
        <f t="shared" si="49"/>
        <v>0</v>
      </c>
      <c r="BI108" s="2897">
        <f t="shared" si="50"/>
        <v>0</v>
      </c>
      <c r="BJ108" s="2897">
        <f t="shared" si="51"/>
        <v>0</v>
      </c>
      <c r="BK108" s="2897">
        <f t="shared" si="52"/>
        <v>0</v>
      </c>
      <c r="BL108" s="2897">
        <f t="shared" si="53"/>
        <v>0</v>
      </c>
      <c r="BM108" s="2897">
        <f t="shared" si="54"/>
        <v>0</v>
      </c>
      <c r="BN108" s="2897">
        <f t="shared" si="55"/>
        <v>0</v>
      </c>
      <c r="BO108" s="2897">
        <f t="shared" si="56"/>
        <v>0</v>
      </c>
      <c r="BP108" s="2897">
        <f t="shared" si="57"/>
        <v>0</v>
      </c>
      <c r="BQ108" s="2897">
        <f t="shared" si="58"/>
        <v>0</v>
      </c>
      <c r="BR108" s="2897">
        <f t="shared" si="59"/>
        <v>0</v>
      </c>
      <c r="BS108" s="2897">
        <f t="shared" si="60"/>
        <v>0</v>
      </c>
      <c r="BT108" s="2971">
        <f t="shared" si="61"/>
        <v>0</v>
      </c>
    </row>
    <row r="109" spans="1:72">
      <c r="A109" s="2894"/>
      <c r="B109" s="2895"/>
      <c r="C109" s="2895"/>
      <c r="D109" s="2907"/>
      <c r="E109" s="2897">
        <f t="shared" si="33"/>
        <v>0</v>
      </c>
      <c r="F109" s="2898"/>
      <c r="G109" s="2899">
        <f t="shared" si="34"/>
        <v>0</v>
      </c>
      <c r="H109" s="2900">
        <f t="shared" si="35"/>
        <v>0</v>
      </c>
      <c r="I109" s="2918"/>
      <c r="J109" s="2918"/>
      <c r="K109" s="2918"/>
      <c r="L109" s="2918"/>
      <c r="M109" s="2918"/>
      <c r="N109" s="2918"/>
      <c r="O109" s="2918"/>
      <c r="P109" s="2918"/>
      <c r="Q109" s="2918"/>
      <c r="R109" s="2918"/>
      <c r="S109" s="2918"/>
      <c r="T109" s="2918"/>
      <c r="U109" s="2918"/>
      <c r="V109" s="2918"/>
      <c r="W109" s="2918"/>
      <c r="X109" s="2918"/>
      <c r="Y109" s="2918"/>
      <c r="Z109" s="2918"/>
      <c r="AA109" s="2918"/>
      <c r="AB109" s="2918"/>
      <c r="AC109" s="2897">
        <f t="shared" si="36"/>
        <v>0</v>
      </c>
      <c r="AD109" s="2929"/>
      <c r="AE109" s="2929"/>
      <c r="AF109" s="2929"/>
      <c r="AG109" s="2929"/>
      <c r="AH109" s="2929"/>
      <c r="AI109" s="2929"/>
      <c r="AJ109" s="2929"/>
      <c r="AK109" s="2929"/>
      <c r="AL109" s="2929"/>
      <c r="AM109" s="2929"/>
      <c r="AN109" s="2929"/>
      <c r="AO109" s="2929"/>
      <c r="AP109" s="2929"/>
      <c r="AQ109" s="2929"/>
      <c r="AR109" s="2929"/>
      <c r="AS109" s="2929"/>
      <c r="AT109" s="2949"/>
      <c r="AU109" s="2950"/>
      <c r="AV109" s="454">
        <f t="shared" si="37"/>
        <v>0</v>
      </c>
      <c r="AW109" s="454">
        <f t="shared" si="38"/>
        <v>0</v>
      </c>
      <c r="AX109" s="454">
        <f t="shared" si="39"/>
        <v>0</v>
      </c>
      <c r="AY109" s="2966">
        <f t="shared" si="40"/>
        <v>0</v>
      </c>
      <c r="AZ109" s="2897">
        <f t="shared" si="41"/>
        <v>0</v>
      </c>
      <c r="BA109" s="2897">
        <f t="shared" si="42"/>
        <v>0</v>
      </c>
      <c r="BB109" s="2897">
        <f t="shared" si="43"/>
        <v>0</v>
      </c>
      <c r="BC109" s="2897">
        <f t="shared" si="44"/>
        <v>0</v>
      </c>
      <c r="BD109" s="2897">
        <f t="shared" si="45"/>
        <v>0</v>
      </c>
      <c r="BE109" s="2897">
        <f t="shared" si="46"/>
        <v>0</v>
      </c>
      <c r="BF109" s="2897">
        <f t="shared" si="47"/>
        <v>0</v>
      </c>
      <c r="BG109" s="2897">
        <f t="shared" si="48"/>
        <v>0</v>
      </c>
      <c r="BH109" s="2897">
        <f t="shared" si="49"/>
        <v>0</v>
      </c>
      <c r="BI109" s="2897">
        <f t="shared" si="50"/>
        <v>0</v>
      </c>
      <c r="BJ109" s="2897">
        <f t="shared" si="51"/>
        <v>0</v>
      </c>
      <c r="BK109" s="2897">
        <f t="shared" si="52"/>
        <v>0</v>
      </c>
      <c r="BL109" s="2897">
        <f t="shared" si="53"/>
        <v>0</v>
      </c>
      <c r="BM109" s="2897">
        <f t="shared" si="54"/>
        <v>0</v>
      </c>
      <c r="BN109" s="2897">
        <f t="shared" si="55"/>
        <v>0</v>
      </c>
      <c r="BO109" s="2897">
        <f t="shared" si="56"/>
        <v>0</v>
      </c>
      <c r="BP109" s="2897">
        <f t="shared" si="57"/>
        <v>0</v>
      </c>
      <c r="BQ109" s="2897">
        <f t="shared" si="58"/>
        <v>0</v>
      </c>
      <c r="BR109" s="2897">
        <f t="shared" si="59"/>
        <v>0</v>
      </c>
      <c r="BS109" s="2897">
        <f t="shared" si="60"/>
        <v>0</v>
      </c>
      <c r="BT109" s="2971">
        <f t="shared" si="61"/>
        <v>0</v>
      </c>
    </row>
    <row r="110" spans="1:72">
      <c r="A110" s="2894"/>
      <c r="B110" s="2894"/>
      <c r="C110" s="2894"/>
      <c r="D110" s="2907"/>
      <c r="E110" s="2897">
        <f t="shared" si="33"/>
        <v>0</v>
      </c>
      <c r="F110" s="2972"/>
      <c r="G110" s="2899">
        <f t="shared" ref="G110:G141" si="62">H110+AC110+AT110</f>
        <v>0</v>
      </c>
      <c r="H110" s="2900">
        <f t="shared" ref="H110:H141" si="63">SUMIF(I$12:AB$12,"总值",I110:AB110)</f>
        <v>0</v>
      </c>
      <c r="I110" s="2973"/>
      <c r="J110" s="2973"/>
      <c r="K110" s="2918"/>
      <c r="L110" s="2918"/>
      <c r="M110" s="2918"/>
      <c r="N110" s="2918"/>
      <c r="O110" s="2918"/>
      <c r="P110" s="2918"/>
      <c r="Q110" s="2918"/>
      <c r="R110" s="2918"/>
      <c r="S110" s="2918"/>
      <c r="T110" s="2918"/>
      <c r="U110" s="2918"/>
      <c r="V110" s="2918"/>
      <c r="W110" s="2918"/>
      <c r="X110" s="2918"/>
      <c r="Y110" s="2918"/>
      <c r="Z110" s="2918"/>
      <c r="AA110" s="2918"/>
      <c r="AB110" s="2918"/>
      <c r="AC110" s="2897">
        <f t="shared" ref="AC110:AC141" si="64">SUMIF(AD$12:AS$12,"总值",AD110:AS110)</f>
        <v>0</v>
      </c>
      <c r="AD110" s="2929"/>
      <c r="AE110" s="2929"/>
      <c r="AF110" s="2929"/>
      <c r="AG110" s="2929"/>
      <c r="AH110" s="2929"/>
      <c r="AI110" s="2929"/>
      <c r="AJ110" s="2929"/>
      <c r="AK110" s="2929"/>
      <c r="AL110" s="2929"/>
      <c r="AM110" s="2929"/>
      <c r="AN110" s="2929"/>
      <c r="AO110" s="2929"/>
      <c r="AP110" s="2929"/>
      <c r="AQ110" s="2929"/>
      <c r="AR110" s="2929"/>
      <c r="AS110" s="2929"/>
      <c r="AT110" s="2929"/>
      <c r="AU110" s="2974"/>
      <c r="AV110" s="454">
        <f t="shared" si="37"/>
        <v>0</v>
      </c>
      <c r="AW110" s="454">
        <f t="shared" si="38"/>
        <v>0</v>
      </c>
      <c r="AX110" s="454">
        <f t="shared" si="39"/>
        <v>0</v>
      </c>
      <c r="AY110" s="2966">
        <f t="shared" ref="AY110:AY141" si="65">ROUND($AY$6*AZ110/$AZ$5,2)</f>
        <v>0</v>
      </c>
      <c r="AZ110" s="2897">
        <f t="shared" ref="AZ110:AZ141" si="66">BA110+BL110</f>
        <v>0</v>
      </c>
      <c r="BA110" s="2897">
        <f t="shared" ref="BA110:BA141" si="67">SUM(BB110:BK110)</f>
        <v>0</v>
      </c>
      <c r="BB110" s="2897">
        <f t="shared" ref="BB110:BB141" si="68">IF($D110="是",I110-J110,0)</f>
        <v>0</v>
      </c>
      <c r="BC110" s="2897">
        <f t="shared" ref="BC110:BC141" si="69">IF($D110="是",K110-L110,0)</f>
        <v>0</v>
      </c>
      <c r="BD110" s="2897">
        <f t="shared" ref="BD110:BD141" si="70">IF($D110="是",M110-N110,0)</f>
        <v>0</v>
      </c>
      <c r="BE110" s="2897">
        <f t="shared" ref="BE110:BE141" si="71">IF($D110="是",O110-P110,0)</f>
        <v>0</v>
      </c>
      <c r="BF110" s="2897">
        <f t="shared" ref="BF110:BF141" si="72">IF($D110="是",Q110-R110,0)</f>
        <v>0</v>
      </c>
      <c r="BG110" s="2897">
        <f t="shared" ref="BG110:BG141" si="73">IF($D110="是",S110-T110,0)</f>
        <v>0</v>
      </c>
      <c r="BH110" s="2897">
        <f t="shared" ref="BH110:BH141" si="74">IF($D110="是",U110-V110,0)</f>
        <v>0</v>
      </c>
      <c r="BI110" s="2897">
        <f t="shared" ref="BI110:BI141" si="75">IF($D110="是",W110-X110,0)</f>
        <v>0</v>
      </c>
      <c r="BJ110" s="2897">
        <f t="shared" ref="BJ110:BJ141" si="76">IF($D110="是",Y110-Z110,0)</f>
        <v>0</v>
      </c>
      <c r="BK110" s="2897">
        <f t="shared" ref="BK110:BK141" si="77">IF($D110="是",AA110-AB110,0)</f>
        <v>0</v>
      </c>
      <c r="BL110" s="2897">
        <f t="shared" ref="BL110:BL141" si="78">SUM(BM110:BT110)</f>
        <v>0</v>
      </c>
      <c r="BM110" s="2897">
        <f t="shared" ref="BM110:BM141" si="79">IF($D110="是",AD110-AE110,0)</f>
        <v>0</v>
      </c>
      <c r="BN110" s="2897">
        <f t="shared" ref="BN110:BN141" si="80">IF($D110="是",AF110-AG110,0)</f>
        <v>0</v>
      </c>
      <c r="BO110" s="2897">
        <f t="shared" ref="BO110:BO141" si="81">IF($D110="是",AH110-AI110,0)</f>
        <v>0</v>
      </c>
      <c r="BP110" s="2897">
        <f t="shared" ref="BP110:BP141" si="82">IF($D110="是",AJ110-AK110,0)</f>
        <v>0</v>
      </c>
      <c r="BQ110" s="2897">
        <f t="shared" ref="BQ110:BQ141" si="83">IF($D110="是",AL110-AM110,0)</f>
        <v>0</v>
      </c>
      <c r="BR110" s="2897">
        <f t="shared" ref="BR110:BR141" si="84">IF($D110="是",AN110-AO110,0)</f>
        <v>0</v>
      </c>
      <c r="BS110" s="2897">
        <f t="shared" ref="BS110:BS141" si="85">IF($D110="是",AP110-AQ110,0)</f>
        <v>0</v>
      </c>
      <c r="BT110" s="2971">
        <f t="shared" ref="BT110:BT141" si="86">IF($D110="是",AR110-AS110,0)</f>
        <v>0</v>
      </c>
    </row>
    <row r="111" spans="1:72">
      <c r="A111" s="2894"/>
      <c r="B111" s="2894"/>
      <c r="C111" s="2894"/>
      <c r="D111" s="2907"/>
      <c r="E111" s="2897">
        <f t="shared" si="33"/>
        <v>0</v>
      </c>
      <c r="F111" s="2972"/>
      <c r="G111" s="2899">
        <f t="shared" si="62"/>
        <v>0</v>
      </c>
      <c r="H111" s="2900">
        <f t="shared" si="63"/>
        <v>0</v>
      </c>
      <c r="I111" s="2918"/>
      <c r="J111" s="2918"/>
      <c r="K111" s="2918"/>
      <c r="L111" s="2918"/>
      <c r="M111" s="2918"/>
      <c r="N111" s="2918"/>
      <c r="O111" s="2918"/>
      <c r="P111" s="2918"/>
      <c r="Q111" s="2918"/>
      <c r="R111" s="2918"/>
      <c r="S111" s="2918"/>
      <c r="T111" s="2918"/>
      <c r="U111" s="2918"/>
      <c r="V111" s="2918"/>
      <c r="W111" s="2918"/>
      <c r="X111" s="2918"/>
      <c r="Y111" s="2918"/>
      <c r="Z111" s="2918"/>
      <c r="AA111" s="2918"/>
      <c r="AB111" s="2918"/>
      <c r="AC111" s="2897">
        <f t="shared" si="64"/>
        <v>0</v>
      </c>
      <c r="AD111" s="2929"/>
      <c r="AE111" s="2929"/>
      <c r="AF111" s="2929"/>
      <c r="AG111" s="2929"/>
      <c r="AH111" s="2929"/>
      <c r="AI111" s="2929"/>
      <c r="AJ111" s="2929"/>
      <c r="AK111" s="2929"/>
      <c r="AL111" s="2929"/>
      <c r="AM111" s="2929"/>
      <c r="AN111" s="2929"/>
      <c r="AO111" s="2929"/>
      <c r="AP111" s="2929"/>
      <c r="AQ111" s="2929"/>
      <c r="AR111" s="2929"/>
      <c r="AS111" s="2929"/>
      <c r="AT111" s="2929"/>
      <c r="AU111" s="2974"/>
      <c r="AV111" s="454">
        <f t="shared" si="37"/>
        <v>0</v>
      </c>
      <c r="AW111" s="454">
        <f t="shared" si="38"/>
        <v>0</v>
      </c>
      <c r="AX111" s="454">
        <f t="shared" si="39"/>
        <v>0</v>
      </c>
      <c r="AY111" s="2966">
        <f t="shared" si="65"/>
        <v>0</v>
      </c>
      <c r="AZ111" s="2897">
        <f t="shared" si="66"/>
        <v>0</v>
      </c>
      <c r="BA111" s="2897">
        <f t="shared" si="67"/>
        <v>0</v>
      </c>
      <c r="BB111" s="2897">
        <f t="shared" si="68"/>
        <v>0</v>
      </c>
      <c r="BC111" s="2897">
        <f t="shared" si="69"/>
        <v>0</v>
      </c>
      <c r="BD111" s="2897">
        <f t="shared" si="70"/>
        <v>0</v>
      </c>
      <c r="BE111" s="2897">
        <f t="shared" si="71"/>
        <v>0</v>
      </c>
      <c r="BF111" s="2897">
        <f t="shared" si="72"/>
        <v>0</v>
      </c>
      <c r="BG111" s="2897">
        <f t="shared" si="73"/>
        <v>0</v>
      </c>
      <c r="BH111" s="2897">
        <f t="shared" si="74"/>
        <v>0</v>
      </c>
      <c r="BI111" s="2897">
        <f t="shared" si="75"/>
        <v>0</v>
      </c>
      <c r="BJ111" s="2897">
        <f t="shared" si="76"/>
        <v>0</v>
      </c>
      <c r="BK111" s="2897">
        <f t="shared" si="77"/>
        <v>0</v>
      </c>
      <c r="BL111" s="2897">
        <f t="shared" si="78"/>
        <v>0</v>
      </c>
      <c r="BM111" s="2897">
        <f t="shared" si="79"/>
        <v>0</v>
      </c>
      <c r="BN111" s="2897">
        <f t="shared" si="80"/>
        <v>0</v>
      </c>
      <c r="BO111" s="2897">
        <f t="shared" si="81"/>
        <v>0</v>
      </c>
      <c r="BP111" s="2897">
        <f t="shared" si="82"/>
        <v>0</v>
      </c>
      <c r="BQ111" s="2897">
        <f t="shared" si="83"/>
        <v>0</v>
      </c>
      <c r="BR111" s="2897">
        <f t="shared" si="84"/>
        <v>0</v>
      </c>
      <c r="BS111" s="2897">
        <f t="shared" si="85"/>
        <v>0</v>
      </c>
      <c r="BT111" s="2971">
        <f t="shared" si="86"/>
        <v>0</v>
      </c>
    </row>
    <row r="112" spans="1:72">
      <c r="A112" s="2894"/>
      <c r="B112" s="2894"/>
      <c r="C112" s="2894"/>
      <c r="D112" s="2907"/>
      <c r="E112" s="2897">
        <f t="shared" si="33"/>
        <v>0</v>
      </c>
      <c r="F112" s="2972"/>
      <c r="G112" s="2899">
        <f t="shared" si="62"/>
        <v>0</v>
      </c>
      <c r="H112" s="2900">
        <f t="shared" si="63"/>
        <v>0</v>
      </c>
      <c r="I112" s="2918"/>
      <c r="J112" s="2918"/>
      <c r="K112" s="2918"/>
      <c r="L112" s="2918"/>
      <c r="M112" s="2918"/>
      <c r="N112" s="2918"/>
      <c r="O112" s="2918"/>
      <c r="P112" s="2918"/>
      <c r="Q112" s="2918"/>
      <c r="R112" s="2918"/>
      <c r="S112" s="2918"/>
      <c r="T112" s="2918"/>
      <c r="U112" s="2918"/>
      <c r="V112" s="2918"/>
      <c r="W112" s="2918"/>
      <c r="X112" s="2918"/>
      <c r="Y112" s="2918"/>
      <c r="Z112" s="2918"/>
      <c r="AA112" s="2918"/>
      <c r="AB112" s="2918"/>
      <c r="AC112" s="2897">
        <f t="shared" si="64"/>
        <v>0</v>
      </c>
      <c r="AD112" s="2929"/>
      <c r="AE112" s="2929"/>
      <c r="AF112" s="2929"/>
      <c r="AG112" s="2929"/>
      <c r="AH112" s="2929"/>
      <c r="AI112" s="2929"/>
      <c r="AJ112" s="2929"/>
      <c r="AK112" s="2929"/>
      <c r="AL112" s="2929"/>
      <c r="AM112" s="2929"/>
      <c r="AN112" s="2929"/>
      <c r="AO112" s="2929"/>
      <c r="AP112" s="2929"/>
      <c r="AQ112" s="2929"/>
      <c r="AR112" s="2929"/>
      <c r="AS112" s="2929"/>
      <c r="AT112" s="2929"/>
      <c r="AU112" s="2974"/>
      <c r="AV112" s="454">
        <f t="shared" si="37"/>
        <v>0</v>
      </c>
      <c r="AW112" s="454">
        <f t="shared" si="38"/>
        <v>0</v>
      </c>
      <c r="AX112" s="454">
        <f t="shared" si="39"/>
        <v>0</v>
      </c>
      <c r="AY112" s="2966">
        <f t="shared" si="65"/>
        <v>0</v>
      </c>
      <c r="AZ112" s="2897">
        <f t="shared" si="66"/>
        <v>0</v>
      </c>
      <c r="BA112" s="2897">
        <f t="shared" si="67"/>
        <v>0</v>
      </c>
      <c r="BB112" s="2897">
        <f t="shared" si="68"/>
        <v>0</v>
      </c>
      <c r="BC112" s="2897">
        <f t="shared" si="69"/>
        <v>0</v>
      </c>
      <c r="BD112" s="2897">
        <f t="shared" si="70"/>
        <v>0</v>
      </c>
      <c r="BE112" s="2897">
        <f t="shared" si="71"/>
        <v>0</v>
      </c>
      <c r="BF112" s="2897">
        <f t="shared" si="72"/>
        <v>0</v>
      </c>
      <c r="BG112" s="2897">
        <f t="shared" si="73"/>
        <v>0</v>
      </c>
      <c r="BH112" s="2897">
        <f t="shared" si="74"/>
        <v>0</v>
      </c>
      <c r="BI112" s="2897">
        <f t="shared" si="75"/>
        <v>0</v>
      </c>
      <c r="BJ112" s="2897">
        <f t="shared" si="76"/>
        <v>0</v>
      </c>
      <c r="BK112" s="2897">
        <f t="shared" si="77"/>
        <v>0</v>
      </c>
      <c r="BL112" s="2897">
        <f t="shared" si="78"/>
        <v>0</v>
      </c>
      <c r="BM112" s="2897">
        <f t="shared" si="79"/>
        <v>0</v>
      </c>
      <c r="BN112" s="2897">
        <f t="shared" si="80"/>
        <v>0</v>
      </c>
      <c r="BO112" s="2897">
        <f t="shared" si="81"/>
        <v>0</v>
      </c>
      <c r="BP112" s="2897">
        <f t="shared" si="82"/>
        <v>0</v>
      </c>
      <c r="BQ112" s="2897">
        <f t="shared" si="83"/>
        <v>0</v>
      </c>
      <c r="BR112" s="2897">
        <f t="shared" si="84"/>
        <v>0</v>
      </c>
      <c r="BS112" s="2897">
        <f t="shared" si="85"/>
        <v>0</v>
      </c>
      <c r="BT112" s="2971">
        <f t="shared" si="86"/>
        <v>0</v>
      </c>
    </row>
    <row r="113" spans="1:72">
      <c r="A113" s="2894"/>
      <c r="B113" s="2904"/>
      <c r="C113" s="2902"/>
      <c r="D113" s="2903"/>
      <c r="E113" s="2897">
        <f t="shared" ref="E113:E144" si="87">IF($C$3="是",ROUND($A$3*G113/$B$3,2),ROUND($A$3*(G113-AT113)/$B$3,2))</f>
        <v>0</v>
      </c>
      <c r="F113" s="2898"/>
      <c r="G113" s="2899">
        <f t="shared" si="62"/>
        <v>0</v>
      </c>
      <c r="H113" s="2900">
        <f t="shared" si="63"/>
        <v>0</v>
      </c>
      <c r="I113" s="2906"/>
      <c r="J113" s="2918"/>
      <c r="K113" s="2906"/>
      <c r="L113" s="2918"/>
      <c r="M113" s="2918"/>
      <c r="N113" s="2918"/>
      <c r="O113" s="2918"/>
      <c r="P113" s="2918"/>
      <c r="Q113" s="2918"/>
      <c r="R113" s="2918"/>
      <c r="S113" s="2918"/>
      <c r="T113" s="2918"/>
      <c r="U113" s="2918"/>
      <c r="V113" s="2918"/>
      <c r="W113" s="2918"/>
      <c r="X113" s="2918"/>
      <c r="Y113" s="2918"/>
      <c r="Z113" s="2918"/>
      <c r="AA113" s="2918"/>
      <c r="AB113" s="2918"/>
      <c r="AC113" s="2897">
        <f t="shared" si="64"/>
        <v>0</v>
      </c>
      <c r="AD113" s="2929"/>
      <c r="AE113" s="2929"/>
      <c r="AF113" s="2930"/>
      <c r="AG113" s="2929"/>
      <c r="AH113" s="2929"/>
      <c r="AI113" s="2929"/>
      <c r="AJ113" s="2929"/>
      <c r="AK113" s="2929"/>
      <c r="AL113" s="2929"/>
      <c r="AM113" s="2929"/>
      <c r="AN113" s="2919"/>
      <c r="AO113" s="2929"/>
      <c r="AP113" s="2929"/>
      <c r="AQ113" s="2929"/>
      <c r="AR113" s="2929"/>
      <c r="AS113" s="2929"/>
      <c r="AT113" s="2949"/>
      <c r="AU113" s="2950"/>
      <c r="AV113" s="454">
        <f t="shared" ref="AV113:AV144" si="88">A113</f>
        <v>0</v>
      </c>
      <c r="AW113" s="454">
        <f t="shared" ref="AW113:AW144" si="89">B113</f>
        <v>0</v>
      </c>
      <c r="AX113" s="454">
        <f t="shared" ref="AX113:AX144" si="90">C113</f>
        <v>0</v>
      </c>
      <c r="AY113" s="2966">
        <f t="shared" si="65"/>
        <v>0</v>
      </c>
      <c r="AZ113" s="2897">
        <f t="shared" si="66"/>
        <v>0</v>
      </c>
      <c r="BA113" s="2897">
        <f t="shared" si="67"/>
        <v>0</v>
      </c>
      <c r="BB113" s="2897">
        <f t="shared" si="68"/>
        <v>0</v>
      </c>
      <c r="BC113" s="2897">
        <f t="shared" si="69"/>
        <v>0</v>
      </c>
      <c r="BD113" s="2897">
        <f t="shared" si="70"/>
        <v>0</v>
      </c>
      <c r="BE113" s="2897">
        <f t="shared" si="71"/>
        <v>0</v>
      </c>
      <c r="BF113" s="2897">
        <f t="shared" si="72"/>
        <v>0</v>
      </c>
      <c r="BG113" s="2897">
        <f t="shared" si="73"/>
        <v>0</v>
      </c>
      <c r="BH113" s="2897">
        <f t="shared" si="74"/>
        <v>0</v>
      </c>
      <c r="BI113" s="2897">
        <f t="shared" si="75"/>
        <v>0</v>
      </c>
      <c r="BJ113" s="2897">
        <f t="shared" si="76"/>
        <v>0</v>
      </c>
      <c r="BK113" s="2897">
        <f t="shared" si="77"/>
        <v>0</v>
      </c>
      <c r="BL113" s="2897">
        <f t="shared" si="78"/>
        <v>0</v>
      </c>
      <c r="BM113" s="2897">
        <f t="shared" si="79"/>
        <v>0</v>
      </c>
      <c r="BN113" s="2897">
        <f t="shared" si="80"/>
        <v>0</v>
      </c>
      <c r="BO113" s="2897">
        <f t="shared" si="81"/>
        <v>0</v>
      </c>
      <c r="BP113" s="2897">
        <f t="shared" si="82"/>
        <v>0</v>
      </c>
      <c r="BQ113" s="2897">
        <f t="shared" si="83"/>
        <v>0</v>
      </c>
      <c r="BR113" s="2897">
        <f t="shared" si="84"/>
        <v>0</v>
      </c>
      <c r="BS113" s="2897">
        <f t="shared" si="85"/>
        <v>0</v>
      </c>
      <c r="BT113" s="2971">
        <f t="shared" si="86"/>
        <v>0</v>
      </c>
    </row>
    <row r="114" spans="1:72">
      <c r="A114" s="2894"/>
      <c r="B114" s="2904"/>
      <c r="C114" s="2902"/>
      <c r="D114" s="2903"/>
      <c r="E114" s="2897">
        <f t="shared" si="87"/>
        <v>0</v>
      </c>
      <c r="F114" s="2898"/>
      <c r="G114" s="2899">
        <f t="shared" si="62"/>
        <v>0</v>
      </c>
      <c r="H114" s="2900">
        <f t="shared" si="63"/>
        <v>0</v>
      </c>
      <c r="I114" s="2906"/>
      <c r="J114" s="2918"/>
      <c r="K114" s="2906"/>
      <c r="L114" s="2918"/>
      <c r="M114" s="2919"/>
      <c r="N114" s="2918"/>
      <c r="O114" s="2918"/>
      <c r="P114" s="2918"/>
      <c r="Q114" s="2918"/>
      <c r="R114" s="2918"/>
      <c r="S114" s="2918"/>
      <c r="T114" s="2918"/>
      <c r="U114" s="2918"/>
      <c r="V114" s="2918"/>
      <c r="W114" s="2918"/>
      <c r="X114" s="2918"/>
      <c r="Y114" s="2918"/>
      <c r="Z114" s="2918"/>
      <c r="AA114" s="2918"/>
      <c r="AB114" s="2918"/>
      <c r="AC114" s="2897">
        <f t="shared" si="64"/>
        <v>0</v>
      </c>
      <c r="AD114" s="2919"/>
      <c r="AE114" s="2929"/>
      <c r="AF114" s="2930"/>
      <c r="AG114" s="2929"/>
      <c r="AH114" s="2929"/>
      <c r="AI114" s="2929"/>
      <c r="AJ114" s="2929"/>
      <c r="AK114" s="2929"/>
      <c r="AL114" s="2919"/>
      <c r="AM114" s="2929"/>
      <c r="AN114" s="2919"/>
      <c r="AO114" s="2929"/>
      <c r="AP114" s="2929"/>
      <c r="AQ114" s="2929"/>
      <c r="AR114" s="2929"/>
      <c r="AS114" s="2929"/>
      <c r="AT114" s="2949"/>
      <c r="AU114" s="2950"/>
      <c r="AV114" s="454">
        <f t="shared" si="88"/>
        <v>0</v>
      </c>
      <c r="AW114" s="454">
        <f t="shared" si="89"/>
        <v>0</v>
      </c>
      <c r="AX114" s="454">
        <f t="shared" si="90"/>
        <v>0</v>
      </c>
      <c r="AY114" s="2966">
        <f t="shared" si="65"/>
        <v>0</v>
      </c>
      <c r="AZ114" s="2897">
        <f t="shared" si="66"/>
        <v>0</v>
      </c>
      <c r="BA114" s="2897">
        <f t="shared" si="67"/>
        <v>0</v>
      </c>
      <c r="BB114" s="2897">
        <f t="shared" si="68"/>
        <v>0</v>
      </c>
      <c r="BC114" s="2897">
        <f t="shared" si="69"/>
        <v>0</v>
      </c>
      <c r="BD114" s="2897">
        <f t="shared" si="70"/>
        <v>0</v>
      </c>
      <c r="BE114" s="2897">
        <f t="shared" si="71"/>
        <v>0</v>
      </c>
      <c r="BF114" s="2897">
        <f t="shared" si="72"/>
        <v>0</v>
      </c>
      <c r="BG114" s="2897">
        <f t="shared" si="73"/>
        <v>0</v>
      </c>
      <c r="BH114" s="2897">
        <f t="shared" si="74"/>
        <v>0</v>
      </c>
      <c r="BI114" s="2897">
        <f t="shared" si="75"/>
        <v>0</v>
      </c>
      <c r="BJ114" s="2897">
        <f t="shared" si="76"/>
        <v>0</v>
      </c>
      <c r="BK114" s="2897">
        <f t="shared" si="77"/>
        <v>0</v>
      </c>
      <c r="BL114" s="2897">
        <f t="shared" si="78"/>
        <v>0</v>
      </c>
      <c r="BM114" s="2897">
        <f t="shared" si="79"/>
        <v>0</v>
      </c>
      <c r="BN114" s="2897">
        <f t="shared" si="80"/>
        <v>0</v>
      </c>
      <c r="BO114" s="2897">
        <f t="shared" si="81"/>
        <v>0</v>
      </c>
      <c r="BP114" s="2897">
        <f t="shared" si="82"/>
        <v>0</v>
      </c>
      <c r="BQ114" s="2897">
        <f t="shared" si="83"/>
        <v>0</v>
      </c>
      <c r="BR114" s="2897">
        <f t="shared" si="84"/>
        <v>0</v>
      </c>
      <c r="BS114" s="2897">
        <f t="shared" si="85"/>
        <v>0</v>
      </c>
      <c r="BT114" s="2971">
        <f t="shared" si="86"/>
        <v>0</v>
      </c>
    </row>
    <row r="115" spans="1:72">
      <c r="A115" s="2894"/>
      <c r="B115" s="2904"/>
      <c r="C115" s="2902"/>
      <c r="D115" s="2903"/>
      <c r="E115" s="2897">
        <f t="shared" si="87"/>
        <v>0</v>
      </c>
      <c r="F115" s="2898"/>
      <c r="G115" s="2899">
        <f t="shared" si="62"/>
        <v>0</v>
      </c>
      <c r="H115" s="2900">
        <f t="shared" si="63"/>
        <v>0</v>
      </c>
      <c r="I115" s="2906"/>
      <c r="J115" s="2918"/>
      <c r="K115" s="2906"/>
      <c r="L115" s="2918"/>
      <c r="M115" s="2919"/>
      <c r="N115" s="2918"/>
      <c r="O115" s="2918"/>
      <c r="P115" s="2918"/>
      <c r="Q115" s="2918"/>
      <c r="R115" s="2918"/>
      <c r="S115" s="2918"/>
      <c r="T115" s="2918"/>
      <c r="U115" s="2918"/>
      <c r="V115" s="2918"/>
      <c r="W115" s="2918"/>
      <c r="X115" s="2918"/>
      <c r="Y115" s="2918"/>
      <c r="Z115" s="2918"/>
      <c r="AA115" s="2918"/>
      <c r="AB115" s="2918"/>
      <c r="AC115" s="2897">
        <f t="shared" si="64"/>
        <v>0</v>
      </c>
      <c r="AD115" s="2929"/>
      <c r="AE115" s="2929"/>
      <c r="AF115" s="2930"/>
      <c r="AG115" s="2929"/>
      <c r="AH115" s="2929"/>
      <c r="AI115" s="2929"/>
      <c r="AJ115" s="2929"/>
      <c r="AK115" s="2929"/>
      <c r="AL115" s="2919"/>
      <c r="AM115" s="2929"/>
      <c r="AN115" s="2919"/>
      <c r="AO115" s="2929"/>
      <c r="AP115" s="2929"/>
      <c r="AQ115" s="2929"/>
      <c r="AR115" s="2929"/>
      <c r="AS115" s="2929"/>
      <c r="AT115" s="2949"/>
      <c r="AU115" s="2950"/>
      <c r="AV115" s="454">
        <f t="shared" si="88"/>
        <v>0</v>
      </c>
      <c r="AW115" s="454">
        <f t="shared" si="89"/>
        <v>0</v>
      </c>
      <c r="AX115" s="454">
        <f t="shared" si="90"/>
        <v>0</v>
      </c>
      <c r="AY115" s="2966">
        <f t="shared" si="65"/>
        <v>0</v>
      </c>
      <c r="AZ115" s="2897">
        <f t="shared" si="66"/>
        <v>0</v>
      </c>
      <c r="BA115" s="2897">
        <f t="shared" si="67"/>
        <v>0</v>
      </c>
      <c r="BB115" s="2897">
        <f t="shared" si="68"/>
        <v>0</v>
      </c>
      <c r="BC115" s="2897">
        <f t="shared" si="69"/>
        <v>0</v>
      </c>
      <c r="BD115" s="2897">
        <f t="shared" si="70"/>
        <v>0</v>
      </c>
      <c r="BE115" s="2897">
        <f t="shared" si="71"/>
        <v>0</v>
      </c>
      <c r="BF115" s="2897">
        <f t="shared" si="72"/>
        <v>0</v>
      </c>
      <c r="BG115" s="2897">
        <f t="shared" si="73"/>
        <v>0</v>
      </c>
      <c r="BH115" s="2897">
        <f t="shared" si="74"/>
        <v>0</v>
      </c>
      <c r="BI115" s="2897">
        <f t="shared" si="75"/>
        <v>0</v>
      </c>
      <c r="BJ115" s="2897">
        <f t="shared" si="76"/>
        <v>0</v>
      </c>
      <c r="BK115" s="2897">
        <f t="shared" si="77"/>
        <v>0</v>
      </c>
      <c r="BL115" s="2897">
        <f t="shared" si="78"/>
        <v>0</v>
      </c>
      <c r="BM115" s="2897">
        <f t="shared" si="79"/>
        <v>0</v>
      </c>
      <c r="BN115" s="2897">
        <f t="shared" si="80"/>
        <v>0</v>
      </c>
      <c r="BO115" s="2897">
        <f t="shared" si="81"/>
        <v>0</v>
      </c>
      <c r="BP115" s="2897">
        <f t="shared" si="82"/>
        <v>0</v>
      </c>
      <c r="BQ115" s="2897">
        <f t="shared" si="83"/>
        <v>0</v>
      </c>
      <c r="BR115" s="2897">
        <f t="shared" si="84"/>
        <v>0</v>
      </c>
      <c r="BS115" s="2897">
        <f t="shared" si="85"/>
        <v>0</v>
      </c>
      <c r="BT115" s="2971">
        <f t="shared" si="86"/>
        <v>0</v>
      </c>
    </row>
    <row r="116" spans="1:72">
      <c r="A116" s="2894"/>
      <c r="B116" s="2904"/>
      <c r="C116" s="2902"/>
      <c r="D116" s="2903"/>
      <c r="E116" s="2897">
        <f t="shared" si="87"/>
        <v>0</v>
      </c>
      <c r="F116" s="2898"/>
      <c r="G116" s="2899">
        <f t="shared" si="62"/>
        <v>0</v>
      </c>
      <c r="H116" s="2900">
        <f t="shared" si="63"/>
        <v>0</v>
      </c>
      <c r="I116" s="2906"/>
      <c r="J116" s="2918"/>
      <c r="K116" s="2906"/>
      <c r="L116" s="2918"/>
      <c r="M116" s="2918"/>
      <c r="N116" s="2918"/>
      <c r="O116" s="2919"/>
      <c r="P116" s="2918"/>
      <c r="Q116" s="2918"/>
      <c r="R116" s="2918"/>
      <c r="S116" s="2918"/>
      <c r="T116" s="2918"/>
      <c r="U116" s="2918"/>
      <c r="V116" s="2918"/>
      <c r="W116" s="2918"/>
      <c r="X116" s="2918"/>
      <c r="Y116" s="2918"/>
      <c r="Z116" s="2918"/>
      <c r="AA116" s="2918"/>
      <c r="AB116" s="2918"/>
      <c r="AC116" s="2897">
        <f t="shared" si="64"/>
        <v>0</v>
      </c>
      <c r="AD116" s="2929"/>
      <c r="AE116" s="2929"/>
      <c r="AF116" s="2930"/>
      <c r="AG116" s="2929"/>
      <c r="AH116" s="2929"/>
      <c r="AI116" s="2929"/>
      <c r="AJ116" s="2929"/>
      <c r="AK116" s="2929"/>
      <c r="AL116" s="2929"/>
      <c r="AM116" s="2929"/>
      <c r="AN116" s="2919"/>
      <c r="AO116" s="2929"/>
      <c r="AP116" s="2929"/>
      <c r="AQ116" s="2929"/>
      <c r="AR116" s="2929"/>
      <c r="AS116" s="2929"/>
      <c r="AT116" s="2949"/>
      <c r="AU116" s="2950"/>
      <c r="AV116" s="454">
        <f t="shared" si="88"/>
        <v>0</v>
      </c>
      <c r="AW116" s="454">
        <f t="shared" si="89"/>
        <v>0</v>
      </c>
      <c r="AX116" s="454">
        <f t="shared" si="90"/>
        <v>0</v>
      </c>
      <c r="AY116" s="2966">
        <f t="shared" si="65"/>
        <v>0</v>
      </c>
      <c r="AZ116" s="2897">
        <f t="shared" si="66"/>
        <v>0</v>
      </c>
      <c r="BA116" s="2897">
        <f t="shared" si="67"/>
        <v>0</v>
      </c>
      <c r="BB116" s="2897">
        <f t="shared" si="68"/>
        <v>0</v>
      </c>
      <c r="BC116" s="2897">
        <f t="shared" si="69"/>
        <v>0</v>
      </c>
      <c r="BD116" s="2897">
        <f t="shared" si="70"/>
        <v>0</v>
      </c>
      <c r="BE116" s="2897">
        <f t="shared" si="71"/>
        <v>0</v>
      </c>
      <c r="BF116" s="2897">
        <f t="shared" si="72"/>
        <v>0</v>
      </c>
      <c r="BG116" s="2897">
        <f t="shared" si="73"/>
        <v>0</v>
      </c>
      <c r="BH116" s="2897">
        <f t="shared" si="74"/>
        <v>0</v>
      </c>
      <c r="BI116" s="2897">
        <f t="shared" si="75"/>
        <v>0</v>
      </c>
      <c r="BJ116" s="2897">
        <f t="shared" si="76"/>
        <v>0</v>
      </c>
      <c r="BK116" s="2897">
        <f t="shared" si="77"/>
        <v>0</v>
      </c>
      <c r="BL116" s="2897">
        <f t="shared" si="78"/>
        <v>0</v>
      </c>
      <c r="BM116" s="2897">
        <f t="shared" si="79"/>
        <v>0</v>
      </c>
      <c r="BN116" s="2897">
        <f t="shared" si="80"/>
        <v>0</v>
      </c>
      <c r="BO116" s="2897">
        <f t="shared" si="81"/>
        <v>0</v>
      </c>
      <c r="BP116" s="2897">
        <f t="shared" si="82"/>
        <v>0</v>
      </c>
      <c r="BQ116" s="2897">
        <f t="shared" si="83"/>
        <v>0</v>
      </c>
      <c r="BR116" s="2897">
        <f t="shared" si="84"/>
        <v>0</v>
      </c>
      <c r="BS116" s="2897">
        <f t="shared" si="85"/>
        <v>0</v>
      </c>
      <c r="BT116" s="2971">
        <f t="shared" si="86"/>
        <v>0</v>
      </c>
    </row>
    <row r="117" spans="1:72">
      <c r="A117" s="2894"/>
      <c r="B117" s="2904"/>
      <c r="C117" s="2902"/>
      <c r="D117" s="2903"/>
      <c r="E117" s="2897">
        <f t="shared" si="87"/>
        <v>0</v>
      </c>
      <c r="F117" s="2898"/>
      <c r="G117" s="2899">
        <f t="shared" si="62"/>
        <v>0</v>
      </c>
      <c r="H117" s="2900">
        <f t="shared" si="63"/>
        <v>0</v>
      </c>
      <c r="I117" s="2906"/>
      <c r="J117" s="2918"/>
      <c r="K117" s="2906"/>
      <c r="L117" s="2918"/>
      <c r="M117" s="2918"/>
      <c r="N117" s="2918"/>
      <c r="O117" s="2918"/>
      <c r="P117" s="2918"/>
      <c r="Q117" s="2918"/>
      <c r="R117" s="2918"/>
      <c r="S117" s="2918"/>
      <c r="T117" s="2918"/>
      <c r="U117" s="2918"/>
      <c r="V117" s="2918"/>
      <c r="W117" s="2918"/>
      <c r="X117" s="2918"/>
      <c r="Y117" s="2918"/>
      <c r="Z117" s="2918"/>
      <c r="AA117" s="2918"/>
      <c r="AB117" s="2918"/>
      <c r="AC117" s="2897">
        <f t="shared" si="64"/>
        <v>0</v>
      </c>
      <c r="AD117" s="2929"/>
      <c r="AE117" s="2929"/>
      <c r="AF117" s="2930"/>
      <c r="AG117" s="2929"/>
      <c r="AH117" s="2929"/>
      <c r="AI117" s="2929"/>
      <c r="AJ117" s="2929"/>
      <c r="AK117" s="2929"/>
      <c r="AL117" s="2929"/>
      <c r="AM117" s="2929"/>
      <c r="AN117" s="2929"/>
      <c r="AO117" s="2929"/>
      <c r="AP117" s="2929"/>
      <c r="AQ117" s="2929"/>
      <c r="AR117" s="2929"/>
      <c r="AS117" s="2929"/>
      <c r="AT117" s="2949"/>
      <c r="AU117" s="2950"/>
      <c r="AV117" s="454">
        <f t="shared" si="88"/>
        <v>0</v>
      </c>
      <c r="AW117" s="454">
        <f t="shared" si="89"/>
        <v>0</v>
      </c>
      <c r="AX117" s="454">
        <f t="shared" si="90"/>
        <v>0</v>
      </c>
      <c r="AY117" s="2966">
        <f t="shared" si="65"/>
        <v>0</v>
      </c>
      <c r="AZ117" s="2897">
        <f t="shared" si="66"/>
        <v>0</v>
      </c>
      <c r="BA117" s="2897">
        <f t="shared" si="67"/>
        <v>0</v>
      </c>
      <c r="BB117" s="2897">
        <f t="shared" si="68"/>
        <v>0</v>
      </c>
      <c r="BC117" s="2897">
        <f t="shared" si="69"/>
        <v>0</v>
      </c>
      <c r="BD117" s="2897">
        <f t="shared" si="70"/>
        <v>0</v>
      </c>
      <c r="BE117" s="2897">
        <f t="shared" si="71"/>
        <v>0</v>
      </c>
      <c r="BF117" s="2897">
        <f t="shared" si="72"/>
        <v>0</v>
      </c>
      <c r="BG117" s="2897">
        <f t="shared" si="73"/>
        <v>0</v>
      </c>
      <c r="BH117" s="2897">
        <f t="shared" si="74"/>
        <v>0</v>
      </c>
      <c r="BI117" s="2897">
        <f t="shared" si="75"/>
        <v>0</v>
      </c>
      <c r="BJ117" s="2897">
        <f t="shared" si="76"/>
        <v>0</v>
      </c>
      <c r="BK117" s="2897">
        <f t="shared" si="77"/>
        <v>0</v>
      </c>
      <c r="BL117" s="2897">
        <f t="shared" si="78"/>
        <v>0</v>
      </c>
      <c r="BM117" s="2897">
        <f t="shared" si="79"/>
        <v>0</v>
      </c>
      <c r="BN117" s="2897">
        <f t="shared" si="80"/>
        <v>0</v>
      </c>
      <c r="BO117" s="2897">
        <f t="shared" si="81"/>
        <v>0</v>
      </c>
      <c r="BP117" s="2897">
        <f t="shared" si="82"/>
        <v>0</v>
      </c>
      <c r="BQ117" s="2897">
        <f t="shared" si="83"/>
        <v>0</v>
      </c>
      <c r="BR117" s="2897">
        <f t="shared" si="84"/>
        <v>0</v>
      </c>
      <c r="BS117" s="2897">
        <f t="shared" si="85"/>
        <v>0</v>
      </c>
      <c r="BT117" s="2971">
        <f t="shared" si="86"/>
        <v>0</v>
      </c>
    </row>
    <row r="118" spans="1:72">
      <c r="A118" s="2894"/>
      <c r="B118" s="2904"/>
      <c r="C118" s="2902"/>
      <c r="D118" s="2903"/>
      <c r="E118" s="2897">
        <f t="shared" si="87"/>
        <v>0</v>
      </c>
      <c r="F118" s="2898"/>
      <c r="G118" s="2899">
        <f t="shared" si="62"/>
        <v>0</v>
      </c>
      <c r="H118" s="2900">
        <f t="shared" si="63"/>
        <v>0</v>
      </c>
      <c r="I118" s="2906"/>
      <c r="J118" s="2918"/>
      <c r="K118" s="2906"/>
      <c r="L118" s="2918"/>
      <c r="M118" s="2918"/>
      <c r="N118" s="2918"/>
      <c r="O118" s="2918"/>
      <c r="P118" s="2918"/>
      <c r="Q118" s="2918"/>
      <c r="R118" s="2918"/>
      <c r="S118" s="2918"/>
      <c r="T118" s="2918"/>
      <c r="U118" s="2918"/>
      <c r="V118" s="2918"/>
      <c r="W118" s="2918"/>
      <c r="X118" s="2918"/>
      <c r="Y118" s="2918"/>
      <c r="Z118" s="2918"/>
      <c r="AA118" s="2918"/>
      <c r="AB118" s="2918"/>
      <c r="AC118" s="2897">
        <f t="shared" si="64"/>
        <v>0</v>
      </c>
      <c r="AD118" s="2929"/>
      <c r="AE118" s="2929"/>
      <c r="AF118" s="2930"/>
      <c r="AG118" s="2929"/>
      <c r="AH118" s="2929"/>
      <c r="AI118" s="2929"/>
      <c r="AJ118" s="2929"/>
      <c r="AK118" s="2929"/>
      <c r="AL118" s="2929"/>
      <c r="AM118" s="2929"/>
      <c r="AN118" s="2929"/>
      <c r="AO118" s="2929"/>
      <c r="AP118" s="2929"/>
      <c r="AQ118" s="2929"/>
      <c r="AR118" s="2929"/>
      <c r="AS118" s="2929"/>
      <c r="AT118" s="2949"/>
      <c r="AU118" s="2950"/>
      <c r="AV118" s="454">
        <f t="shared" si="88"/>
        <v>0</v>
      </c>
      <c r="AW118" s="454">
        <f t="shared" si="89"/>
        <v>0</v>
      </c>
      <c r="AX118" s="454">
        <f t="shared" si="90"/>
        <v>0</v>
      </c>
      <c r="AY118" s="2966">
        <f t="shared" si="65"/>
        <v>0</v>
      </c>
      <c r="AZ118" s="2897">
        <f t="shared" si="66"/>
        <v>0</v>
      </c>
      <c r="BA118" s="2897">
        <f t="shared" si="67"/>
        <v>0</v>
      </c>
      <c r="BB118" s="2897">
        <f t="shared" si="68"/>
        <v>0</v>
      </c>
      <c r="BC118" s="2897">
        <f t="shared" si="69"/>
        <v>0</v>
      </c>
      <c r="BD118" s="2897">
        <f t="shared" si="70"/>
        <v>0</v>
      </c>
      <c r="BE118" s="2897">
        <f t="shared" si="71"/>
        <v>0</v>
      </c>
      <c r="BF118" s="2897">
        <f t="shared" si="72"/>
        <v>0</v>
      </c>
      <c r="BG118" s="2897">
        <f t="shared" si="73"/>
        <v>0</v>
      </c>
      <c r="BH118" s="2897">
        <f t="shared" si="74"/>
        <v>0</v>
      </c>
      <c r="BI118" s="2897">
        <f t="shared" si="75"/>
        <v>0</v>
      </c>
      <c r="BJ118" s="2897">
        <f t="shared" si="76"/>
        <v>0</v>
      </c>
      <c r="BK118" s="2897">
        <f t="shared" si="77"/>
        <v>0</v>
      </c>
      <c r="BL118" s="2897">
        <f t="shared" si="78"/>
        <v>0</v>
      </c>
      <c r="BM118" s="2897">
        <f t="shared" si="79"/>
        <v>0</v>
      </c>
      <c r="BN118" s="2897">
        <f t="shared" si="80"/>
        <v>0</v>
      </c>
      <c r="BO118" s="2897">
        <f t="shared" si="81"/>
        <v>0</v>
      </c>
      <c r="BP118" s="2897">
        <f t="shared" si="82"/>
        <v>0</v>
      </c>
      <c r="BQ118" s="2897">
        <f t="shared" si="83"/>
        <v>0</v>
      </c>
      <c r="BR118" s="2897">
        <f t="shared" si="84"/>
        <v>0</v>
      </c>
      <c r="BS118" s="2897">
        <f t="shared" si="85"/>
        <v>0</v>
      </c>
      <c r="BT118" s="2971">
        <f t="shared" si="86"/>
        <v>0</v>
      </c>
    </row>
    <row r="119" spans="1:72">
      <c r="A119" s="2894"/>
      <c r="B119" s="2904"/>
      <c r="C119" s="2902"/>
      <c r="D119" s="2903"/>
      <c r="E119" s="2897">
        <f t="shared" si="87"/>
        <v>0</v>
      </c>
      <c r="F119" s="2898"/>
      <c r="G119" s="2899">
        <f t="shared" si="62"/>
        <v>0</v>
      </c>
      <c r="H119" s="2900">
        <f t="shared" si="63"/>
        <v>0</v>
      </c>
      <c r="I119" s="2906"/>
      <c r="J119" s="2918"/>
      <c r="K119" s="2906"/>
      <c r="L119" s="2918"/>
      <c r="M119" s="2918"/>
      <c r="N119" s="2918"/>
      <c r="O119" s="2918"/>
      <c r="P119" s="2918"/>
      <c r="Q119" s="2918"/>
      <c r="R119" s="2918"/>
      <c r="S119" s="2918"/>
      <c r="T119" s="2918"/>
      <c r="U119" s="2918"/>
      <c r="V119" s="2918"/>
      <c r="W119" s="2918"/>
      <c r="X119" s="2918"/>
      <c r="Y119" s="2918"/>
      <c r="Z119" s="2918"/>
      <c r="AA119" s="2918"/>
      <c r="AB119" s="2918"/>
      <c r="AC119" s="2897">
        <f t="shared" si="64"/>
        <v>0</v>
      </c>
      <c r="AD119" s="2929"/>
      <c r="AE119" s="2929"/>
      <c r="AF119" s="2930"/>
      <c r="AG119" s="2929"/>
      <c r="AH119" s="2929"/>
      <c r="AI119" s="2929"/>
      <c r="AJ119" s="2929"/>
      <c r="AK119" s="2929"/>
      <c r="AL119" s="2929"/>
      <c r="AM119" s="2929"/>
      <c r="AN119" s="2929"/>
      <c r="AO119" s="2929"/>
      <c r="AP119" s="2929"/>
      <c r="AQ119" s="2929"/>
      <c r="AR119" s="2929"/>
      <c r="AS119" s="2929"/>
      <c r="AT119" s="2949"/>
      <c r="AU119" s="2950"/>
      <c r="AV119" s="454">
        <f t="shared" si="88"/>
        <v>0</v>
      </c>
      <c r="AW119" s="454">
        <f t="shared" si="89"/>
        <v>0</v>
      </c>
      <c r="AX119" s="454">
        <f t="shared" si="90"/>
        <v>0</v>
      </c>
      <c r="AY119" s="2966">
        <f t="shared" si="65"/>
        <v>0</v>
      </c>
      <c r="AZ119" s="2897">
        <f t="shared" si="66"/>
        <v>0</v>
      </c>
      <c r="BA119" s="2897">
        <f t="shared" si="67"/>
        <v>0</v>
      </c>
      <c r="BB119" s="2897">
        <f t="shared" si="68"/>
        <v>0</v>
      </c>
      <c r="BC119" s="2897">
        <f t="shared" si="69"/>
        <v>0</v>
      </c>
      <c r="BD119" s="2897">
        <f t="shared" si="70"/>
        <v>0</v>
      </c>
      <c r="BE119" s="2897">
        <f t="shared" si="71"/>
        <v>0</v>
      </c>
      <c r="BF119" s="2897">
        <f t="shared" si="72"/>
        <v>0</v>
      </c>
      <c r="BG119" s="2897">
        <f t="shared" si="73"/>
        <v>0</v>
      </c>
      <c r="BH119" s="2897">
        <f t="shared" si="74"/>
        <v>0</v>
      </c>
      <c r="BI119" s="2897">
        <f t="shared" si="75"/>
        <v>0</v>
      </c>
      <c r="BJ119" s="2897">
        <f t="shared" si="76"/>
        <v>0</v>
      </c>
      <c r="BK119" s="2897">
        <f t="shared" si="77"/>
        <v>0</v>
      </c>
      <c r="BL119" s="2897">
        <f t="shared" si="78"/>
        <v>0</v>
      </c>
      <c r="BM119" s="2897">
        <f t="shared" si="79"/>
        <v>0</v>
      </c>
      <c r="BN119" s="2897">
        <f t="shared" si="80"/>
        <v>0</v>
      </c>
      <c r="BO119" s="2897">
        <f t="shared" si="81"/>
        <v>0</v>
      </c>
      <c r="BP119" s="2897">
        <f t="shared" si="82"/>
        <v>0</v>
      </c>
      <c r="BQ119" s="2897">
        <f t="shared" si="83"/>
        <v>0</v>
      </c>
      <c r="BR119" s="2897">
        <f t="shared" si="84"/>
        <v>0</v>
      </c>
      <c r="BS119" s="2897">
        <f t="shared" si="85"/>
        <v>0</v>
      </c>
      <c r="BT119" s="2971">
        <f t="shared" si="86"/>
        <v>0</v>
      </c>
    </row>
    <row r="120" spans="1:72">
      <c r="A120" s="2894"/>
      <c r="B120" s="2904"/>
      <c r="C120" s="2902"/>
      <c r="D120" s="2903"/>
      <c r="E120" s="2897">
        <f t="shared" si="87"/>
        <v>0</v>
      </c>
      <c r="F120" s="2898"/>
      <c r="G120" s="2899">
        <f t="shared" si="62"/>
        <v>0</v>
      </c>
      <c r="H120" s="2900">
        <f t="shared" si="63"/>
        <v>0</v>
      </c>
      <c r="I120" s="2906"/>
      <c r="J120" s="2918"/>
      <c r="K120" s="2906"/>
      <c r="L120" s="2918"/>
      <c r="M120" s="2918"/>
      <c r="N120" s="2918"/>
      <c r="O120" s="2918"/>
      <c r="P120" s="2918"/>
      <c r="Q120" s="2918"/>
      <c r="R120" s="2918"/>
      <c r="S120" s="2918"/>
      <c r="T120" s="2918"/>
      <c r="U120" s="2918"/>
      <c r="V120" s="2918"/>
      <c r="W120" s="2918"/>
      <c r="X120" s="2918"/>
      <c r="Y120" s="2918"/>
      <c r="Z120" s="2918"/>
      <c r="AA120" s="2918"/>
      <c r="AB120" s="2918"/>
      <c r="AC120" s="2897">
        <f t="shared" si="64"/>
        <v>0</v>
      </c>
      <c r="AD120" s="2929"/>
      <c r="AE120" s="2929"/>
      <c r="AF120" s="2906"/>
      <c r="AG120" s="2929"/>
      <c r="AH120" s="2929"/>
      <c r="AI120" s="2929"/>
      <c r="AJ120" s="2929"/>
      <c r="AK120" s="2929"/>
      <c r="AL120" s="2929"/>
      <c r="AM120" s="2929"/>
      <c r="AN120" s="2929"/>
      <c r="AO120" s="2929"/>
      <c r="AP120" s="2929"/>
      <c r="AQ120" s="2929"/>
      <c r="AR120" s="2929"/>
      <c r="AS120" s="2929"/>
      <c r="AT120" s="2949"/>
      <c r="AU120" s="2950"/>
      <c r="AV120" s="454">
        <f t="shared" si="88"/>
        <v>0</v>
      </c>
      <c r="AW120" s="454">
        <f t="shared" si="89"/>
        <v>0</v>
      </c>
      <c r="AX120" s="454">
        <f t="shared" si="90"/>
        <v>0</v>
      </c>
      <c r="AY120" s="2966">
        <f t="shared" si="65"/>
        <v>0</v>
      </c>
      <c r="AZ120" s="2897">
        <f t="shared" si="66"/>
        <v>0</v>
      </c>
      <c r="BA120" s="2897">
        <f t="shared" si="67"/>
        <v>0</v>
      </c>
      <c r="BB120" s="2897">
        <f t="shared" si="68"/>
        <v>0</v>
      </c>
      <c r="BC120" s="2897">
        <f t="shared" si="69"/>
        <v>0</v>
      </c>
      <c r="BD120" s="2897">
        <f t="shared" si="70"/>
        <v>0</v>
      </c>
      <c r="BE120" s="2897">
        <f t="shared" si="71"/>
        <v>0</v>
      </c>
      <c r="BF120" s="2897">
        <f t="shared" si="72"/>
        <v>0</v>
      </c>
      <c r="BG120" s="2897">
        <f t="shared" si="73"/>
        <v>0</v>
      </c>
      <c r="BH120" s="2897">
        <f t="shared" si="74"/>
        <v>0</v>
      </c>
      <c r="BI120" s="2897">
        <f t="shared" si="75"/>
        <v>0</v>
      </c>
      <c r="BJ120" s="2897">
        <f t="shared" si="76"/>
        <v>0</v>
      </c>
      <c r="BK120" s="2897">
        <f t="shared" si="77"/>
        <v>0</v>
      </c>
      <c r="BL120" s="2897">
        <f t="shared" si="78"/>
        <v>0</v>
      </c>
      <c r="BM120" s="2897">
        <f t="shared" si="79"/>
        <v>0</v>
      </c>
      <c r="BN120" s="2897">
        <f t="shared" si="80"/>
        <v>0</v>
      </c>
      <c r="BO120" s="2897">
        <f t="shared" si="81"/>
        <v>0</v>
      </c>
      <c r="BP120" s="2897">
        <f t="shared" si="82"/>
        <v>0</v>
      </c>
      <c r="BQ120" s="2897">
        <f t="shared" si="83"/>
        <v>0</v>
      </c>
      <c r="BR120" s="2897">
        <f t="shared" si="84"/>
        <v>0</v>
      </c>
      <c r="BS120" s="2897">
        <f t="shared" si="85"/>
        <v>0</v>
      </c>
      <c r="BT120" s="2971">
        <f t="shared" si="86"/>
        <v>0</v>
      </c>
    </row>
    <row r="121" spans="1:72">
      <c r="A121" s="2894"/>
      <c r="B121" s="2905"/>
      <c r="C121" s="2906"/>
      <c r="D121" s="2903"/>
      <c r="E121" s="2897">
        <f t="shared" si="87"/>
        <v>0</v>
      </c>
      <c r="F121" s="2898"/>
      <c r="G121" s="2899">
        <f t="shared" si="62"/>
        <v>0</v>
      </c>
      <c r="H121" s="2900">
        <f t="shared" si="63"/>
        <v>0</v>
      </c>
      <c r="I121" s="2906"/>
      <c r="J121" s="2918"/>
      <c r="K121" s="2906"/>
      <c r="L121" s="2918"/>
      <c r="M121" s="2918"/>
      <c r="N121" s="2918"/>
      <c r="O121" s="2918"/>
      <c r="P121" s="2918"/>
      <c r="Q121" s="2918"/>
      <c r="R121" s="2918"/>
      <c r="S121" s="2918"/>
      <c r="T121" s="2918"/>
      <c r="U121" s="2918"/>
      <c r="V121" s="2918"/>
      <c r="W121" s="2918"/>
      <c r="X121" s="2918"/>
      <c r="Y121" s="2918"/>
      <c r="Z121" s="2918"/>
      <c r="AA121" s="2918"/>
      <c r="AB121" s="2918"/>
      <c r="AC121" s="2897">
        <f t="shared" si="64"/>
        <v>0</v>
      </c>
      <c r="AD121" s="2929"/>
      <c r="AE121" s="2929"/>
      <c r="AF121" s="2906"/>
      <c r="AG121" s="2929"/>
      <c r="AH121" s="2929"/>
      <c r="AI121" s="2929"/>
      <c r="AJ121" s="2929"/>
      <c r="AK121" s="2929"/>
      <c r="AL121" s="2929"/>
      <c r="AM121" s="2929"/>
      <c r="AN121" s="2929"/>
      <c r="AO121" s="2929"/>
      <c r="AP121" s="2929"/>
      <c r="AQ121" s="2929"/>
      <c r="AR121" s="2929"/>
      <c r="AS121" s="2929"/>
      <c r="AT121" s="2949"/>
      <c r="AU121" s="2950"/>
      <c r="AV121" s="454">
        <f t="shared" si="88"/>
        <v>0</v>
      </c>
      <c r="AW121" s="454">
        <f t="shared" si="89"/>
        <v>0</v>
      </c>
      <c r="AX121" s="454">
        <f t="shared" si="90"/>
        <v>0</v>
      </c>
      <c r="AY121" s="2966">
        <f t="shared" si="65"/>
        <v>0</v>
      </c>
      <c r="AZ121" s="2897">
        <f t="shared" si="66"/>
        <v>0</v>
      </c>
      <c r="BA121" s="2897">
        <f t="shared" si="67"/>
        <v>0</v>
      </c>
      <c r="BB121" s="2897">
        <f t="shared" si="68"/>
        <v>0</v>
      </c>
      <c r="BC121" s="2897">
        <f t="shared" si="69"/>
        <v>0</v>
      </c>
      <c r="BD121" s="2897">
        <f t="shared" si="70"/>
        <v>0</v>
      </c>
      <c r="BE121" s="2897">
        <f t="shared" si="71"/>
        <v>0</v>
      </c>
      <c r="BF121" s="2897">
        <f t="shared" si="72"/>
        <v>0</v>
      </c>
      <c r="BG121" s="2897">
        <f t="shared" si="73"/>
        <v>0</v>
      </c>
      <c r="BH121" s="2897">
        <f t="shared" si="74"/>
        <v>0</v>
      </c>
      <c r="BI121" s="2897">
        <f t="shared" si="75"/>
        <v>0</v>
      </c>
      <c r="BJ121" s="2897">
        <f t="shared" si="76"/>
        <v>0</v>
      </c>
      <c r="BK121" s="2897">
        <f t="shared" si="77"/>
        <v>0</v>
      </c>
      <c r="BL121" s="2897">
        <f t="shared" si="78"/>
        <v>0</v>
      </c>
      <c r="BM121" s="2897">
        <f t="shared" si="79"/>
        <v>0</v>
      </c>
      <c r="BN121" s="2897">
        <f t="shared" si="80"/>
        <v>0</v>
      </c>
      <c r="BO121" s="2897">
        <f t="shared" si="81"/>
        <v>0</v>
      </c>
      <c r="BP121" s="2897">
        <f t="shared" si="82"/>
        <v>0</v>
      </c>
      <c r="BQ121" s="2897">
        <f t="shared" si="83"/>
        <v>0</v>
      </c>
      <c r="BR121" s="2897">
        <f t="shared" si="84"/>
        <v>0</v>
      </c>
      <c r="BS121" s="2897">
        <f t="shared" si="85"/>
        <v>0</v>
      </c>
      <c r="BT121" s="2971">
        <f t="shared" si="86"/>
        <v>0</v>
      </c>
    </row>
    <row r="122" spans="1:72">
      <c r="A122" s="2894"/>
      <c r="B122" s="2904"/>
      <c r="C122" s="2902"/>
      <c r="D122" s="2903"/>
      <c r="E122" s="2897">
        <f t="shared" si="87"/>
        <v>0</v>
      </c>
      <c r="F122" s="2898"/>
      <c r="G122" s="2899">
        <f t="shared" si="62"/>
        <v>0</v>
      </c>
      <c r="H122" s="2900">
        <f t="shared" si="63"/>
        <v>0</v>
      </c>
      <c r="I122" s="2906"/>
      <c r="J122" s="2918"/>
      <c r="K122" s="2906"/>
      <c r="L122" s="2918"/>
      <c r="M122" s="2918"/>
      <c r="N122" s="2918"/>
      <c r="O122" s="2918"/>
      <c r="P122" s="2918"/>
      <c r="Q122" s="2918"/>
      <c r="R122" s="2918"/>
      <c r="S122" s="2918"/>
      <c r="T122" s="2918"/>
      <c r="U122" s="2918"/>
      <c r="V122" s="2918"/>
      <c r="W122" s="2918"/>
      <c r="X122" s="2918"/>
      <c r="Y122" s="2918"/>
      <c r="Z122" s="2918"/>
      <c r="AA122" s="2918"/>
      <c r="AB122" s="2918"/>
      <c r="AC122" s="2897">
        <f t="shared" si="64"/>
        <v>0</v>
      </c>
      <c r="AD122" s="2929"/>
      <c r="AE122" s="2929"/>
      <c r="AF122" s="2906"/>
      <c r="AG122" s="2929"/>
      <c r="AH122" s="2929"/>
      <c r="AI122" s="2929"/>
      <c r="AJ122" s="2929"/>
      <c r="AK122" s="2929"/>
      <c r="AL122" s="2929"/>
      <c r="AM122" s="2929"/>
      <c r="AN122" s="2929"/>
      <c r="AO122" s="2929"/>
      <c r="AP122" s="2929"/>
      <c r="AQ122" s="2929"/>
      <c r="AR122" s="2929"/>
      <c r="AS122" s="2929"/>
      <c r="AT122" s="2949"/>
      <c r="AU122" s="2950"/>
      <c r="AV122" s="454">
        <f t="shared" si="88"/>
        <v>0</v>
      </c>
      <c r="AW122" s="454">
        <f t="shared" si="89"/>
        <v>0</v>
      </c>
      <c r="AX122" s="454">
        <f t="shared" si="90"/>
        <v>0</v>
      </c>
      <c r="AY122" s="2966">
        <f t="shared" si="65"/>
        <v>0</v>
      </c>
      <c r="AZ122" s="2897">
        <f t="shared" si="66"/>
        <v>0</v>
      </c>
      <c r="BA122" s="2897">
        <f t="shared" si="67"/>
        <v>0</v>
      </c>
      <c r="BB122" s="2897">
        <f t="shared" si="68"/>
        <v>0</v>
      </c>
      <c r="BC122" s="2897">
        <f t="shared" si="69"/>
        <v>0</v>
      </c>
      <c r="BD122" s="2897">
        <f t="shared" si="70"/>
        <v>0</v>
      </c>
      <c r="BE122" s="2897">
        <f t="shared" si="71"/>
        <v>0</v>
      </c>
      <c r="BF122" s="2897">
        <f t="shared" si="72"/>
        <v>0</v>
      </c>
      <c r="BG122" s="2897">
        <f t="shared" si="73"/>
        <v>0</v>
      </c>
      <c r="BH122" s="2897">
        <f t="shared" si="74"/>
        <v>0</v>
      </c>
      <c r="BI122" s="2897">
        <f t="shared" si="75"/>
        <v>0</v>
      </c>
      <c r="BJ122" s="2897">
        <f t="shared" si="76"/>
        <v>0</v>
      </c>
      <c r="BK122" s="2897">
        <f t="shared" si="77"/>
        <v>0</v>
      </c>
      <c r="BL122" s="2897">
        <f t="shared" si="78"/>
        <v>0</v>
      </c>
      <c r="BM122" s="2897">
        <f t="shared" si="79"/>
        <v>0</v>
      </c>
      <c r="BN122" s="2897">
        <f t="shared" si="80"/>
        <v>0</v>
      </c>
      <c r="BO122" s="2897">
        <f t="shared" si="81"/>
        <v>0</v>
      </c>
      <c r="BP122" s="2897">
        <f t="shared" si="82"/>
        <v>0</v>
      </c>
      <c r="BQ122" s="2897">
        <f t="shared" si="83"/>
        <v>0</v>
      </c>
      <c r="BR122" s="2897">
        <f t="shared" si="84"/>
        <v>0</v>
      </c>
      <c r="BS122" s="2897">
        <f t="shared" si="85"/>
        <v>0</v>
      </c>
      <c r="BT122" s="2971">
        <f t="shared" si="86"/>
        <v>0</v>
      </c>
    </row>
    <row r="123" spans="1:72">
      <c r="A123" s="2894"/>
      <c r="B123" s="2904"/>
      <c r="C123" s="2902"/>
      <c r="D123" s="2903"/>
      <c r="E123" s="2897">
        <f t="shared" si="87"/>
        <v>0</v>
      </c>
      <c r="F123" s="2898"/>
      <c r="G123" s="2899">
        <f t="shared" si="62"/>
        <v>0</v>
      </c>
      <c r="H123" s="2900">
        <f t="shared" si="63"/>
        <v>0</v>
      </c>
      <c r="I123" s="2906"/>
      <c r="J123" s="2918"/>
      <c r="K123" s="2906"/>
      <c r="L123" s="2918"/>
      <c r="M123" s="2918"/>
      <c r="N123" s="2918"/>
      <c r="O123" s="2918"/>
      <c r="P123" s="2918"/>
      <c r="Q123" s="2918"/>
      <c r="R123" s="2918"/>
      <c r="S123" s="2918"/>
      <c r="T123" s="2918"/>
      <c r="U123" s="2918"/>
      <c r="V123" s="2918"/>
      <c r="W123" s="2918"/>
      <c r="X123" s="2918"/>
      <c r="Y123" s="2918"/>
      <c r="Z123" s="2918"/>
      <c r="AA123" s="2918"/>
      <c r="AB123" s="2918"/>
      <c r="AC123" s="2897">
        <f t="shared" si="64"/>
        <v>0</v>
      </c>
      <c r="AD123" s="2929"/>
      <c r="AE123" s="2929"/>
      <c r="AF123" s="2906"/>
      <c r="AG123" s="2929"/>
      <c r="AH123" s="2929"/>
      <c r="AI123" s="2929"/>
      <c r="AJ123" s="2929"/>
      <c r="AK123" s="2929"/>
      <c r="AL123" s="2929"/>
      <c r="AM123" s="2929"/>
      <c r="AN123" s="2929"/>
      <c r="AO123" s="2929"/>
      <c r="AP123" s="2929"/>
      <c r="AQ123" s="2929"/>
      <c r="AR123" s="2929"/>
      <c r="AS123" s="2929"/>
      <c r="AT123" s="2949"/>
      <c r="AU123" s="2950"/>
      <c r="AV123" s="454">
        <f t="shared" si="88"/>
        <v>0</v>
      </c>
      <c r="AW123" s="454">
        <f t="shared" si="89"/>
        <v>0</v>
      </c>
      <c r="AX123" s="454">
        <f t="shared" si="90"/>
        <v>0</v>
      </c>
      <c r="AY123" s="2966">
        <f t="shared" si="65"/>
        <v>0</v>
      </c>
      <c r="AZ123" s="2897">
        <f t="shared" si="66"/>
        <v>0</v>
      </c>
      <c r="BA123" s="2897">
        <f t="shared" si="67"/>
        <v>0</v>
      </c>
      <c r="BB123" s="2897">
        <f t="shared" si="68"/>
        <v>0</v>
      </c>
      <c r="BC123" s="2897">
        <f t="shared" si="69"/>
        <v>0</v>
      </c>
      <c r="BD123" s="2897">
        <f t="shared" si="70"/>
        <v>0</v>
      </c>
      <c r="BE123" s="2897">
        <f t="shared" si="71"/>
        <v>0</v>
      </c>
      <c r="BF123" s="2897">
        <f t="shared" si="72"/>
        <v>0</v>
      </c>
      <c r="BG123" s="2897">
        <f t="shared" si="73"/>
        <v>0</v>
      </c>
      <c r="BH123" s="2897">
        <f t="shared" si="74"/>
        <v>0</v>
      </c>
      <c r="BI123" s="2897">
        <f t="shared" si="75"/>
        <v>0</v>
      </c>
      <c r="BJ123" s="2897">
        <f t="shared" si="76"/>
        <v>0</v>
      </c>
      <c r="BK123" s="2897">
        <f t="shared" si="77"/>
        <v>0</v>
      </c>
      <c r="BL123" s="2897">
        <f t="shared" si="78"/>
        <v>0</v>
      </c>
      <c r="BM123" s="2897">
        <f t="shared" si="79"/>
        <v>0</v>
      </c>
      <c r="BN123" s="2897">
        <f t="shared" si="80"/>
        <v>0</v>
      </c>
      <c r="BO123" s="2897">
        <f t="shared" si="81"/>
        <v>0</v>
      </c>
      <c r="BP123" s="2897">
        <f t="shared" si="82"/>
        <v>0</v>
      </c>
      <c r="BQ123" s="2897">
        <f t="shared" si="83"/>
        <v>0</v>
      </c>
      <c r="BR123" s="2897">
        <f t="shared" si="84"/>
        <v>0</v>
      </c>
      <c r="BS123" s="2897">
        <f t="shared" si="85"/>
        <v>0</v>
      </c>
      <c r="BT123" s="2971">
        <f t="shared" si="86"/>
        <v>0</v>
      </c>
    </row>
    <row r="124" spans="1:72">
      <c r="A124" s="2894"/>
      <c r="B124" s="2904"/>
      <c r="C124" s="2902"/>
      <c r="D124" s="2903"/>
      <c r="E124" s="2897">
        <f t="shared" si="87"/>
        <v>0</v>
      </c>
      <c r="F124" s="2898"/>
      <c r="G124" s="2899">
        <f t="shared" si="62"/>
        <v>0</v>
      </c>
      <c r="H124" s="2900">
        <f t="shared" si="63"/>
        <v>0</v>
      </c>
      <c r="I124" s="2906"/>
      <c r="J124" s="2918"/>
      <c r="K124" s="2906"/>
      <c r="L124" s="2918"/>
      <c r="M124" s="2918"/>
      <c r="N124" s="2918"/>
      <c r="O124" s="2918"/>
      <c r="P124" s="2918"/>
      <c r="Q124" s="2918"/>
      <c r="R124" s="2918"/>
      <c r="S124" s="2918"/>
      <c r="T124" s="2918"/>
      <c r="U124" s="2918"/>
      <c r="V124" s="2918"/>
      <c r="W124" s="2918"/>
      <c r="X124" s="2918"/>
      <c r="Y124" s="2918"/>
      <c r="Z124" s="2918"/>
      <c r="AA124" s="2918"/>
      <c r="AB124" s="2918"/>
      <c r="AC124" s="2897">
        <f t="shared" si="64"/>
        <v>0</v>
      </c>
      <c r="AD124" s="2929"/>
      <c r="AE124" s="2929"/>
      <c r="AF124" s="2906"/>
      <c r="AG124" s="2929"/>
      <c r="AH124" s="2929"/>
      <c r="AI124" s="2929"/>
      <c r="AJ124" s="2929"/>
      <c r="AK124" s="2929"/>
      <c r="AL124" s="2929"/>
      <c r="AM124" s="2929"/>
      <c r="AN124" s="2929"/>
      <c r="AO124" s="2929"/>
      <c r="AP124" s="2929"/>
      <c r="AQ124" s="2929"/>
      <c r="AR124" s="2929"/>
      <c r="AS124" s="2929"/>
      <c r="AT124" s="2949"/>
      <c r="AU124" s="2950"/>
      <c r="AV124" s="454">
        <f t="shared" si="88"/>
        <v>0</v>
      </c>
      <c r="AW124" s="454">
        <f t="shared" si="89"/>
        <v>0</v>
      </c>
      <c r="AX124" s="454">
        <f t="shared" si="90"/>
        <v>0</v>
      </c>
      <c r="AY124" s="2966">
        <f t="shared" si="65"/>
        <v>0</v>
      </c>
      <c r="AZ124" s="2897">
        <f t="shared" si="66"/>
        <v>0</v>
      </c>
      <c r="BA124" s="2897">
        <f t="shared" si="67"/>
        <v>0</v>
      </c>
      <c r="BB124" s="2897">
        <f t="shared" si="68"/>
        <v>0</v>
      </c>
      <c r="BC124" s="2897">
        <f t="shared" si="69"/>
        <v>0</v>
      </c>
      <c r="BD124" s="2897">
        <f t="shared" si="70"/>
        <v>0</v>
      </c>
      <c r="BE124" s="2897">
        <f t="shared" si="71"/>
        <v>0</v>
      </c>
      <c r="BF124" s="2897">
        <f t="shared" si="72"/>
        <v>0</v>
      </c>
      <c r="BG124" s="2897">
        <f t="shared" si="73"/>
        <v>0</v>
      </c>
      <c r="BH124" s="2897">
        <f t="shared" si="74"/>
        <v>0</v>
      </c>
      <c r="BI124" s="2897">
        <f t="shared" si="75"/>
        <v>0</v>
      </c>
      <c r="BJ124" s="2897">
        <f t="shared" si="76"/>
        <v>0</v>
      </c>
      <c r="BK124" s="2897">
        <f t="shared" si="77"/>
        <v>0</v>
      </c>
      <c r="BL124" s="2897">
        <f t="shared" si="78"/>
        <v>0</v>
      </c>
      <c r="BM124" s="2897">
        <f t="shared" si="79"/>
        <v>0</v>
      </c>
      <c r="BN124" s="2897">
        <f t="shared" si="80"/>
        <v>0</v>
      </c>
      <c r="BO124" s="2897">
        <f t="shared" si="81"/>
        <v>0</v>
      </c>
      <c r="BP124" s="2897">
        <f t="shared" si="82"/>
        <v>0</v>
      </c>
      <c r="BQ124" s="2897">
        <f t="shared" si="83"/>
        <v>0</v>
      </c>
      <c r="BR124" s="2897">
        <f t="shared" si="84"/>
        <v>0</v>
      </c>
      <c r="BS124" s="2897">
        <f t="shared" si="85"/>
        <v>0</v>
      </c>
      <c r="BT124" s="2971">
        <f t="shared" si="86"/>
        <v>0</v>
      </c>
    </row>
    <row r="125" spans="1:72">
      <c r="A125" s="2894"/>
      <c r="B125" s="2904"/>
      <c r="C125" s="2902"/>
      <c r="D125" s="2903"/>
      <c r="E125" s="2897">
        <f t="shared" si="87"/>
        <v>0</v>
      </c>
      <c r="F125" s="2898"/>
      <c r="G125" s="2899">
        <f t="shared" si="62"/>
        <v>0</v>
      </c>
      <c r="H125" s="2900">
        <f t="shared" si="63"/>
        <v>0</v>
      </c>
      <c r="I125" s="2906"/>
      <c r="J125" s="2918"/>
      <c r="K125" s="2906"/>
      <c r="L125" s="2918"/>
      <c r="M125" s="2918"/>
      <c r="N125" s="2918"/>
      <c r="O125" s="2918"/>
      <c r="P125" s="2918"/>
      <c r="Q125" s="2918"/>
      <c r="R125" s="2918"/>
      <c r="S125" s="2918"/>
      <c r="T125" s="2918"/>
      <c r="U125" s="2918"/>
      <c r="V125" s="2918"/>
      <c r="W125" s="2918"/>
      <c r="X125" s="2918"/>
      <c r="Y125" s="2918"/>
      <c r="Z125" s="2918"/>
      <c r="AA125" s="2918"/>
      <c r="AB125" s="2918"/>
      <c r="AC125" s="2897">
        <f t="shared" si="64"/>
        <v>0</v>
      </c>
      <c r="AD125" s="2929"/>
      <c r="AE125" s="2929"/>
      <c r="AF125" s="2906"/>
      <c r="AG125" s="2929"/>
      <c r="AH125" s="2929"/>
      <c r="AI125" s="2929"/>
      <c r="AJ125" s="2929"/>
      <c r="AK125" s="2929"/>
      <c r="AL125" s="2929"/>
      <c r="AM125" s="2929"/>
      <c r="AN125" s="2929"/>
      <c r="AO125" s="2929"/>
      <c r="AP125" s="2929"/>
      <c r="AQ125" s="2929"/>
      <c r="AR125" s="2929"/>
      <c r="AS125" s="2929"/>
      <c r="AT125" s="2949"/>
      <c r="AU125" s="2950"/>
      <c r="AV125" s="454">
        <f t="shared" si="88"/>
        <v>0</v>
      </c>
      <c r="AW125" s="454">
        <f t="shared" si="89"/>
        <v>0</v>
      </c>
      <c r="AX125" s="454">
        <f t="shared" si="90"/>
        <v>0</v>
      </c>
      <c r="AY125" s="2966">
        <f t="shared" si="65"/>
        <v>0</v>
      </c>
      <c r="AZ125" s="2897">
        <f t="shared" si="66"/>
        <v>0</v>
      </c>
      <c r="BA125" s="2897">
        <f t="shared" si="67"/>
        <v>0</v>
      </c>
      <c r="BB125" s="2897">
        <f t="shared" si="68"/>
        <v>0</v>
      </c>
      <c r="BC125" s="2897">
        <f t="shared" si="69"/>
        <v>0</v>
      </c>
      <c r="BD125" s="2897">
        <f t="shared" si="70"/>
        <v>0</v>
      </c>
      <c r="BE125" s="2897">
        <f t="shared" si="71"/>
        <v>0</v>
      </c>
      <c r="BF125" s="2897">
        <f t="shared" si="72"/>
        <v>0</v>
      </c>
      <c r="BG125" s="2897">
        <f t="shared" si="73"/>
        <v>0</v>
      </c>
      <c r="BH125" s="2897">
        <f t="shared" si="74"/>
        <v>0</v>
      </c>
      <c r="BI125" s="2897">
        <f t="shared" si="75"/>
        <v>0</v>
      </c>
      <c r="BJ125" s="2897">
        <f t="shared" si="76"/>
        <v>0</v>
      </c>
      <c r="BK125" s="2897">
        <f t="shared" si="77"/>
        <v>0</v>
      </c>
      <c r="BL125" s="2897">
        <f t="shared" si="78"/>
        <v>0</v>
      </c>
      <c r="BM125" s="2897">
        <f t="shared" si="79"/>
        <v>0</v>
      </c>
      <c r="BN125" s="2897">
        <f t="shared" si="80"/>
        <v>0</v>
      </c>
      <c r="BO125" s="2897">
        <f t="shared" si="81"/>
        <v>0</v>
      </c>
      <c r="BP125" s="2897">
        <f t="shared" si="82"/>
        <v>0</v>
      </c>
      <c r="BQ125" s="2897">
        <f t="shared" si="83"/>
        <v>0</v>
      </c>
      <c r="BR125" s="2897">
        <f t="shared" si="84"/>
        <v>0</v>
      </c>
      <c r="BS125" s="2897">
        <f t="shared" si="85"/>
        <v>0</v>
      </c>
      <c r="BT125" s="2971">
        <f t="shared" si="86"/>
        <v>0</v>
      </c>
    </row>
    <row r="126" spans="1:72">
      <c r="A126" s="2894"/>
      <c r="B126" s="2904"/>
      <c r="C126" s="2902"/>
      <c r="D126" s="2903"/>
      <c r="E126" s="2897">
        <f t="shared" si="87"/>
        <v>0</v>
      </c>
      <c r="F126" s="2898"/>
      <c r="G126" s="2899">
        <f t="shared" si="62"/>
        <v>0</v>
      </c>
      <c r="H126" s="2900">
        <f t="shared" si="63"/>
        <v>0</v>
      </c>
      <c r="I126" s="2906"/>
      <c r="J126" s="2918"/>
      <c r="K126" s="2906"/>
      <c r="L126" s="2918"/>
      <c r="M126" s="2918"/>
      <c r="N126" s="2918"/>
      <c r="O126" s="2918"/>
      <c r="P126" s="2918"/>
      <c r="Q126" s="2918"/>
      <c r="R126" s="2918"/>
      <c r="S126" s="2918"/>
      <c r="T126" s="2918"/>
      <c r="U126" s="2918"/>
      <c r="V126" s="2918"/>
      <c r="W126" s="2918"/>
      <c r="X126" s="2918"/>
      <c r="Y126" s="2918"/>
      <c r="Z126" s="2918"/>
      <c r="AA126" s="2918"/>
      <c r="AB126" s="2918"/>
      <c r="AC126" s="2897">
        <f t="shared" si="64"/>
        <v>0</v>
      </c>
      <c r="AD126" s="2929"/>
      <c r="AE126" s="2929"/>
      <c r="AF126" s="2906"/>
      <c r="AG126" s="2929"/>
      <c r="AH126" s="2929"/>
      <c r="AI126" s="2929"/>
      <c r="AJ126" s="2929"/>
      <c r="AK126" s="2929"/>
      <c r="AL126" s="2929"/>
      <c r="AM126" s="2929"/>
      <c r="AN126" s="2929"/>
      <c r="AO126" s="2929"/>
      <c r="AP126" s="2929"/>
      <c r="AQ126" s="2929"/>
      <c r="AR126" s="2929"/>
      <c r="AS126" s="2929"/>
      <c r="AT126" s="2949"/>
      <c r="AU126" s="2950"/>
      <c r="AV126" s="454">
        <f t="shared" si="88"/>
        <v>0</v>
      </c>
      <c r="AW126" s="454">
        <f t="shared" si="89"/>
        <v>0</v>
      </c>
      <c r="AX126" s="454">
        <f t="shared" si="90"/>
        <v>0</v>
      </c>
      <c r="AY126" s="2966">
        <f t="shared" si="65"/>
        <v>0</v>
      </c>
      <c r="AZ126" s="2897">
        <f t="shared" si="66"/>
        <v>0</v>
      </c>
      <c r="BA126" s="2897">
        <f t="shared" si="67"/>
        <v>0</v>
      </c>
      <c r="BB126" s="2897">
        <f t="shared" si="68"/>
        <v>0</v>
      </c>
      <c r="BC126" s="2897">
        <f t="shared" si="69"/>
        <v>0</v>
      </c>
      <c r="BD126" s="2897">
        <f t="shared" si="70"/>
        <v>0</v>
      </c>
      <c r="BE126" s="2897">
        <f t="shared" si="71"/>
        <v>0</v>
      </c>
      <c r="BF126" s="2897">
        <f t="shared" si="72"/>
        <v>0</v>
      </c>
      <c r="BG126" s="2897">
        <f t="shared" si="73"/>
        <v>0</v>
      </c>
      <c r="BH126" s="2897">
        <f t="shared" si="74"/>
        <v>0</v>
      </c>
      <c r="BI126" s="2897">
        <f t="shared" si="75"/>
        <v>0</v>
      </c>
      <c r="BJ126" s="2897">
        <f t="shared" si="76"/>
        <v>0</v>
      </c>
      <c r="BK126" s="2897">
        <f t="shared" si="77"/>
        <v>0</v>
      </c>
      <c r="BL126" s="2897">
        <f t="shared" si="78"/>
        <v>0</v>
      </c>
      <c r="BM126" s="2897">
        <f t="shared" si="79"/>
        <v>0</v>
      </c>
      <c r="BN126" s="2897">
        <f t="shared" si="80"/>
        <v>0</v>
      </c>
      <c r="BO126" s="2897">
        <f t="shared" si="81"/>
        <v>0</v>
      </c>
      <c r="BP126" s="2897">
        <f t="shared" si="82"/>
        <v>0</v>
      </c>
      <c r="BQ126" s="2897">
        <f t="shared" si="83"/>
        <v>0</v>
      </c>
      <c r="BR126" s="2897">
        <f t="shared" si="84"/>
        <v>0</v>
      </c>
      <c r="BS126" s="2897">
        <f t="shared" si="85"/>
        <v>0</v>
      </c>
      <c r="BT126" s="2971">
        <f t="shared" si="86"/>
        <v>0</v>
      </c>
    </row>
    <row r="127" spans="1:72">
      <c r="A127" s="2894"/>
      <c r="B127" s="2904"/>
      <c r="C127" s="2902"/>
      <c r="D127" s="2903"/>
      <c r="E127" s="2897">
        <f t="shared" si="87"/>
        <v>0</v>
      </c>
      <c r="F127" s="2898"/>
      <c r="G127" s="2899">
        <f t="shared" si="62"/>
        <v>0</v>
      </c>
      <c r="H127" s="2900">
        <f t="shared" si="63"/>
        <v>0</v>
      </c>
      <c r="I127" s="2906"/>
      <c r="J127" s="2918"/>
      <c r="K127" s="2906"/>
      <c r="L127" s="2918"/>
      <c r="M127" s="2918"/>
      <c r="N127" s="2918"/>
      <c r="O127" s="2918"/>
      <c r="P127" s="2918"/>
      <c r="Q127" s="2918"/>
      <c r="R127" s="2918"/>
      <c r="S127" s="2918"/>
      <c r="T127" s="2918"/>
      <c r="U127" s="2918"/>
      <c r="V127" s="2918"/>
      <c r="W127" s="2918"/>
      <c r="X127" s="2918"/>
      <c r="Y127" s="2918"/>
      <c r="Z127" s="2918"/>
      <c r="AA127" s="2918"/>
      <c r="AB127" s="2918"/>
      <c r="AC127" s="2897">
        <f t="shared" si="64"/>
        <v>0</v>
      </c>
      <c r="AD127" s="2929"/>
      <c r="AE127" s="2929"/>
      <c r="AF127" s="2906"/>
      <c r="AG127" s="2929"/>
      <c r="AH127" s="2929"/>
      <c r="AI127" s="2929"/>
      <c r="AJ127" s="2929"/>
      <c r="AK127" s="2929"/>
      <c r="AL127" s="2929"/>
      <c r="AM127" s="2929"/>
      <c r="AN127" s="2929"/>
      <c r="AO127" s="2929"/>
      <c r="AP127" s="2929"/>
      <c r="AQ127" s="2929"/>
      <c r="AR127" s="2929"/>
      <c r="AS127" s="2929"/>
      <c r="AT127" s="2949"/>
      <c r="AU127" s="2950"/>
      <c r="AV127" s="454">
        <f t="shared" si="88"/>
        <v>0</v>
      </c>
      <c r="AW127" s="454">
        <f t="shared" si="89"/>
        <v>0</v>
      </c>
      <c r="AX127" s="454">
        <f t="shared" si="90"/>
        <v>0</v>
      </c>
      <c r="AY127" s="2966">
        <f t="shared" si="65"/>
        <v>0</v>
      </c>
      <c r="AZ127" s="2897">
        <f t="shared" si="66"/>
        <v>0</v>
      </c>
      <c r="BA127" s="2897">
        <f t="shared" si="67"/>
        <v>0</v>
      </c>
      <c r="BB127" s="2897">
        <f t="shared" si="68"/>
        <v>0</v>
      </c>
      <c r="BC127" s="2897">
        <f t="shared" si="69"/>
        <v>0</v>
      </c>
      <c r="BD127" s="2897">
        <f t="shared" si="70"/>
        <v>0</v>
      </c>
      <c r="BE127" s="2897">
        <f t="shared" si="71"/>
        <v>0</v>
      </c>
      <c r="BF127" s="2897">
        <f t="shared" si="72"/>
        <v>0</v>
      </c>
      <c r="BG127" s="2897">
        <f t="shared" si="73"/>
        <v>0</v>
      </c>
      <c r="BH127" s="2897">
        <f t="shared" si="74"/>
        <v>0</v>
      </c>
      <c r="BI127" s="2897">
        <f t="shared" si="75"/>
        <v>0</v>
      </c>
      <c r="BJ127" s="2897">
        <f t="shared" si="76"/>
        <v>0</v>
      </c>
      <c r="BK127" s="2897">
        <f t="shared" si="77"/>
        <v>0</v>
      </c>
      <c r="BL127" s="2897">
        <f t="shared" si="78"/>
        <v>0</v>
      </c>
      <c r="BM127" s="2897">
        <f t="shared" si="79"/>
        <v>0</v>
      </c>
      <c r="BN127" s="2897">
        <f t="shared" si="80"/>
        <v>0</v>
      </c>
      <c r="BO127" s="2897">
        <f t="shared" si="81"/>
        <v>0</v>
      </c>
      <c r="BP127" s="2897">
        <f t="shared" si="82"/>
        <v>0</v>
      </c>
      <c r="BQ127" s="2897">
        <f t="shared" si="83"/>
        <v>0</v>
      </c>
      <c r="BR127" s="2897">
        <f t="shared" si="84"/>
        <v>0</v>
      </c>
      <c r="BS127" s="2897">
        <f t="shared" si="85"/>
        <v>0</v>
      </c>
      <c r="BT127" s="2971">
        <f t="shared" si="86"/>
        <v>0</v>
      </c>
    </row>
    <row r="128" spans="1:72">
      <c r="A128" s="2894"/>
      <c r="B128" s="2904"/>
      <c r="C128" s="2902"/>
      <c r="D128" s="2903"/>
      <c r="E128" s="2897">
        <f t="shared" si="87"/>
        <v>0</v>
      </c>
      <c r="F128" s="2898"/>
      <c r="G128" s="2899">
        <f t="shared" si="62"/>
        <v>0</v>
      </c>
      <c r="H128" s="2900">
        <f t="shared" si="63"/>
        <v>0</v>
      </c>
      <c r="I128" s="2906"/>
      <c r="J128" s="2918"/>
      <c r="K128" s="2906"/>
      <c r="L128" s="2918"/>
      <c r="M128" s="2918"/>
      <c r="N128" s="2918"/>
      <c r="O128" s="2918"/>
      <c r="P128" s="2918"/>
      <c r="Q128" s="2918"/>
      <c r="R128" s="2918"/>
      <c r="S128" s="2918"/>
      <c r="T128" s="2918"/>
      <c r="U128" s="2918"/>
      <c r="V128" s="2918"/>
      <c r="W128" s="2918"/>
      <c r="X128" s="2918"/>
      <c r="Y128" s="2918"/>
      <c r="Z128" s="2918"/>
      <c r="AA128" s="2918"/>
      <c r="AB128" s="2918"/>
      <c r="AC128" s="2897">
        <f t="shared" si="64"/>
        <v>0</v>
      </c>
      <c r="AD128" s="2929"/>
      <c r="AE128" s="2929"/>
      <c r="AF128" s="2906"/>
      <c r="AG128" s="2929"/>
      <c r="AH128" s="2929"/>
      <c r="AI128" s="2929"/>
      <c r="AJ128" s="2929"/>
      <c r="AK128" s="2929"/>
      <c r="AL128" s="2929"/>
      <c r="AM128" s="2929"/>
      <c r="AN128" s="2929"/>
      <c r="AO128" s="2929"/>
      <c r="AP128" s="2929"/>
      <c r="AQ128" s="2929"/>
      <c r="AR128" s="2929"/>
      <c r="AS128" s="2929"/>
      <c r="AT128" s="2949"/>
      <c r="AU128" s="2950"/>
      <c r="AV128" s="454">
        <f t="shared" si="88"/>
        <v>0</v>
      </c>
      <c r="AW128" s="454">
        <f t="shared" si="89"/>
        <v>0</v>
      </c>
      <c r="AX128" s="454">
        <f t="shared" si="90"/>
        <v>0</v>
      </c>
      <c r="AY128" s="2966">
        <f t="shared" si="65"/>
        <v>0</v>
      </c>
      <c r="AZ128" s="2897">
        <f t="shared" si="66"/>
        <v>0</v>
      </c>
      <c r="BA128" s="2897">
        <f t="shared" si="67"/>
        <v>0</v>
      </c>
      <c r="BB128" s="2897">
        <f t="shared" si="68"/>
        <v>0</v>
      </c>
      <c r="BC128" s="2897">
        <f t="shared" si="69"/>
        <v>0</v>
      </c>
      <c r="BD128" s="2897">
        <f t="shared" si="70"/>
        <v>0</v>
      </c>
      <c r="BE128" s="2897">
        <f t="shared" si="71"/>
        <v>0</v>
      </c>
      <c r="BF128" s="2897">
        <f t="shared" si="72"/>
        <v>0</v>
      </c>
      <c r="BG128" s="2897">
        <f t="shared" si="73"/>
        <v>0</v>
      </c>
      <c r="BH128" s="2897">
        <f t="shared" si="74"/>
        <v>0</v>
      </c>
      <c r="BI128" s="2897">
        <f t="shared" si="75"/>
        <v>0</v>
      </c>
      <c r="BJ128" s="2897">
        <f t="shared" si="76"/>
        <v>0</v>
      </c>
      <c r="BK128" s="2897">
        <f t="shared" si="77"/>
        <v>0</v>
      </c>
      <c r="BL128" s="2897">
        <f t="shared" si="78"/>
        <v>0</v>
      </c>
      <c r="BM128" s="2897">
        <f t="shared" si="79"/>
        <v>0</v>
      </c>
      <c r="BN128" s="2897">
        <f t="shared" si="80"/>
        <v>0</v>
      </c>
      <c r="BO128" s="2897">
        <f t="shared" si="81"/>
        <v>0</v>
      </c>
      <c r="BP128" s="2897">
        <f t="shared" si="82"/>
        <v>0</v>
      </c>
      <c r="BQ128" s="2897">
        <f t="shared" si="83"/>
        <v>0</v>
      </c>
      <c r="BR128" s="2897">
        <f t="shared" si="84"/>
        <v>0</v>
      </c>
      <c r="BS128" s="2897">
        <f t="shared" si="85"/>
        <v>0</v>
      </c>
      <c r="BT128" s="2971">
        <f t="shared" si="86"/>
        <v>0</v>
      </c>
    </row>
    <row r="129" spans="1:72">
      <c r="A129" s="2894"/>
      <c r="B129" s="2904"/>
      <c r="C129" s="2902"/>
      <c r="D129" s="2903"/>
      <c r="E129" s="2897">
        <f t="shared" si="87"/>
        <v>0</v>
      </c>
      <c r="F129" s="2898"/>
      <c r="G129" s="2899">
        <f t="shared" si="62"/>
        <v>0</v>
      </c>
      <c r="H129" s="2900">
        <f t="shared" si="63"/>
        <v>0</v>
      </c>
      <c r="I129" s="2906"/>
      <c r="J129" s="2918"/>
      <c r="K129" s="2906"/>
      <c r="L129" s="2918"/>
      <c r="M129" s="2918"/>
      <c r="N129" s="2918"/>
      <c r="O129" s="2918"/>
      <c r="P129" s="2918"/>
      <c r="Q129" s="2918"/>
      <c r="R129" s="2918"/>
      <c r="S129" s="2918"/>
      <c r="T129" s="2918"/>
      <c r="U129" s="2918"/>
      <c r="V129" s="2918"/>
      <c r="W129" s="2918"/>
      <c r="X129" s="2918"/>
      <c r="Y129" s="2918"/>
      <c r="Z129" s="2918"/>
      <c r="AA129" s="2918"/>
      <c r="AB129" s="2918"/>
      <c r="AC129" s="2897">
        <f t="shared" si="64"/>
        <v>0</v>
      </c>
      <c r="AD129" s="2929"/>
      <c r="AE129" s="2929"/>
      <c r="AF129" s="2906"/>
      <c r="AG129" s="2929"/>
      <c r="AH129" s="2929"/>
      <c r="AI129" s="2929"/>
      <c r="AJ129" s="2929"/>
      <c r="AK129" s="2929"/>
      <c r="AL129" s="2929"/>
      <c r="AM129" s="2929"/>
      <c r="AN129" s="2929"/>
      <c r="AO129" s="2929"/>
      <c r="AP129" s="2929"/>
      <c r="AQ129" s="2929"/>
      <c r="AR129" s="2929"/>
      <c r="AS129" s="2929"/>
      <c r="AT129" s="2949"/>
      <c r="AU129" s="2950"/>
      <c r="AV129" s="454">
        <f t="shared" si="88"/>
        <v>0</v>
      </c>
      <c r="AW129" s="454">
        <f t="shared" si="89"/>
        <v>0</v>
      </c>
      <c r="AX129" s="454">
        <f t="shared" si="90"/>
        <v>0</v>
      </c>
      <c r="AY129" s="2966">
        <f t="shared" si="65"/>
        <v>0</v>
      </c>
      <c r="AZ129" s="2897">
        <f t="shared" si="66"/>
        <v>0</v>
      </c>
      <c r="BA129" s="2897">
        <f t="shared" si="67"/>
        <v>0</v>
      </c>
      <c r="BB129" s="2897">
        <f t="shared" si="68"/>
        <v>0</v>
      </c>
      <c r="BC129" s="2897">
        <f t="shared" si="69"/>
        <v>0</v>
      </c>
      <c r="BD129" s="2897">
        <f t="shared" si="70"/>
        <v>0</v>
      </c>
      <c r="BE129" s="2897">
        <f t="shared" si="71"/>
        <v>0</v>
      </c>
      <c r="BF129" s="2897">
        <f t="shared" si="72"/>
        <v>0</v>
      </c>
      <c r="BG129" s="2897">
        <f t="shared" si="73"/>
        <v>0</v>
      </c>
      <c r="BH129" s="2897">
        <f t="shared" si="74"/>
        <v>0</v>
      </c>
      <c r="BI129" s="2897">
        <f t="shared" si="75"/>
        <v>0</v>
      </c>
      <c r="BJ129" s="2897">
        <f t="shared" si="76"/>
        <v>0</v>
      </c>
      <c r="BK129" s="2897">
        <f t="shared" si="77"/>
        <v>0</v>
      </c>
      <c r="BL129" s="2897">
        <f t="shared" si="78"/>
        <v>0</v>
      </c>
      <c r="BM129" s="2897">
        <f t="shared" si="79"/>
        <v>0</v>
      </c>
      <c r="BN129" s="2897">
        <f t="shared" si="80"/>
        <v>0</v>
      </c>
      <c r="BO129" s="2897">
        <f t="shared" si="81"/>
        <v>0</v>
      </c>
      <c r="BP129" s="2897">
        <f t="shared" si="82"/>
        <v>0</v>
      </c>
      <c r="BQ129" s="2897">
        <f t="shared" si="83"/>
        <v>0</v>
      </c>
      <c r="BR129" s="2897">
        <f t="shared" si="84"/>
        <v>0</v>
      </c>
      <c r="BS129" s="2897">
        <f t="shared" si="85"/>
        <v>0</v>
      </c>
      <c r="BT129" s="2971">
        <f t="shared" si="86"/>
        <v>0</v>
      </c>
    </row>
    <row r="130" spans="1:72">
      <c r="A130" s="2894"/>
      <c r="B130" s="2904"/>
      <c r="C130" s="2902"/>
      <c r="D130" s="2903"/>
      <c r="E130" s="2897">
        <f t="shared" si="87"/>
        <v>0</v>
      </c>
      <c r="F130" s="2898"/>
      <c r="G130" s="2899">
        <f t="shared" si="62"/>
        <v>0</v>
      </c>
      <c r="H130" s="2900">
        <f t="shared" si="63"/>
        <v>0</v>
      </c>
      <c r="I130" s="2906"/>
      <c r="J130" s="2918"/>
      <c r="K130" s="2906"/>
      <c r="L130" s="2918"/>
      <c r="M130" s="2918"/>
      <c r="N130" s="2918"/>
      <c r="O130" s="2918"/>
      <c r="P130" s="2918"/>
      <c r="Q130" s="2918"/>
      <c r="R130" s="2918"/>
      <c r="S130" s="2918"/>
      <c r="T130" s="2918"/>
      <c r="U130" s="2918"/>
      <c r="V130" s="2918"/>
      <c r="W130" s="2918"/>
      <c r="X130" s="2918"/>
      <c r="Y130" s="2918"/>
      <c r="Z130" s="2918"/>
      <c r="AA130" s="2918"/>
      <c r="AB130" s="2918"/>
      <c r="AC130" s="2897">
        <f t="shared" si="64"/>
        <v>0</v>
      </c>
      <c r="AD130" s="2929"/>
      <c r="AE130" s="2929"/>
      <c r="AF130" s="2906"/>
      <c r="AG130" s="2929"/>
      <c r="AH130" s="2929"/>
      <c r="AI130" s="2929"/>
      <c r="AJ130" s="2929"/>
      <c r="AK130" s="2929"/>
      <c r="AL130" s="2929"/>
      <c r="AM130" s="2929"/>
      <c r="AN130" s="2929"/>
      <c r="AO130" s="2929"/>
      <c r="AP130" s="2929"/>
      <c r="AQ130" s="2929"/>
      <c r="AR130" s="2929"/>
      <c r="AS130" s="2929"/>
      <c r="AT130" s="2949"/>
      <c r="AU130" s="2950"/>
      <c r="AV130" s="454">
        <f t="shared" si="88"/>
        <v>0</v>
      </c>
      <c r="AW130" s="454">
        <f t="shared" si="89"/>
        <v>0</v>
      </c>
      <c r="AX130" s="454">
        <f t="shared" si="90"/>
        <v>0</v>
      </c>
      <c r="AY130" s="2966">
        <f t="shared" si="65"/>
        <v>0</v>
      </c>
      <c r="AZ130" s="2897">
        <f t="shared" si="66"/>
        <v>0</v>
      </c>
      <c r="BA130" s="2897">
        <f t="shared" si="67"/>
        <v>0</v>
      </c>
      <c r="BB130" s="2897">
        <f t="shared" si="68"/>
        <v>0</v>
      </c>
      <c r="BC130" s="2897">
        <f t="shared" si="69"/>
        <v>0</v>
      </c>
      <c r="BD130" s="2897">
        <f t="shared" si="70"/>
        <v>0</v>
      </c>
      <c r="BE130" s="2897">
        <f t="shared" si="71"/>
        <v>0</v>
      </c>
      <c r="BF130" s="2897">
        <f t="shared" si="72"/>
        <v>0</v>
      </c>
      <c r="BG130" s="2897">
        <f t="shared" si="73"/>
        <v>0</v>
      </c>
      <c r="BH130" s="2897">
        <f t="shared" si="74"/>
        <v>0</v>
      </c>
      <c r="BI130" s="2897">
        <f t="shared" si="75"/>
        <v>0</v>
      </c>
      <c r="BJ130" s="2897">
        <f t="shared" si="76"/>
        <v>0</v>
      </c>
      <c r="BK130" s="2897">
        <f t="shared" si="77"/>
        <v>0</v>
      </c>
      <c r="BL130" s="2897">
        <f t="shared" si="78"/>
        <v>0</v>
      </c>
      <c r="BM130" s="2897">
        <f t="shared" si="79"/>
        <v>0</v>
      </c>
      <c r="BN130" s="2897">
        <f t="shared" si="80"/>
        <v>0</v>
      </c>
      <c r="BO130" s="2897">
        <f t="shared" si="81"/>
        <v>0</v>
      </c>
      <c r="BP130" s="2897">
        <f t="shared" si="82"/>
        <v>0</v>
      </c>
      <c r="BQ130" s="2897">
        <f t="shared" si="83"/>
        <v>0</v>
      </c>
      <c r="BR130" s="2897">
        <f t="shared" si="84"/>
        <v>0</v>
      </c>
      <c r="BS130" s="2897">
        <f t="shared" si="85"/>
        <v>0</v>
      </c>
      <c r="BT130" s="2971">
        <f t="shared" si="86"/>
        <v>0</v>
      </c>
    </row>
    <row r="131" spans="1:72">
      <c r="A131" s="2894"/>
      <c r="B131" s="2904"/>
      <c r="C131" s="2902"/>
      <c r="D131" s="2903"/>
      <c r="E131" s="2897">
        <f t="shared" si="87"/>
        <v>0</v>
      </c>
      <c r="F131" s="2898"/>
      <c r="G131" s="2899">
        <f t="shared" si="62"/>
        <v>0</v>
      </c>
      <c r="H131" s="2900">
        <f t="shared" si="63"/>
        <v>0</v>
      </c>
      <c r="I131" s="2906"/>
      <c r="J131" s="2918"/>
      <c r="K131" s="2906"/>
      <c r="L131" s="2918"/>
      <c r="M131" s="2918"/>
      <c r="N131" s="2918"/>
      <c r="O131" s="2918"/>
      <c r="P131" s="2918"/>
      <c r="Q131" s="2918"/>
      <c r="R131" s="2918"/>
      <c r="S131" s="2918"/>
      <c r="T131" s="2918"/>
      <c r="U131" s="2918"/>
      <c r="V131" s="2918"/>
      <c r="W131" s="2918"/>
      <c r="X131" s="2918"/>
      <c r="Y131" s="2918"/>
      <c r="Z131" s="2918"/>
      <c r="AA131" s="2918"/>
      <c r="AB131" s="2918"/>
      <c r="AC131" s="2897">
        <f t="shared" si="64"/>
        <v>0</v>
      </c>
      <c r="AD131" s="2929"/>
      <c r="AE131" s="2929"/>
      <c r="AF131" s="2906"/>
      <c r="AG131" s="2929"/>
      <c r="AH131" s="2929"/>
      <c r="AI131" s="2929"/>
      <c r="AJ131" s="2929"/>
      <c r="AK131" s="2929"/>
      <c r="AL131" s="2929"/>
      <c r="AM131" s="2929"/>
      <c r="AN131" s="2929"/>
      <c r="AO131" s="2929"/>
      <c r="AP131" s="2929"/>
      <c r="AQ131" s="2929"/>
      <c r="AR131" s="2929"/>
      <c r="AS131" s="2929"/>
      <c r="AT131" s="2949"/>
      <c r="AU131" s="2950"/>
      <c r="AV131" s="454">
        <f t="shared" si="88"/>
        <v>0</v>
      </c>
      <c r="AW131" s="454">
        <f t="shared" si="89"/>
        <v>0</v>
      </c>
      <c r="AX131" s="454">
        <f t="shared" si="90"/>
        <v>0</v>
      </c>
      <c r="AY131" s="2966">
        <f t="shared" si="65"/>
        <v>0</v>
      </c>
      <c r="AZ131" s="2897">
        <f t="shared" si="66"/>
        <v>0</v>
      </c>
      <c r="BA131" s="2897">
        <f t="shared" si="67"/>
        <v>0</v>
      </c>
      <c r="BB131" s="2897">
        <f t="shared" si="68"/>
        <v>0</v>
      </c>
      <c r="BC131" s="2897">
        <f t="shared" si="69"/>
        <v>0</v>
      </c>
      <c r="BD131" s="2897">
        <f t="shared" si="70"/>
        <v>0</v>
      </c>
      <c r="BE131" s="2897">
        <f t="shared" si="71"/>
        <v>0</v>
      </c>
      <c r="BF131" s="2897">
        <f t="shared" si="72"/>
        <v>0</v>
      </c>
      <c r="BG131" s="2897">
        <f t="shared" si="73"/>
        <v>0</v>
      </c>
      <c r="BH131" s="2897">
        <f t="shared" si="74"/>
        <v>0</v>
      </c>
      <c r="BI131" s="2897">
        <f t="shared" si="75"/>
        <v>0</v>
      </c>
      <c r="BJ131" s="2897">
        <f t="shared" si="76"/>
        <v>0</v>
      </c>
      <c r="BK131" s="2897">
        <f t="shared" si="77"/>
        <v>0</v>
      </c>
      <c r="BL131" s="2897">
        <f t="shared" si="78"/>
        <v>0</v>
      </c>
      <c r="BM131" s="2897">
        <f t="shared" si="79"/>
        <v>0</v>
      </c>
      <c r="BN131" s="2897">
        <f t="shared" si="80"/>
        <v>0</v>
      </c>
      <c r="BO131" s="2897">
        <f t="shared" si="81"/>
        <v>0</v>
      </c>
      <c r="BP131" s="2897">
        <f t="shared" si="82"/>
        <v>0</v>
      </c>
      <c r="BQ131" s="2897">
        <f t="shared" si="83"/>
        <v>0</v>
      </c>
      <c r="BR131" s="2897">
        <f t="shared" si="84"/>
        <v>0</v>
      </c>
      <c r="BS131" s="2897">
        <f t="shared" si="85"/>
        <v>0</v>
      </c>
      <c r="BT131" s="2971">
        <f t="shared" si="86"/>
        <v>0</v>
      </c>
    </row>
    <row r="132" spans="1:72">
      <c r="A132" s="2894"/>
      <c r="B132" s="2904"/>
      <c r="C132" s="2902"/>
      <c r="D132" s="2903"/>
      <c r="E132" s="2897">
        <f t="shared" si="87"/>
        <v>0</v>
      </c>
      <c r="F132" s="2898"/>
      <c r="G132" s="2899">
        <f t="shared" si="62"/>
        <v>0</v>
      </c>
      <c r="H132" s="2900">
        <f t="shared" si="63"/>
        <v>0</v>
      </c>
      <c r="I132" s="2906"/>
      <c r="J132" s="2918"/>
      <c r="K132" s="2906"/>
      <c r="L132" s="2918"/>
      <c r="M132" s="2918"/>
      <c r="N132" s="2918"/>
      <c r="O132" s="2918"/>
      <c r="P132" s="2918"/>
      <c r="Q132" s="2918"/>
      <c r="R132" s="2918"/>
      <c r="S132" s="2918"/>
      <c r="T132" s="2918"/>
      <c r="U132" s="2918"/>
      <c r="V132" s="2918"/>
      <c r="W132" s="2918"/>
      <c r="X132" s="2918"/>
      <c r="Y132" s="2918"/>
      <c r="Z132" s="2918"/>
      <c r="AA132" s="2918"/>
      <c r="AB132" s="2918"/>
      <c r="AC132" s="2897">
        <f t="shared" si="64"/>
        <v>0</v>
      </c>
      <c r="AD132" s="2929"/>
      <c r="AE132" s="2929"/>
      <c r="AF132" s="2906"/>
      <c r="AG132" s="2929"/>
      <c r="AH132" s="2929"/>
      <c r="AI132" s="2929"/>
      <c r="AJ132" s="2929"/>
      <c r="AK132" s="2929"/>
      <c r="AL132" s="2929"/>
      <c r="AM132" s="2929"/>
      <c r="AN132" s="2929"/>
      <c r="AO132" s="2929"/>
      <c r="AP132" s="2929"/>
      <c r="AQ132" s="2929"/>
      <c r="AR132" s="2929"/>
      <c r="AS132" s="2929"/>
      <c r="AT132" s="2949"/>
      <c r="AU132" s="2950"/>
      <c r="AV132" s="454">
        <f t="shared" si="88"/>
        <v>0</v>
      </c>
      <c r="AW132" s="454">
        <f t="shared" si="89"/>
        <v>0</v>
      </c>
      <c r="AX132" s="454">
        <f t="shared" si="90"/>
        <v>0</v>
      </c>
      <c r="AY132" s="2966">
        <f t="shared" si="65"/>
        <v>0</v>
      </c>
      <c r="AZ132" s="2897">
        <f t="shared" si="66"/>
        <v>0</v>
      </c>
      <c r="BA132" s="2897">
        <f t="shared" si="67"/>
        <v>0</v>
      </c>
      <c r="BB132" s="2897">
        <f t="shared" si="68"/>
        <v>0</v>
      </c>
      <c r="BC132" s="2897">
        <f t="shared" si="69"/>
        <v>0</v>
      </c>
      <c r="BD132" s="2897">
        <f t="shared" si="70"/>
        <v>0</v>
      </c>
      <c r="BE132" s="2897">
        <f t="shared" si="71"/>
        <v>0</v>
      </c>
      <c r="BF132" s="2897">
        <f t="shared" si="72"/>
        <v>0</v>
      </c>
      <c r="BG132" s="2897">
        <f t="shared" si="73"/>
        <v>0</v>
      </c>
      <c r="BH132" s="2897">
        <f t="shared" si="74"/>
        <v>0</v>
      </c>
      <c r="BI132" s="2897">
        <f t="shared" si="75"/>
        <v>0</v>
      </c>
      <c r="BJ132" s="2897">
        <f t="shared" si="76"/>
        <v>0</v>
      </c>
      <c r="BK132" s="2897">
        <f t="shared" si="77"/>
        <v>0</v>
      </c>
      <c r="BL132" s="2897">
        <f t="shared" si="78"/>
        <v>0</v>
      </c>
      <c r="BM132" s="2897">
        <f t="shared" si="79"/>
        <v>0</v>
      </c>
      <c r="BN132" s="2897">
        <f t="shared" si="80"/>
        <v>0</v>
      </c>
      <c r="BO132" s="2897">
        <f t="shared" si="81"/>
        <v>0</v>
      </c>
      <c r="BP132" s="2897">
        <f t="shared" si="82"/>
        <v>0</v>
      </c>
      <c r="BQ132" s="2897">
        <f t="shared" si="83"/>
        <v>0</v>
      </c>
      <c r="BR132" s="2897">
        <f t="shared" si="84"/>
        <v>0</v>
      </c>
      <c r="BS132" s="2897">
        <f t="shared" si="85"/>
        <v>0</v>
      </c>
      <c r="BT132" s="2971">
        <f t="shared" si="86"/>
        <v>0</v>
      </c>
    </row>
    <row r="133" spans="1:72">
      <c r="A133" s="2894"/>
      <c r="B133" s="2904"/>
      <c r="C133" s="2902"/>
      <c r="D133" s="2903"/>
      <c r="E133" s="2897">
        <f t="shared" si="87"/>
        <v>0</v>
      </c>
      <c r="F133" s="2898"/>
      <c r="G133" s="2899">
        <f t="shared" si="62"/>
        <v>0</v>
      </c>
      <c r="H133" s="2900">
        <f t="shared" si="63"/>
        <v>0</v>
      </c>
      <c r="I133" s="2906"/>
      <c r="J133" s="2918"/>
      <c r="K133" s="2906"/>
      <c r="L133" s="2918"/>
      <c r="M133" s="2918"/>
      <c r="N133" s="2918"/>
      <c r="O133" s="2918"/>
      <c r="P133" s="2918"/>
      <c r="Q133" s="2918"/>
      <c r="R133" s="2918"/>
      <c r="S133" s="2918"/>
      <c r="T133" s="2918"/>
      <c r="U133" s="2918"/>
      <c r="V133" s="2918"/>
      <c r="W133" s="2918"/>
      <c r="X133" s="2918"/>
      <c r="Y133" s="2918"/>
      <c r="Z133" s="2918"/>
      <c r="AA133" s="2918"/>
      <c r="AB133" s="2918"/>
      <c r="AC133" s="2897">
        <f t="shared" si="64"/>
        <v>0</v>
      </c>
      <c r="AD133" s="2929"/>
      <c r="AE133" s="2929"/>
      <c r="AF133" s="2906"/>
      <c r="AG133" s="2929"/>
      <c r="AH133" s="2929"/>
      <c r="AI133" s="2929"/>
      <c r="AJ133" s="2929"/>
      <c r="AK133" s="2929"/>
      <c r="AL133" s="2929"/>
      <c r="AM133" s="2929"/>
      <c r="AN133" s="2929"/>
      <c r="AO133" s="2929"/>
      <c r="AP133" s="2929"/>
      <c r="AQ133" s="2929"/>
      <c r="AR133" s="2929"/>
      <c r="AS133" s="2929"/>
      <c r="AT133" s="2949"/>
      <c r="AU133" s="2950"/>
      <c r="AV133" s="454">
        <f t="shared" si="88"/>
        <v>0</v>
      </c>
      <c r="AW133" s="454">
        <f t="shared" si="89"/>
        <v>0</v>
      </c>
      <c r="AX133" s="454">
        <f t="shared" si="90"/>
        <v>0</v>
      </c>
      <c r="AY133" s="2966">
        <f t="shared" si="65"/>
        <v>0</v>
      </c>
      <c r="AZ133" s="2897">
        <f t="shared" si="66"/>
        <v>0</v>
      </c>
      <c r="BA133" s="2897">
        <f t="shared" si="67"/>
        <v>0</v>
      </c>
      <c r="BB133" s="2897">
        <f t="shared" si="68"/>
        <v>0</v>
      </c>
      <c r="BC133" s="2897">
        <f t="shared" si="69"/>
        <v>0</v>
      </c>
      <c r="BD133" s="2897">
        <f t="shared" si="70"/>
        <v>0</v>
      </c>
      <c r="BE133" s="2897">
        <f t="shared" si="71"/>
        <v>0</v>
      </c>
      <c r="BF133" s="2897">
        <f t="shared" si="72"/>
        <v>0</v>
      </c>
      <c r="BG133" s="2897">
        <f t="shared" si="73"/>
        <v>0</v>
      </c>
      <c r="BH133" s="2897">
        <f t="shared" si="74"/>
        <v>0</v>
      </c>
      <c r="BI133" s="2897">
        <f t="shared" si="75"/>
        <v>0</v>
      </c>
      <c r="BJ133" s="2897">
        <f t="shared" si="76"/>
        <v>0</v>
      </c>
      <c r="BK133" s="2897">
        <f t="shared" si="77"/>
        <v>0</v>
      </c>
      <c r="BL133" s="2897">
        <f t="shared" si="78"/>
        <v>0</v>
      </c>
      <c r="BM133" s="2897">
        <f t="shared" si="79"/>
        <v>0</v>
      </c>
      <c r="BN133" s="2897">
        <f t="shared" si="80"/>
        <v>0</v>
      </c>
      <c r="BO133" s="2897">
        <f t="shared" si="81"/>
        <v>0</v>
      </c>
      <c r="BP133" s="2897">
        <f t="shared" si="82"/>
        <v>0</v>
      </c>
      <c r="BQ133" s="2897">
        <f t="shared" si="83"/>
        <v>0</v>
      </c>
      <c r="BR133" s="2897">
        <f t="shared" si="84"/>
        <v>0</v>
      </c>
      <c r="BS133" s="2897">
        <f t="shared" si="85"/>
        <v>0</v>
      </c>
      <c r="BT133" s="2971">
        <f t="shared" si="86"/>
        <v>0</v>
      </c>
    </row>
    <row r="134" spans="1:72">
      <c r="A134" s="2894"/>
      <c r="B134" s="2904"/>
      <c r="C134" s="2902"/>
      <c r="D134" s="2903"/>
      <c r="E134" s="2897">
        <f t="shared" si="87"/>
        <v>0</v>
      </c>
      <c r="F134" s="2898"/>
      <c r="G134" s="2899">
        <f t="shared" si="62"/>
        <v>0</v>
      </c>
      <c r="H134" s="2900">
        <f t="shared" si="63"/>
        <v>0</v>
      </c>
      <c r="I134" s="2906"/>
      <c r="J134" s="2918"/>
      <c r="K134" s="2906"/>
      <c r="L134" s="2918"/>
      <c r="M134" s="2918"/>
      <c r="N134" s="2918"/>
      <c r="O134" s="2918"/>
      <c r="P134" s="2918"/>
      <c r="Q134" s="2918"/>
      <c r="R134" s="2918"/>
      <c r="S134" s="2918"/>
      <c r="T134" s="2918"/>
      <c r="U134" s="2918"/>
      <c r="V134" s="2918"/>
      <c r="W134" s="2918"/>
      <c r="X134" s="2918"/>
      <c r="Y134" s="2918"/>
      <c r="Z134" s="2918"/>
      <c r="AA134" s="2918"/>
      <c r="AB134" s="2918"/>
      <c r="AC134" s="2897">
        <f t="shared" si="64"/>
        <v>0</v>
      </c>
      <c r="AD134" s="2929"/>
      <c r="AE134" s="2929"/>
      <c r="AF134" s="2906"/>
      <c r="AG134" s="2929"/>
      <c r="AH134" s="2929"/>
      <c r="AI134" s="2929"/>
      <c r="AJ134" s="2929"/>
      <c r="AK134" s="2929"/>
      <c r="AL134" s="2929"/>
      <c r="AM134" s="2929"/>
      <c r="AN134" s="2929"/>
      <c r="AO134" s="2929"/>
      <c r="AP134" s="2929"/>
      <c r="AQ134" s="2929"/>
      <c r="AR134" s="2929"/>
      <c r="AS134" s="2929"/>
      <c r="AT134" s="2949"/>
      <c r="AU134" s="2950"/>
      <c r="AV134" s="454">
        <f t="shared" si="88"/>
        <v>0</v>
      </c>
      <c r="AW134" s="454">
        <f t="shared" si="89"/>
        <v>0</v>
      </c>
      <c r="AX134" s="454">
        <f t="shared" si="90"/>
        <v>0</v>
      </c>
      <c r="AY134" s="2966">
        <f t="shared" si="65"/>
        <v>0</v>
      </c>
      <c r="AZ134" s="2897">
        <f t="shared" si="66"/>
        <v>0</v>
      </c>
      <c r="BA134" s="2897">
        <f t="shared" si="67"/>
        <v>0</v>
      </c>
      <c r="BB134" s="2897">
        <f t="shared" si="68"/>
        <v>0</v>
      </c>
      <c r="BC134" s="2897">
        <f t="shared" si="69"/>
        <v>0</v>
      </c>
      <c r="BD134" s="2897">
        <f t="shared" si="70"/>
        <v>0</v>
      </c>
      <c r="BE134" s="2897">
        <f t="shared" si="71"/>
        <v>0</v>
      </c>
      <c r="BF134" s="2897">
        <f t="shared" si="72"/>
        <v>0</v>
      </c>
      <c r="BG134" s="2897">
        <f t="shared" si="73"/>
        <v>0</v>
      </c>
      <c r="BH134" s="2897">
        <f t="shared" si="74"/>
        <v>0</v>
      </c>
      <c r="BI134" s="2897">
        <f t="shared" si="75"/>
        <v>0</v>
      </c>
      <c r="BJ134" s="2897">
        <f t="shared" si="76"/>
        <v>0</v>
      </c>
      <c r="BK134" s="2897">
        <f t="shared" si="77"/>
        <v>0</v>
      </c>
      <c r="BL134" s="2897">
        <f t="shared" si="78"/>
        <v>0</v>
      </c>
      <c r="BM134" s="2897">
        <f t="shared" si="79"/>
        <v>0</v>
      </c>
      <c r="BN134" s="2897">
        <f t="shared" si="80"/>
        <v>0</v>
      </c>
      <c r="BO134" s="2897">
        <f t="shared" si="81"/>
        <v>0</v>
      </c>
      <c r="BP134" s="2897">
        <f t="shared" si="82"/>
        <v>0</v>
      </c>
      <c r="BQ134" s="2897">
        <f t="shared" si="83"/>
        <v>0</v>
      </c>
      <c r="BR134" s="2897">
        <f t="shared" si="84"/>
        <v>0</v>
      </c>
      <c r="BS134" s="2897">
        <f t="shared" si="85"/>
        <v>0</v>
      </c>
      <c r="BT134" s="2971">
        <f t="shared" si="86"/>
        <v>0</v>
      </c>
    </row>
    <row r="135" spans="1:72">
      <c r="A135" s="2894"/>
      <c r="B135" s="2904"/>
      <c r="C135" s="2902"/>
      <c r="D135" s="2903"/>
      <c r="E135" s="2897">
        <f t="shared" si="87"/>
        <v>0</v>
      </c>
      <c r="F135" s="2898"/>
      <c r="G135" s="2899">
        <f t="shared" si="62"/>
        <v>0</v>
      </c>
      <c r="H135" s="2900">
        <f t="shared" si="63"/>
        <v>0</v>
      </c>
      <c r="I135" s="2906"/>
      <c r="J135" s="2918"/>
      <c r="K135" s="2906"/>
      <c r="L135" s="2918"/>
      <c r="M135" s="2918"/>
      <c r="N135" s="2918"/>
      <c r="O135" s="2918"/>
      <c r="P135" s="2918"/>
      <c r="Q135" s="2918"/>
      <c r="R135" s="2918"/>
      <c r="S135" s="2918"/>
      <c r="T135" s="2918"/>
      <c r="U135" s="2918"/>
      <c r="V135" s="2918"/>
      <c r="W135" s="2918"/>
      <c r="X135" s="2918"/>
      <c r="Y135" s="2918"/>
      <c r="Z135" s="2918"/>
      <c r="AA135" s="2918"/>
      <c r="AB135" s="2918"/>
      <c r="AC135" s="2897">
        <f t="shared" si="64"/>
        <v>0</v>
      </c>
      <c r="AD135" s="2929"/>
      <c r="AE135" s="2929"/>
      <c r="AF135" s="2906"/>
      <c r="AG135" s="2929"/>
      <c r="AH135" s="2929"/>
      <c r="AI135" s="2929"/>
      <c r="AJ135" s="2929"/>
      <c r="AK135" s="2929"/>
      <c r="AL135" s="2929"/>
      <c r="AM135" s="2929"/>
      <c r="AN135" s="2929"/>
      <c r="AO135" s="2929"/>
      <c r="AP135" s="2929"/>
      <c r="AQ135" s="2929"/>
      <c r="AR135" s="2929"/>
      <c r="AS135" s="2929"/>
      <c r="AT135" s="2949"/>
      <c r="AU135" s="2950"/>
      <c r="AV135" s="454">
        <f t="shared" si="88"/>
        <v>0</v>
      </c>
      <c r="AW135" s="454">
        <f t="shared" si="89"/>
        <v>0</v>
      </c>
      <c r="AX135" s="454">
        <f t="shared" si="90"/>
        <v>0</v>
      </c>
      <c r="AY135" s="2966">
        <f t="shared" si="65"/>
        <v>0</v>
      </c>
      <c r="AZ135" s="2897">
        <f t="shared" si="66"/>
        <v>0</v>
      </c>
      <c r="BA135" s="2897">
        <f t="shared" si="67"/>
        <v>0</v>
      </c>
      <c r="BB135" s="2897">
        <f t="shared" si="68"/>
        <v>0</v>
      </c>
      <c r="BC135" s="2897">
        <f t="shared" si="69"/>
        <v>0</v>
      </c>
      <c r="BD135" s="2897">
        <f t="shared" si="70"/>
        <v>0</v>
      </c>
      <c r="BE135" s="2897">
        <f t="shared" si="71"/>
        <v>0</v>
      </c>
      <c r="BF135" s="2897">
        <f t="shared" si="72"/>
        <v>0</v>
      </c>
      <c r="BG135" s="2897">
        <f t="shared" si="73"/>
        <v>0</v>
      </c>
      <c r="BH135" s="2897">
        <f t="shared" si="74"/>
        <v>0</v>
      </c>
      <c r="BI135" s="2897">
        <f t="shared" si="75"/>
        <v>0</v>
      </c>
      <c r="BJ135" s="2897">
        <f t="shared" si="76"/>
        <v>0</v>
      </c>
      <c r="BK135" s="2897">
        <f t="shared" si="77"/>
        <v>0</v>
      </c>
      <c r="BL135" s="2897">
        <f t="shared" si="78"/>
        <v>0</v>
      </c>
      <c r="BM135" s="2897">
        <f t="shared" si="79"/>
        <v>0</v>
      </c>
      <c r="BN135" s="2897">
        <f t="shared" si="80"/>
        <v>0</v>
      </c>
      <c r="BO135" s="2897">
        <f t="shared" si="81"/>
        <v>0</v>
      </c>
      <c r="BP135" s="2897">
        <f t="shared" si="82"/>
        <v>0</v>
      </c>
      <c r="BQ135" s="2897">
        <f t="shared" si="83"/>
        <v>0</v>
      </c>
      <c r="BR135" s="2897">
        <f t="shared" si="84"/>
        <v>0</v>
      </c>
      <c r="BS135" s="2897">
        <f t="shared" si="85"/>
        <v>0</v>
      </c>
      <c r="BT135" s="2971">
        <f t="shared" si="86"/>
        <v>0</v>
      </c>
    </row>
    <row r="136" spans="1:72">
      <c r="A136" s="2894"/>
      <c r="B136" s="2904"/>
      <c r="C136" s="2902"/>
      <c r="D136" s="2903"/>
      <c r="E136" s="2897">
        <f t="shared" si="87"/>
        <v>0</v>
      </c>
      <c r="F136" s="2898"/>
      <c r="G136" s="2899">
        <f t="shared" si="62"/>
        <v>0</v>
      </c>
      <c r="H136" s="2900">
        <f t="shared" si="63"/>
        <v>0</v>
      </c>
      <c r="I136" s="2906"/>
      <c r="J136" s="2918"/>
      <c r="K136" s="2906"/>
      <c r="L136" s="2918"/>
      <c r="M136" s="2918"/>
      <c r="N136" s="2918"/>
      <c r="O136" s="2918"/>
      <c r="P136" s="2918"/>
      <c r="Q136" s="2918"/>
      <c r="R136" s="2918"/>
      <c r="S136" s="2918"/>
      <c r="T136" s="2918"/>
      <c r="U136" s="2918"/>
      <c r="V136" s="2918"/>
      <c r="W136" s="2918"/>
      <c r="X136" s="2918"/>
      <c r="Y136" s="2918"/>
      <c r="Z136" s="2918"/>
      <c r="AA136" s="2918"/>
      <c r="AB136" s="2918"/>
      <c r="AC136" s="2897">
        <f t="shared" si="64"/>
        <v>0</v>
      </c>
      <c r="AD136" s="2929"/>
      <c r="AE136" s="2929"/>
      <c r="AF136" s="2906"/>
      <c r="AG136" s="2929"/>
      <c r="AH136" s="2929"/>
      <c r="AI136" s="2929"/>
      <c r="AJ136" s="2929"/>
      <c r="AK136" s="2929"/>
      <c r="AL136" s="2929"/>
      <c r="AM136" s="2929"/>
      <c r="AN136" s="2929"/>
      <c r="AO136" s="2929"/>
      <c r="AP136" s="2929"/>
      <c r="AQ136" s="2929"/>
      <c r="AR136" s="2929"/>
      <c r="AS136" s="2929"/>
      <c r="AT136" s="2949"/>
      <c r="AU136" s="2950"/>
      <c r="AV136" s="454">
        <f t="shared" si="88"/>
        <v>0</v>
      </c>
      <c r="AW136" s="454">
        <f t="shared" si="89"/>
        <v>0</v>
      </c>
      <c r="AX136" s="454">
        <f t="shared" si="90"/>
        <v>0</v>
      </c>
      <c r="AY136" s="2966">
        <f t="shared" si="65"/>
        <v>0</v>
      </c>
      <c r="AZ136" s="2897">
        <f t="shared" si="66"/>
        <v>0</v>
      </c>
      <c r="BA136" s="2897">
        <f t="shared" si="67"/>
        <v>0</v>
      </c>
      <c r="BB136" s="2897">
        <f t="shared" si="68"/>
        <v>0</v>
      </c>
      <c r="BC136" s="2897">
        <f t="shared" si="69"/>
        <v>0</v>
      </c>
      <c r="BD136" s="2897">
        <f t="shared" si="70"/>
        <v>0</v>
      </c>
      <c r="BE136" s="2897">
        <f t="shared" si="71"/>
        <v>0</v>
      </c>
      <c r="BF136" s="2897">
        <f t="shared" si="72"/>
        <v>0</v>
      </c>
      <c r="BG136" s="2897">
        <f t="shared" si="73"/>
        <v>0</v>
      </c>
      <c r="BH136" s="2897">
        <f t="shared" si="74"/>
        <v>0</v>
      </c>
      <c r="BI136" s="2897">
        <f t="shared" si="75"/>
        <v>0</v>
      </c>
      <c r="BJ136" s="2897">
        <f t="shared" si="76"/>
        <v>0</v>
      </c>
      <c r="BK136" s="2897">
        <f t="shared" si="77"/>
        <v>0</v>
      </c>
      <c r="BL136" s="2897">
        <f t="shared" si="78"/>
        <v>0</v>
      </c>
      <c r="BM136" s="2897">
        <f t="shared" si="79"/>
        <v>0</v>
      </c>
      <c r="BN136" s="2897">
        <f t="shared" si="80"/>
        <v>0</v>
      </c>
      <c r="BO136" s="2897">
        <f t="shared" si="81"/>
        <v>0</v>
      </c>
      <c r="BP136" s="2897">
        <f t="shared" si="82"/>
        <v>0</v>
      </c>
      <c r="BQ136" s="2897">
        <f t="shared" si="83"/>
        <v>0</v>
      </c>
      <c r="BR136" s="2897">
        <f t="shared" si="84"/>
        <v>0</v>
      </c>
      <c r="BS136" s="2897">
        <f t="shared" si="85"/>
        <v>0</v>
      </c>
      <c r="BT136" s="2971">
        <f t="shared" si="86"/>
        <v>0</v>
      </c>
    </row>
    <row r="137" spans="1:72">
      <c r="A137" s="2894"/>
      <c r="B137" s="2904"/>
      <c r="C137" s="2902"/>
      <c r="D137" s="2903"/>
      <c r="E137" s="2897">
        <f t="shared" si="87"/>
        <v>0</v>
      </c>
      <c r="F137" s="2898"/>
      <c r="G137" s="2899">
        <f t="shared" si="62"/>
        <v>0</v>
      </c>
      <c r="H137" s="2900">
        <f t="shared" si="63"/>
        <v>0</v>
      </c>
      <c r="I137" s="2906"/>
      <c r="J137" s="2918"/>
      <c r="K137" s="2906"/>
      <c r="L137" s="2918"/>
      <c r="M137" s="2918"/>
      <c r="N137" s="2918"/>
      <c r="O137" s="2918"/>
      <c r="P137" s="2918"/>
      <c r="Q137" s="2918"/>
      <c r="R137" s="2918"/>
      <c r="S137" s="2918"/>
      <c r="T137" s="2918"/>
      <c r="U137" s="2918"/>
      <c r="V137" s="2918"/>
      <c r="W137" s="2918"/>
      <c r="X137" s="2918"/>
      <c r="Y137" s="2918"/>
      <c r="Z137" s="2918"/>
      <c r="AA137" s="2918"/>
      <c r="AB137" s="2918"/>
      <c r="AC137" s="2897">
        <f t="shared" si="64"/>
        <v>0</v>
      </c>
      <c r="AD137" s="2929"/>
      <c r="AE137" s="2929"/>
      <c r="AF137" s="2906"/>
      <c r="AG137" s="2929"/>
      <c r="AH137" s="2929"/>
      <c r="AI137" s="2929"/>
      <c r="AJ137" s="2929"/>
      <c r="AK137" s="2929"/>
      <c r="AL137" s="2929"/>
      <c r="AM137" s="2929"/>
      <c r="AN137" s="2929"/>
      <c r="AO137" s="2929"/>
      <c r="AP137" s="2929"/>
      <c r="AQ137" s="2929"/>
      <c r="AR137" s="2929"/>
      <c r="AS137" s="2929"/>
      <c r="AT137" s="2949"/>
      <c r="AU137" s="2950"/>
      <c r="AV137" s="454">
        <f t="shared" si="88"/>
        <v>0</v>
      </c>
      <c r="AW137" s="454">
        <f t="shared" si="89"/>
        <v>0</v>
      </c>
      <c r="AX137" s="454">
        <f t="shared" si="90"/>
        <v>0</v>
      </c>
      <c r="AY137" s="2966">
        <f t="shared" si="65"/>
        <v>0</v>
      </c>
      <c r="AZ137" s="2897">
        <f t="shared" si="66"/>
        <v>0</v>
      </c>
      <c r="BA137" s="2897">
        <f t="shared" si="67"/>
        <v>0</v>
      </c>
      <c r="BB137" s="2897">
        <f t="shared" si="68"/>
        <v>0</v>
      </c>
      <c r="BC137" s="2897">
        <f t="shared" si="69"/>
        <v>0</v>
      </c>
      <c r="BD137" s="2897">
        <f t="shared" si="70"/>
        <v>0</v>
      </c>
      <c r="BE137" s="2897">
        <f t="shared" si="71"/>
        <v>0</v>
      </c>
      <c r="BF137" s="2897">
        <f t="shared" si="72"/>
        <v>0</v>
      </c>
      <c r="BG137" s="2897">
        <f t="shared" si="73"/>
        <v>0</v>
      </c>
      <c r="BH137" s="2897">
        <f t="shared" si="74"/>
        <v>0</v>
      </c>
      <c r="BI137" s="2897">
        <f t="shared" si="75"/>
        <v>0</v>
      </c>
      <c r="BJ137" s="2897">
        <f t="shared" si="76"/>
        <v>0</v>
      </c>
      <c r="BK137" s="2897">
        <f t="shared" si="77"/>
        <v>0</v>
      </c>
      <c r="BL137" s="2897">
        <f t="shared" si="78"/>
        <v>0</v>
      </c>
      <c r="BM137" s="2897">
        <f t="shared" si="79"/>
        <v>0</v>
      </c>
      <c r="BN137" s="2897">
        <f t="shared" si="80"/>
        <v>0</v>
      </c>
      <c r="BO137" s="2897">
        <f t="shared" si="81"/>
        <v>0</v>
      </c>
      <c r="BP137" s="2897">
        <f t="shared" si="82"/>
        <v>0</v>
      </c>
      <c r="BQ137" s="2897">
        <f t="shared" si="83"/>
        <v>0</v>
      </c>
      <c r="BR137" s="2897">
        <f t="shared" si="84"/>
        <v>0</v>
      </c>
      <c r="BS137" s="2897">
        <f t="shared" si="85"/>
        <v>0</v>
      </c>
      <c r="BT137" s="2971">
        <f t="shared" si="86"/>
        <v>0</v>
      </c>
    </row>
    <row r="138" spans="1:72">
      <c r="A138" s="2894"/>
      <c r="B138" s="2904"/>
      <c r="C138" s="2902"/>
      <c r="D138" s="2903"/>
      <c r="E138" s="2897">
        <f t="shared" si="87"/>
        <v>0</v>
      </c>
      <c r="F138" s="2898"/>
      <c r="G138" s="2899">
        <f t="shared" si="62"/>
        <v>0</v>
      </c>
      <c r="H138" s="2900">
        <f t="shared" si="63"/>
        <v>0</v>
      </c>
      <c r="I138" s="2906"/>
      <c r="J138" s="2918"/>
      <c r="K138" s="2906"/>
      <c r="L138" s="2918"/>
      <c r="M138" s="2918"/>
      <c r="N138" s="2918"/>
      <c r="O138" s="2918"/>
      <c r="P138" s="2918"/>
      <c r="Q138" s="2918"/>
      <c r="R138" s="2918"/>
      <c r="S138" s="2918"/>
      <c r="T138" s="2918"/>
      <c r="U138" s="2918"/>
      <c r="V138" s="2918"/>
      <c r="W138" s="2918"/>
      <c r="X138" s="2918"/>
      <c r="Y138" s="2918"/>
      <c r="Z138" s="2918"/>
      <c r="AA138" s="2918"/>
      <c r="AB138" s="2918"/>
      <c r="AC138" s="2897">
        <f t="shared" si="64"/>
        <v>0</v>
      </c>
      <c r="AD138" s="2929"/>
      <c r="AE138" s="2929"/>
      <c r="AF138" s="2906"/>
      <c r="AG138" s="2929"/>
      <c r="AH138" s="2929"/>
      <c r="AI138" s="2929"/>
      <c r="AJ138" s="2929"/>
      <c r="AK138" s="2929"/>
      <c r="AL138" s="2929"/>
      <c r="AM138" s="2929"/>
      <c r="AN138" s="2929"/>
      <c r="AO138" s="2929"/>
      <c r="AP138" s="2929"/>
      <c r="AQ138" s="2929"/>
      <c r="AR138" s="2929"/>
      <c r="AS138" s="2929"/>
      <c r="AT138" s="2949"/>
      <c r="AU138" s="2950"/>
      <c r="AV138" s="454">
        <f t="shared" si="88"/>
        <v>0</v>
      </c>
      <c r="AW138" s="454">
        <f t="shared" si="89"/>
        <v>0</v>
      </c>
      <c r="AX138" s="454">
        <f t="shared" si="90"/>
        <v>0</v>
      </c>
      <c r="AY138" s="2966">
        <f t="shared" si="65"/>
        <v>0</v>
      </c>
      <c r="AZ138" s="2897">
        <f t="shared" si="66"/>
        <v>0</v>
      </c>
      <c r="BA138" s="2897">
        <f t="shared" si="67"/>
        <v>0</v>
      </c>
      <c r="BB138" s="2897">
        <f t="shared" si="68"/>
        <v>0</v>
      </c>
      <c r="BC138" s="2897">
        <f t="shared" si="69"/>
        <v>0</v>
      </c>
      <c r="BD138" s="2897">
        <f t="shared" si="70"/>
        <v>0</v>
      </c>
      <c r="BE138" s="2897">
        <f t="shared" si="71"/>
        <v>0</v>
      </c>
      <c r="BF138" s="2897">
        <f t="shared" si="72"/>
        <v>0</v>
      </c>
      <c r="BG138" s="2897">
        <f t="shared" si="73"/>
        <v>0</v>
      </c>
      <c r="BH138" s="2897">
        <f t="shared" si="74"/>
        <v>0</v>
      </c>
      <c r="BI138" s="2897">
        <f t="shared" si="75"/>
        <v>0</v>
      </c>
      <c r="BJ138" s="2897">
        <f t="shared" si="76"/>
        <v>0</v>
      </c>
      <c r="BK138" s="2897">
        <f t="shared" si="77"/>
        <v>0</v>
      </c>
      <c r="BL138" s="2897">
        <f t="shared" si="78"/>
        <v>0</v>
      </c>
      <c r="BM138" s="2897">
        <f t="shared" si="79"/>
        <v>0</v>
      </c>
      <c r="BN138" s="2897">
        <f t="shared" si="80"/>
        <v>0</v>
      </c>
      <c r="BO138" s="2897">
        <f t="shared" si="81"/>
        <v>0</v>
      </c>
      <c r="BP138" s="2897">
        <f t="shared" si="82"/>
        <v>0</v>
      </c>
      <c r="BQ138" s="2897">
        <f t="shared" si="83"/>
        <v>0</v>
      </c>
      <c r="BR138" s="2897">
        <f t="shared" si="84"/>
        <v>0</v>
      </c>
      <c r="BS138" s="2897">
        <f t="shared" si="85"/>
        <v>0</v>
      </c>
      <c r="BT138" s="2971">
        <f t="shared" si="86"/>
        <v>0</v>
      </c>
    </row>
    <row r="139" spans="1:72">
      <c r="A139" s="2894"/>
      <c r="B139" s="2904"/>
      <c r="C139" s="2902"/>
      <c r="D139" s="2903"/>
      <c r="E139" s="2897">
        <f t="shared" si="87"/>
        <v>0</v>
      </c>
      <c r="F139" s="2898"/>
      <c r="G139" s="2899">
        <f t="shared" si="62"/>
        <v>0</v>
      </c>
      <c r="H139" s="2900">
        <f t="shared" si="63"/>
        <v>0</v>
      </c>
      <c r="I139" s="2906"/>
      <c r="J139" s="2918"/>
      <c r="K139" s="2906"/>
      <c r="L139" s="2918"/>
      <c r="M139" s="2918"/>
      <c r="N139" s="2918"/>
      <c r="O139" s="2918"/>
      <c r="P139" s="2918"/>
      <c r="Q139" s="2918"/>
      <c r="R139" s="2918"/>
      <c r="S139" s="2918"/>
      <c r="T139" s="2918"/>
      <c r="U139" s="2918"/>
      <c r="V139" s="2918"/>
      <c r="W139" s="2918"/>
      <c r="X139" s="2918"/>
      <c r="Y139" s="2918"/>
      <c r="Z139" s="2918"/>
      <c r="AA139" s="2918"/>
      <c r="AB139" s="2918"/>
      <c r="AC139" s="2897">
        <f t="shared" si="64"/>
        <v>0</v>
      </c>
      <c r="AD139" s="2929"/>
      <c r="AE139" s="2929"/>
      <c r="AF139" s="2902"/>
      <c r="AG139" s="2929"/>
      <c r="AH139" s="2929"/>
      <c r="AI139" s="2929"/>
      <c r="AJ139" s="2929"/>
      <c r="AK139" s="2929"/>
      <c r="AL139" s="2929"/>
      <c r="AM139" s="2929"/>
      <c r="AN139" s="2929"/>
      <c r="AO139" s="2929"/>
      <c r="AP139" s="2929"/>
      <c r="AQ139" s="2929"/>
      <c r="AR139" s="2929"/>
      <c r="AS139" s="2929"/>
      <c r="AT139" s="2949"/>
      <c r="AU139" s="2950"/>
      <c r="AV139" s="454">
        <f t="shared" si="88"/>
        <v>0</v>
      </c>
      <c r="AW139" s="454">
        <f t="shared" si="89"/>
        <v>0</v>
      </c>
      <c r="AX139" s="454">
        <f t="shared" si="90"/>
        <v>0</v>
      </c>
      <c r="AY139" s="2966">
        <f t="shared" si="65"/>
        <v>0</v>
      </c>
      <c r="AZ139" s="2897">
        <f t="shared" si="66"/>
        <v>0</v>
      </c>
      <c r="BA139" s="2897">
        <f t="shared" si="67"/>
        <v>0</v>
      </c>
      <c r="BB139" s="2897">
        <f t="shared" si="68"/>
        <v>0</v>
      </c>
      <c r="BC139" s="2897">
        <f t="shared" si="69"/>
        <v>0</v>
      </c>
      <c r="BD139" s="2897">
        <f t="shared" si="70"/>
        <v>0</v>
      </c>
      <c r="BE139" s="2897">
        <f t="shared" si="71"/>
        <v>0</v>
      </c>
      <c r="BF139" s="2897">
        <f t="shared" si="72"/>
        <v>0</v>
      </c>
      <c r="BG139" s="2897">
        <f t="shared" si="73"/>
        <v>0</v>
      </c>
      <c r="BH139" s="2897">
        <f t="shared" si="74"/>
        <v>0</v>
      </c>
      <c r="BI139" s="2897">
        <f t="shared" si="75"/>
        <v>0</v>
      </c>
      <c r="BJ139" s="2897">
        <f t="shared" si="76"/>
        <v>0</v>
      </c>
      <c r="BK139" s="2897">
        <f t="shared" si="77"/>
        <v>0</v>
      </c>
      <c r="BL139" s="2897">
        <f t="shared" si="78"/>
        <v>0</v>
      </c>
      <c r="BM139" s="2897">
        <f t="shared" si="79"/>
        <v>0</v>
      </c>
      <c r="BN139" s="2897">
        <f t="shared" si="80"/>
        <v>0</v>
      </c>
      <c r="BO139" s="2897">
        <f t="shared" si="81"/>
        <v>0</v>
      </c>
      <c r="BP139" s="2897">
        <f t="shared" si="82"/>
        <v>0</v>
      </c>
      <c r="BQ139" s="2897">
        <f t="shared" si="83"/>
        <v>0</v>
      </c>
      <c r="BR139" s="2897">
        <f t="shared" si="84"/>
        <v>0</v>
      </c>
      <c r="BS139" s="2897">
        <f t="shared" si="85"/>
        <v>0</v>
      </c>
      <c r="BT139" s="2971">
        <f t="shared" si="86"/>
        <v>0</v>
      </c>
    </row>
    <row r="140" spans="1:72">
      <c r="A140" s="2894"/>
      <c r="B140" s="2904"/>
      <c r="C140" s="2902"/>
      <c r="D140" s="2903"/>
      <c r="E140" s="2897">
        <f t="shared" si="87"/>
        <v>0</v>
      </c>
      <c r="F140" s="2898"/>
      <c r="G140" s="2899">
        <f t="shared" si="62"/>
        <v>0</v>
      </c>
      <c r="H140" s="2900">
        <f t="shared" si="63"/>
        <v>0</v>
      </c>
      <c r="I140" s="2902"/>
      <c r="J140" s="2918"/>
      <c r="K140" s="2902"/>
      <c r="L140" s="2918"/>
      <c r="M140" s="2918"/>
      <c r="N140" s="2918"/>
      <c r="O140" s="2918"/>
      <c r="P140" s="2918"/>
      <c r="Q140" s="2918"/>
      <c r="R140" s="2918"/>
      <c r="S140" s="2918"/>
      <c r="T140" s="2918"/>
      <c r="U140" s="2918"/>
      <c r="V140" s="2918"/>
      <c r="W140" s="2918"/>
      <c r="X140" s="2918"/>
      <c r="Y140" s="2918"/>
      <c r="Z140" s="2918"/>
      <c r="AA140" s="2918"/>
      <c r="AB140" s="2918"/>
      <c r="AC140" s="2897">
        <f t="shared" si="64"/>
        <v>0</v>
      </c>
      <c r="AD140" s="2929"/>
      <c r="AE140" s="2929"/>
      <c r="AF140" s="2902"/>
      <c r="AG140" s="2929"/>
      <c r="AH140" s="2929"/>
      <c r="AI140" s="2929"/>
      <c r="AJ140" s="2929"/>
      <c r="AK140" s="2929"/>
      <c r="AL140" s="2929"/>
      <c r="AM140" s="2929"/>
      <c r="AN140" s="2929"/>
      <c r="AO140" s="2929"/>
      <c r="AP140" s="2929"/>
      <c r="AQ140" s="2929"/>
      <c r="AR140" s="2929"/>
      <c r="AS140" s="2929"/>
      <c r="AT140" s="2949"/>
      <c r="AU140" s="2950"/>
      <c r="AV140" s="454">
        <f t="shared" si="88"/>
        <v>0</v>
      </c>
      <c r="AW140" s="454">
        <f t="shared" si="89"/>
        <v>0</v>
      </c>
      <c r="AX140" s="454">
        <f t="shared" si="90"/>
        <v>0</v>
      </c>
      <c r="AY140" s="2966">
        <f t="shared" si="65"/>
        <v>0</v>
      </c>
      <c r="AZ140" s="2897">
        <f t="shared" si="66"/>
        <v>0</v>
      </c>
      <c r="BA140" s="2897">
        <f t="shared" si="67"/>
        <v>0</v>
      </c>
      <c r="BB140" s="2897">
        <f t="shared" si="68"/>
        <v>0</v>
      </c>
      <c r="BC140" s="2897">
        <f t="shared" si="69"/>
        <v>0</v>
      </c>
      <c r="BD140" s="2897">
        <f t="shared" si="70"/>
        <v>0</v>
      </c>
      <c r="BE140" s="2897">
        <f t="shared" si="71"/>
        <v>0</v>
      </c>
      <c r="BF140" s="2897">
        <f t="shared" si="72"/>
        <v>0</v>
      </c>
      <c r="BG140" s="2897">
        <f t="shared" si="73"/>
        <v>0</v>
      </c>
      <c r="BH140" s="2897">
        <f t="shared" si="74"/>
        <v>0</v>
      </c>
      <c r="BI140" s="2897">
        <f t="shared" si="75"/>
        <v>0</v>
      </c>
      <c r="BJ140" s="2897">
        <f t="shared" si="76"/>
        <v>0</v>
      </c>
      <c r="BK140" s="2897">
        <f t="shared" si="77"/>
        <v>0</v>
      </c>
      <c r="BL140" s="2897">
        <f t="shared" si="78"/>
        <v>0</v>
      </c>
      <c r="BM140" s="2897">
        <f t="shared" si="79"/>
        <v>0</v>
      </c>
      <c r="BN140" s="2897">
        <f t="shared" si="80"/>
        <v>0</v>
      </c>
      <c r="BO140" s="2897">
        <f t="shared" si="81"/>
        <v>0</v>
      </c>
      <c r="BP140" s="2897">
        <f t="shared" si="82"/>
        <v>0</v>
      </c>
      <c r="BQ140" s="2897">
        <f t="shared" si="83"/>
        <v>0</v>
      </c>
      <c r="BR140" s="2897">
        <f t="shared" si="84"/>
        <v>0</v>
      </c>
      <c r="BS140" s="2897">
        <f t="shared" si="85"/>
        <v>0</v>
      </c>
      <c r="BT140" s="2971">
        <f t="shared" si="86"/>
        <v>0</v>
      </c>
    </row>
    <row r="141" spans="1:72">
      <c r="A141" s="2894"/>
      <c r="B141" s="2904"/>
      <c r="C141" s="2902"/>
      <c r="D141" s="2903"/>
      <c r="E141" s="2897">
        <f t="shared" si="87"/>
        <v>0</v>
      </c>
      <c r="F141" s="2898"/>
      <c r="G141" s="2899">
        <f t="shared" si="62"/>
        <v>0</v>
      </c>
      <c r="H141" s="2900">
        <f t="shared" si="63"/>
        <v>0</v>
      </c>
      <c r="I141" s="2902"/>
      <c r="J141" s="2918"/>
      <c r="K141" s="2902"/>
      <c r="L141" s="2918"/>
      <c r="M141" s="2918"/>
      <c r="N141" s="2918"/>
      <c r="O141" s="2918"/>
      <c r="P141" s="2918"/>
      <c r="Q141" s="2918"/>
      <c r="R141" s="2918"/>
      <c r="S141" s="2918"/>
      <c r="T141" s="2918"/>
      <c r="U141" s="2918"/>
      <c r="V141" s="2918"/>
      <c r="W141" s="2918"/>
      <c r="X141" s="2918"/>
      <c r="Y141" s="2918"/>
      <c r="Z141" s="2918"/>
      <c r="AA141" s="2918"/>
      <c r="AB141" s="2918"/>
      <c r="AC141" s="2897">
        <f t="shared" si="64"/>
        <v>0</v>
      </c>
      <c r="AD141" s="2929"/>
      <c r="AE141" s="2929"/>
      <c r="AF141" s="2902"/>
      <c r="AG141" s="2929"/>
      <c r="AH141" s="2929"/>
      <c r="AI141" s="2929"/>
      <c r="AJ141" s="2929"/>
      <c r="AK141" s="2929"/>
      <c r="AL141" s="2929"/>
      <c r="AM141" s="2929"/>
      <c r="AN141" s="2929"/>
      <c r="AO141" s="2929"/>
      <c r="AP141" s="2929"/>
      <c r="AQ141" s="2929"/>
      <c r="AR141" s="2929"/>
      <c r="AS141" s="2929"/>
      <c r="AT141" s="2949"/>
      <c r="AU141" s="2950"/>
      <c r="AV141" s="454">
        <f t="shared" si="88"/>
        <v>0</v>
      </c>
      <c r="AW141" s="454">
        <f t="shared" si="89"/>
        <v>0</v>
      </c>
      <c r="AX141" s="454">
        <f t="shared" si="90"/>
        <v>0</v>
      </c>
      <c r="AY141" s="2966">
        <f t="shared" si="65"/>
        <v>0</v>
      </c>
      <c r="AZ141" s="2897">
        <f t="shared" si="66"/>
        <v>0</v>
      </c>
      <c r="BA141" s="2897">
        <f t="shared" si="67"/>
        <v>0</v>
      </c>
      <c r="BB141" s="2897">
        <f t="shared" si="68"/>
        <v>0</v>
      </c>
      <c r="BC141" s="2897">
        <f t="shared" si="69"/>
        <v>0</v>
      </c>
      <c r="BD141" s="2897">
        <f t="shared" si="70"/>
        <v>0</v>
      </c>
      <c r="BE141" s="2897">
        <f t="shared" si="71"/>
        <v>0</v>
      </c>
      <c r="BF141" s="2897">
        <f t="shared" si="72"/>
        <v>0</v>
      </c>
      <c r="BG141" s="2897">
        <f t="shared" si="73"/>
        <v>0</v>
      </c>
      <c r="BH141" s="2897">
        <f t="shared" si="74"/>
        <v>0</v>
      </c>
      <c r="BI141" s="2897">
        <f t="shared" si="75"/>
        <v>0</v>
      </c>
      <c r="BJ141" s="2897">
        <f t="shared" si="76"/>
        <v>0</v>
      </c>
      <c r="BK141" s="2897">
        <f t="shared" si="77"/>
        <v>0</v>
      </c>
      <c r="BL141" s="2897">
        <f t="shared" si="78"/>
        <v>0</v>
      </c>
      <c r="BM141" s="2897">
        <f t="shared" si="79"/>
        <v>0</v>
      </c>
      <c r="BN141" s="2897">
        <f t="shared" si="80"/>
        <v>0</v>
      </c>
      <c r="BO141" s="2897">
        <f t="shared" si="81"/>
        <v>0</v>
      </c>
      <c r="BP141" s="2897">
        <f t="shared" si="82"/>
        <v>0</v>
      </c>
      <c r="BQ141" s="2897">
        <f t="shared" si="83"/>
        <v>0</v>
      </c>
      <c r="BR141" s="2897">
        <f t="shared" si="84"/>
        <v>0</v>
      </c>
      <c r="BS141" s="2897">
        <f t="shared" si="85"/>
        <v>0</v>
      </c>
      <c r="BT141" s="2971">
        <f t="shared" si="86"/>
        <v>0</v>
      </c>
    </row>
    <row r="142" spans="1:72">
      <c r="A142" s="2894"/>
      <c r="B142" s="2904"/>
      <c r="C142" s="2902"/>
      <c r="D142" s="2903"/>
      <c r="E142" s="2897">
        <f t="shared" si="87"/>
        <v>0</v>
      </c>
      <c r="F142" s="2898"/>
      <c r="G142" s="2899">
        <f t="shared" ref="G142:G173" si="91">H142+AC142+AT142</f>
        <v>0</v>
      </c>
      <c r="H142" s="2900">
        <f t="shared" ref="H142:H173" si="92">SUMIF(I$12:AB$12,"总值",I142:AB142)</f>
        <v>0</v>
      </c>
      <c r="I142" s="2902"/>
      <c r="J142" s="2918"/>
      <c r="K142" s="2902"/>
      <c r="L142" s="2918"/>
      <c r="M142" s="2918"/>
      <c r="N142" s="2918"/>
      <c r="O142" s="2918"/>
      <c r="P142" s="2918"/>
      <c r="Q142" s="2918"/>
      <c r="R142" s="2918"/>
      <c r="S142" s="2918"/>
      <c r="T142" s="2918"/>
      <c r="U142" s="2918"/>
      <c r="V142" s="2918"/>
      <c r="W142" s="2918"/>
      <c r="X142" s="2918"/>
      <c r="Y142" s="2918"/>
      <c r="Z142" s="2918"/>
      <c r="AA142" s="2918"/>
      <c r="AB142" s="2918"/>
      <c r="AC142" s="2897">
        <f t="shared" ref="AC142:AC173" si="93">SUMIF(AD$12:AS$12,"总值",AD142:AS142)</f>
        <v>0</v>
      </c>
      <c r="AD142" s="2929"/>
      <c r="AE142" s="2929"/>
      <c r="AF142" s="2902"/>
      <c r="AG142" s="2929"/>
      <c r="AH142" s="2929"/>
      <c r="AI142" s="2929"/>
      <c r="AJ142" s="2929"/>
      <c r="AK142" s="2929"/>
      <c r="AL142" s="2929"/>
      <c r="AM142" s="2929"/>
      <c r="AN142" s="2929"/>
      <c r="AO142" s="2929"/>
      <c r="AP142" s="2929"/>
      <c r="AQ142" s="2929"/>
      <c r="AR142" s="2929"/>
      <c r="AS142" s="2929"/>
      <c r="AT142" s="2949"/>
      <c r="AU142" s="2950"/>
      <c r="AV142" s="454">
        <f t="shared" si="88"/>
        <v>0</v>
      </c>
      <c r="AW142" s="454">
        <f t="shared" si="89"/>
        <v>0</v>
      </c>
      <c r="AX142" s="454">
        <f t="shared" si="90"/>
        <v>0</v>
      </c>
      <c r="AY142" s="2966">
        <f t="shared" ref="AY142:AY173" si="94">ROUND($AY$6*AZ142/$AZ$5,2)</f>
        <v>0</v>
      </c>
      <c r="AZ142" s="2897">
        <f t="shared" ref="AZ142:AZ173" si="95">BA142+BL142</f>
        <v>0</v>
      </c>
      <c r="BA142" s="2897">
        <f t="shared" ref="BA142:BA173" si="96">SUM(BB142:BK142)</f>
        <v>0</v>
      </c>
      <c r="BB142" s="2897">
        <f t="shared" ref="BB142:BB173" si="97">IF($D142="是",I142-J142,0)</f>
        <v>0</v>
      </c>
      <c r="BC142" s="2897">
        <f t="shared" ref="BC142:BC173" si="98">IF($D142="是",K142-L142,0)</f>
        <v>0</v>
      </c>
      <c r="BD142" s="2897">
        <f t="shared" ref="BD142:BD173" si="99">IF($D142="是",M142-N142,0)</f>
        <v>0</v>
      </c>
      <c r="BE142" s="2897">
        <f t="shared" ref="BE142:BE173" si="100">IF($D142="是",O142-P142,0)</f>
        <v>0</v>
      </c>
      <c r="BF142" s="2897">
        <f t="shared" ref="BF142:BF173" si="101">IF($D142="是",Q142-R142,0)</f>
        <v>0</v>
      </c>
      <c r="BG142" s="2897">
        <f t="shared" ref="BG142:BG173" si="102">IF($D142="是",S142-T142,0)</f>
        <v>0</v>
      </c>
      <c r="BH142" s="2897">
        <f t="shared" ref="BH142:BH173" si="103">IF($D142="是",U142-V142,0)</f>
        <v>0</v>
      </c>
      <c r="BI142" s="2897">
        <f t="shared" ref="BI142:BI173" si="104">IF($D142="是",W142-X142,0)</f>
        <v>0</v>
      </c>
      <c r="BJ142" s="2897">
        <f t="shared" ref="BJ142:BJ173" si="105">IF($D142="是",Y142-Z142,0)</f>
        <v>0</v>
      </c>
      <c r="BK142" s="2897">
        <f t="shared" ref="BK142:BK173" si="106">IF($D142="是",AA142-AB142,0)</f>
        <v>0</v>
      </c>
      <c r="BL142" s="2897">
        <f t="shared" ref="BL142:BL173" si="107">SUM(BM142:BT142)</f>
        <v>0</v>
      </c>
      <c r="BM142" s="2897">
        <f t="shared" ref="BM142:BM173" si="108">IF($D142="是",AD142-AE142,0)</f>
        <v>0</v>
      </c>
      <c r="BN142" s="2897">
        <f t="shared" ref="BN142:BN173" si="109">IF($D142="是",AF142-AG142,0)</f>
        <v>0</v>
      </c>
      <c r="BO142" s="2897">
        <f t="shared" ref="BO142:BO173" si="110">IF($D142="是",AH142-AI142,0)</f>
        <v>0</v>
      </c>
      <c r="BP142" s="2897">
        <f t="shared" ref="BP142:BP173" si="111">IF($D142="是",AJ142-AK142,0)</f>
        <v>0</v>
      </c>
      <c r="BQ142" s="2897">
        <f t="shared" ref="BQ142:BQ173" si="112">IF($D142="是",AL142-AM142,0)</f>
        <v>0</v>
      </c>
      <c r="BR142" s="2897">
        <f t="shared" ref="BR142:BR173" si="113">IF($D142="是",AN142-AO142,0)</f>
        <v>0</v>
      </c>
      <c r="BS142" s="2897">
        <f t="shared" ref="BS142:BS173" si="114">IF($D142="是",AP142-AQ142,0)</f>
        <v>0</v>
      </c>
      <c r="BT142" s="2971">
        <f t="shared" ref="BT142:BT173" si="115">IF($D142="是",AR142-AS142,0)</f>
        <v>0</v>
      </c>
    </row>
    <row r="143" spans="1:72">
      <c r="A143" s="2894"/>
      <c r="B143" s="2904"/>
      <c r="C143" s="2902"/>
      <c r="D143" s="2903"/>
      <c r="E143" s="2897">
        <f t="shared" si="87"/>
        <v>0</v>
      </c>
      <c r="F143" s="2898"/>
      <c r="G143" s="2899">
        <f t="shared" si="91"/>
        <v>0</v>
      </c>
      <c r="H143" s="2900">
        <f t="shared" si="92"/>
        <v>0</v>
      </c>
      <c r="I143" s="2902"/>
      <c r="J143" s="2918"/>
      <c r="K143" s="2902"/>
      <c r="L143" s="2918"/>
      <c r="M143" s="2918"/>
      <c r="N143" s="2918"/>
      <c r="O143" s="2918"/>
      <c r="P143" s="2918"/>
      <c r="Q143" s="2918"/>
      <c r="R143" s="2918"/>
      <c r="S143" s="2918"/>
      <c r="T143" s="2918"/>
      <c r="U143" s="2918"/>
      <c r="V143" s="2918"/>
      <c r="W143" s="2918"/>
      <c r="X143" s="2918"/>
      <c r="Y143" s="2918"/>
      <c r="Z143" s="2918"/>
      <c r="AA143" s="2918"/>
      <c r="AB143" s="2918"/>
      <c r="AC143" s="2897">
        <f t="shared" si="93"/>
        <v>0</v>
      </c>
      <c r="AD143" s="2929"/>
      <c r="AE143" s="2929"/>
      <c r="AF143" s="2902"/>
      <c r="AG143" s="2929"/>
      <c r="AH143" s="2929"/>
      <c r="AI143" s="2929"/>
      <c r="AJ143" s="2929"/>
      <c r="AK143" s="2929"/>
      <c r="AL143" s="2929"/>
      <c r="AM143" s="2929"/>
      <c r="AN143" s="2929"/>
      <c r="AO143" s="2929"/>
      <c r="AP143" s="2929"/>
      <c r="AQ143" s="2929"/>
      <c r="AR143" s="2929"/>
      <c r="AS143" s="2929"/>
      <c r="AT143" s="2949"/>
      <c r="AU143" s="2950"/>
      <c r="AV143" s="454">
        <f t="shared" si="88"/>
        <v>0</v>
      </c>
      <c r="AW143" s="454">
        <f t="shared" si="89"/>
        <v>0</v>
      </c>
      <c r="AX143" s="454">
        <f t="shared" si="90"/>
        <v>0</v>
      </c>
      <c r="AY143" s="2966">
        <f t="shared" si="94"/>
        <v>0</v>
      </c>
      <c r="AZ143" s="2897">
        <f t="shared" si="95"/>
        <v>0</v>
      </c>
      <c r="BA143" s="2897">
        <f t="shared" si="96"/>
        <v>0</v>
      </c>
      <c r="BB143" s="2897">
        <f t="shared" si="97"/>
        <v>0</v>
      </c>
      <c r="BC143" s="2897">
        <f t="shared" si="98"/>
        <v>0</v>
      </c>
      <c r="BD143" s="2897">
        <f t="shared" si="99"/>
        <v>0</v>
      </c>
      <c r="BE143" s="2897">
        <f t="shared" si="100"/>
        <v>0</v>
      </c>
      <c r="BF143" s="2897">
        <f t="shared" si="101"/>
        <v>0</v>
      </c>
      <c r="BG143" s="2897">
        <f t="shared" si="102"/>
        <v>0</v>
      </c>
      <c r="BH143" s="2897">
        <f t="shared" si="103"/>
        <v>0</v>
      </c>
      <c r="BI143" s="2897">
        <f t="shared" si="104"/>
        <v>0</v>
      </c>
      <c r="BJ143" s="2897">
        <f t="shared" si="105"/>
        <v>0</v>
      </c>
      <c r="BK143" s="2897">
        <f t="shared" si="106"/>
        <v>0</v>
      </c>
      <c r="BL143" s="2897">
        <f t="shared" si="107"/>
        <v>0</v>
      </c>
      <c r="BM143" s="2897">
        <f t="shared" si="108"/>
        <v>0</v>
      </c>
      <c r="BN143" s="2897">
        <f t="shared" si="109"/>
        <v>0</v>
      </c>
      <c r="BO143" s="2897">
        <f t="shared" si="110"/>
        <v>0</v>
      </c>
      <c r="BP143" s="2897">
        <f t="shared" si="111"/>
        <v>0</v>
      </c>
      <c r="BQ143" s="2897">
        <f t="shared" si="112"/>
        <v>0</v>
      </c>
      <c r="BR143" s="2897">
        <f t="shared" si="113"/>
        <v>0</v>
      </c>
      <c r="BS143" s="2897">
        <f t="shared" si="114"/>
        <v>0</v>
      </c>
      <c r="BT143" s="2971">
        <f t="shared" si="115"/>
        <v>0</v>
      </c>
    </row>
    <row r="144" spans="1:72">
      <c r="A144" s="2894"/>
      <c r="B144" s="2904"/>
      <c r="C144" s="2902"/>
      <c r="D144" s="2903"/>
      <c r="E144" s="2897">
        <f t="shared" si="87"/>
        <v>0</v>
      </c>
      <c r="F144" s="2898"/>
      <c r="G144" s="2899">
        <f t="shared" si="91"/>
        <v>0</v>
      </c>
      <c r="H144" s="2900">
        <f t="shared" si="92"/>
        <v>0</v>
      </c>
      <c r="I144" s="2902"/>
      <c r="J144" s="2918"/>
      <c r="K144" s="2902"/>
      <c r="L144" s="2918"/>
      <c r="M144" s="2918"/>
      <c r="N144" s="2918"/>
      <c r="O144" s="2918"/>
      <c r="P144" s="2918"/>
      <c r="Q144" s="2918"/>
      <c r="R144" s="2918"/>
      <c r="S144" s="2918"/>
      <c r="T144" s="2918"/>
      <c r="U144" s="2918"/>
      <c r="V144" s="2918"/>
      <c r="W144" s="2918"/>
      <c r="X144" s="2918"/>
      <c r="Y144" s="2918"/>
      <c r="Z144" s="2918"/>
      <c r="AA144" s="2918"/>
      <c r="AB144" s="2918"/>
      <c r="AC144" s="2897">
        <f t="shared" si="93"/>
        <v>0</v>
      </c>
      <c r="AD144" s="2929"/>
      <c r="AE144" s="2929"/>
      <c r="AF144" s="2902"/>
      <c r="AG144" s="2929"/>
      <c r="AH144" s="2929"/>
      <c r="AI144" s="2929"/>
      <c r="AJ144" s="2929"/>
      <c r="AK144" s="2929"/>
      <c r="AL144" s="2929"/>
      <c r="AM144" s="2929"/>
      <c r="AN144" s="2929"/>
      <c r="AO144" s="2929"/>
      <c r="AP144" s="2929"/>
      <c r="AQ144" s="2929"/>
      <c r="AR144" s="2929"/>
      <c r="AS144" s="2929"/>
      <c r="AT144" s="2949"/>
      <c r="AU144" s="2950"/>
      <c r="AV144" s="454">
        <f t="shared" si="88"/>
        <v>0</v>
      </c>
      <c r="AW144" s="454">
        <f t="shared" si="89"/>
        <v>0</v>
      </c>
      <c r="AX144" s="454">
        <f t="shared" si="90"/>
        <v>0</v>
      </c>
      <c r="AY144" s="2966">
        <f t="shared" si="94"/>
        <v>0</v>
      </c>
      <c r="AZ144" s="2897">
        <f t="shared" si="95"/>
        <v>0</v>
      </c>
      <c r="BA144" s="2897">
        <f t="shared" si="96"/>
        <v>0</v>
      </c>
      <c r="BB144" s="2897">
        <f t="shared" si="97"/>
        <v>0</v>
      </c>
      <c r="BC144" s="2897">
        <f t="shared" si="98"/>
        <v>0</v>
      </c>
      <c r="BD144" s="2897">
        <f t="shared" si="99"/>
        <v>0</v>
      </c>
      <c r="BE144" s="2897">
        <f t="shared" si="100"/>
        <v>0</v>
      </c>
      <c r="BF144" s="2897">
        <f t="shared" si="101"/>
        <v>0</v>
      </c>
      <c r="BG144" s="2897">
        <f t="shared" si="102"/>
        <v>0</v>
      </c>
      <c r="BH144" s="2897">
        <f t="shared" si="103"/>
        <v>0</v>
      </c>
      <c r="BI144" s="2897">
        <f t="shared" si="104"/>
        <v>0</v>
      </c>
      <c r="BJ144" s="2897">
        <f t="shared" si="105"/>
        <v>0</v>
      </c>
      <c r="BK144" s="2897">
        <f t="shared" si="106"/>
        <v>0</v>
      </c>
      <c r="BL144" s="2897">
        <f t="shared" si="107"/>
        <v>0</v>
      </c>
      <c r="BM144" s="2897">
        <f t="shared" si="108"/>
        <v>0</v>
      </c>
      <c r="BN144" s="2897">
        <f t="shared" si="109"/>
        <v>0</v>
      </c>
      <c r="BO144" s="2897">
        <f t="shared" si="110"/>
        <v>0</v>
      </c>
      <c r="BP144" s="2897">
        <f t="shared" si="111"/>
        <v>0</v>
      </c>
      <c r="BQ144" s="2897">
        <f t="shared" si="112"/>
        <v>0</v>
      </c>
      <c r="BR144" s="2897">
        <f t="shared" si="113"/>
        <v>0</v>
      </c>
      <c r="BS144" s="2897">
        <f t="shared" si="114"/>
        <v>0</v>
      </c>
      <c r="BT144" s="2971">
        <f t="shared" si="115"/>
        <v>0</v>
      </c>
    </row>
    <row r="145" spans="1:72">
      <c r="A145" s="2894"/>
      <c r="B145" s="2904"/>
      <c r="C145" s="2902"/>
      <c r="D145" s="2903"/>
      <c r="E145" s="2897">
        <f t="shared" ref="E145:E176" si="116">IF($C$3="是",ROUND($A$3*G145/$B$3,2),ROUND($A$3*(G145-AT145)/$B$3,2))</f>
        <v>0</v>
      </c>
      <c r="F145" s="2898"/>
      <c r="G145" s="2899">
        <f t="shared" si="91"/>
        <v>0</v>
      </c>
      <c r="H145" s="2900">
        <f t="shared" si="92"/>
        <v>0</v>
      </c>
      <c r="I145" s="2902"/>
      <c r="J145" s="2918"/>
      <c r="K145" s="2902"/>
      <c r="L145" s="2918"/>
      <c r="M145" s="2918"/>
      <c r="N145" s="2918"/>
      <c r="O145" s="2918"/>
      <c r="P145" s="2918"/>
      <c r="Q145" s="2918"/>
      <c r="R145" s="2918"/>
      <c r="S145" s="2918"/>
      <c r="T145" s="2918"/>
      <c r="U145" s="2918"/>
      <c r="V145" s="2918"/>
      <c r="W145" s="2918"/>
      <c r="X145" s="2918"/>
      <c r="Y145" s="2918"/>
      <c r="Z145" s="2918"/>
      <c r="AA145" s="2918"/>
      <c r="AB145" s="2918"/>
      <c r="AC145" s="2897">
        <f t="shared" si="93"/>
        <v>0</v>
      </c>
      <c r="AD145" s="2929"/>
      <c r="AE145" s="2929"/>
      <c r="AF145" s="2902"/>
      <c r="AG145" s="2929"/>
      <c r="AH145" s="2929"/>
      <c r="AI145" s="2929"/>
      <c r="AJ145" s="2929"/>
      <c r="AK145" s="2929"/>
      <c r="AL145" s="2929"/>
      <c r="AM145" s="2929"/>
      <c r="AN145" s="2929"/>
      <c r="AO145" s="2929"/>
      <c r="AP145" s="2929"/>
      <c r="AQ145" s="2929"/>
      <c r="AR145" s="2929"/>
      <c r="AS145" s="2929"/>
      <c r="AT145" s="2949"/>
      <c r="AU145" s="2950"/>
      <c r="AV145" s="454">
        <f t="shared" ref="AV145:AV176" si="117">A145</f>
        <v>0</v>
      </c>
      <c r="AW145" s="454">
        <f t="shared" ref="AW145:AW176" si="118">B145</f>
        <v>0</v>
      </c>
      <c r="AX145" s="454">
        <f t="shared" ref="AX145:AX176" si="119">C145</f>
        <v>0</v>
      </c>
      <c r="AY145" s="2966">
        <f t="shared" si="94"/>
        <v>0</v>
      </c>
      <c r="AZ145" s="2897">
        <f t="shared" si="95"/>
        <v>0</v>
      </c>
      <c r="BA145" s="2897">
        <f t="shared" si="96"/>
        <v>0</v>
      </c>
      <c r="BB145" s="2897">
        <f t="shared" si="97"/>
        <v>0</v>
      </c>
      <c r="BC145" s="2897">
        <f t="shared" si="98"/>
        <v>0</v>
      </c>
      <c r="BD145" s="2897">
        <f t="shared" si="99"/>
        <v>0</v>
      </c>
      <c r="BE145" s="2897">
        <f t="shared" si="100"/>
        <v>0</v>
      </c>
      <c r="BF145" s="2897">
        <f t="shared" si="101"/>
        <v>0</v>
      </c>
      <c r="BG145" s="2897">
        <f t="shared" si="102"/>
        <v>0</v>
      </c>
      <c r="BH145" s="2897">
        <f t="shared" si="103"/>
        <v>0</v>
      </c>
      <c r="BI145" s="2897">
        <f t="shared" si="104"/>
        <v>0</v>
      </c>
      <c r="BJ145" s="2897">
        <f t="shared" si="105"/>
        <v>0</v>
      </c>
      <c r="BK145" s="2897">
        <f t="shared" si="106"/>
        <v>0</v>
      </c>
      <c r="BL145" s="2897">
        <f t="shared" si="107"/>
        <v>0</v>
      </c>
      <c r="BM145" s="2897">
        <f t="shared" si="108"/>
        <v>0</v>
      </c>
      <c r="BN145" s="2897">
        <f t="shared" si="109"/>
        <v>0</v>
      </c>
      <c r="BO145" s="2897">
        <f t="shared" si="110"/>
        <v>0</v>
      </c>
      <c r="BP145" s="2897">
        <f t="shared" si="111"/>
        <v>0</v>
      </c>
      <c r="BQ145" s="2897">
        <f t="shared" si="112"/>
        <v>0</v>
      </c>
      <c r="BR145" s="2897">
        <f t="shared" si="113"/>
        <v>0</v>
      </c>
      <c r="BS145" s="2897">
        <f t="shared" si="114"/>
        <v>0</v>
      </c>
      <c r="BT145" s="2971">
        <f t="shared" si="115"/>
        <v>0</v>
      </c>
    </row>
    <row r="146" spans="1:72">
      <c r="A146" s="2894"/>
      <c r="B146" s="2904"/>
      <c r="C146" s="2902"/>
      <c r="D146" s="2903"/>
      <c r="E146" s="2897">
        <f t="shared" si="116"/>
        <v>0</v>
      </c>
      <c r="F146" s="2898"/>
      <c r="G146" s="2899">
        <f t="shared" si="91"/>
        <v>0</v>
      </c>
      <c r="H146" s="2900">
        <f t="shared" si="92"/>
        <v>0</v>
      </c>
      <c r="I146" s="2902"/>
      <c r="J146" s="2918"/>
      <c r="K146" s="2902"/>
      <c r="L146" s="2918"/>
      <c r="M146" s="2918"/>
      <c r="N146" s="2918"/>
      <c r="O146" s="2918"/>
      <c r="P146" s="2918"/>
      <c r="Q146" s="2918"/>
      <c r="R146" s="2918"/>
      <c r="S146" s="2918"/>
      <c r="T146" s="2918"/>
      <c r="U146" s="2918"/>
      <c r="V146" s="2918"/>
      <c r="W146" s="2918"/>
      <c r="X146" s="2918"/>
      <c r="Y146" s="2918"/>
      <c r="Z146" s="2918"/>
      <c r="AA146" s="2918"/>
      <c r="AB146" s="2918"/>
      <c r="AC146" s="2897">
        <f t="shared" si="93"/>
        <v>0</v>
      </c>
      <c r="AD146" s="2929"/>
      <c r="AE146" s="2929"/>
      <c r="AF146" s="2902"/>
      <c r="AG146" s="2929"/>
      <c r="AH146" s="2929"/>
      <c r="AI146" s="2929"/>
      <c r="AJ146" s="2929"/>
      <c r="AK146" s="2929"/>
      <c r="AL146" s="2929"/>
      <c r="AM146" s="2929"/>
      <c r="AN146" s="2929"/>
      <c r="AO146" s="2929"/>
      <c r="AP146" s="2929"/>
      <c r="AQ146" s="2929"/>
      <c r="AR146" s="2929"/>
      <c r="AS146" s="2929"/>
      <c r="AT146" s="2949"/>
      <c r="AU146" s="2950"/>
      <c r="AV146" s="454">
        <f t="shared" si="117"/>
        <v>0</v>
      </c>
      <c r="AW146" s="454">
        <f t="shared" si="118"/>
        <v>0</v>
      </c>
      <c r="AX146" s="454">
        <f t="shared" si="119"/>
        <v>0</v>
      </c>
      <c r="AY146" s="2966">
        <f t="shared" si="94"/>
        <v>0</v>
      </c>
      <c r="AZ146" s="2897">
        <f t="shared" si="95"/>
        <v>0</v>
      </c>
      <c r="BA146" s="2897">
        <f t="shared" si="96"/>
        <v>0</v>
      </c>
      <c r="BB146" s="2897">
        <f t="shared" si="97"/>
        <v>0</v>
      </c>
      <c r="BC146" s="2897">
        <f t="shared" si="98"/>
        <v>0</v>
      </c>
      <c r="BD146" s="2897">
        <f t="shared" si="99"/>
        <v>0</v>
      </c>
      <c r="BE146" s="2897">
        <f t="shared" si="100"/>
        <v>0</v>
      </c>
      <c r="BF146" s="2897">
        <f t="shared" si="101"/>
        <v>0</v>
      </c>
      <c r="BG146" s="2897">
        <f t="shared" si="102"/>
        <v>0</v>
      </c>
      <c r="BH146" s="2897">
        <f t="shared" si="103"/>
        <v>0</v>
      </c>
      <c r="BI146" s="2897">
        <f t="shared" si="104"/>
        <v>0</v>
      </c>
      <c r="BJ146" s="2897">
        <f t="shared" si="105"/>
        <v>0</v>
      </c>
      <c r="BK146" s="2897">
        <f t="shared" si="106"/>
        <v>0</v>
      </c>
      <c r="BL146" s="2897">
        <f t="shared" si="107"/>
        <v>0</v>
      </c>
      <c r="BM146" s="2897">
        <f t="shared" si="108"/>
        <v>0</v>
      </c>
      <c r="BN146" s="2897">
        <f t="shared" si="109"/>
        <v>0</v>
      </c>
      <c r="BO146" s="2897">
        <f t="shared" si="110"/>
        <v>0</v>
      </c>
      <c r="BP146" s="2897">
        <f t="shared" si="111"/>
        <v>0</v>
      </c>
      <c r="BQ146" s="2897">
        <f t="shared" si="112"/>
        <v>0</v>
      </c>
      <c r="BR146" s="2897">
        <f t="shared" si="113"/>
        <v>0</v>
      </c>
      <c r="BS146" s="2897">
        <f t="shared" si="114"/>
        <v>0</v>
      </c>
      <c r="BT146" s="2971">
        <f t="shared" si="115"/>
        <v>0</v>
      </c>
    </row>
    <row r="147" spans="1:72">
      <c r="A147" s="2894"/>
      <c r="B147" s="2905"/>
      <c r="C147" s="2906"/>
      <c r="D147" s="2903"/>
      <c r="E147" s="2897">
        <f t="shared" si="116"/>
        <v>0</v>
      </c>
      <c r="F147" s="2898"/>
      <c r="G147" s="2899">
        <f t="shared" si="91"/>
        <v>0</v>
      </c>
      <c r="H147" s="2900">
        <f t="shared" si="92"/>
        <v>0</v>
      </c>
      <c r="I147" s="2902"/>
      <c r="J147" s="2918"/>
      <c r="K147" s="2902"/>
      <c r="L147" s="2918"/>
      <c r="M147" s="2902"/>
      <c r="N147" s="2918"/>
      <c r="O147" s="2918"/>
      <c r="P147" s="2918"/>
      <c r="Q147" s="2918"/>
      <c r="R147" s="2918"/>
      <c r="S147" s="2918"/>
      <c r="T147" s="2918"/>
      <c r="U147" s="2918"/>
      <c r="V147" s="2918"/>
      <c r="W147" s="2918"/>
      <c r="X147" s="2918"/>
      <c r="Y147" s="2918"/>
      <c r="Z147" s="2918"/>
      <c r="AA147" s="2918"/>
      <c r="AB147" s="2918"/>
      <c r="AC147" s="2897">
        <f t="shared" si="93"/>
        <v>0</v>
      </c>
      <c r="AD147" s="2929"/>
      <c r="AE147" s="2929"/>
      <c r="AF147" s="2902"/>
      <c r="AG147" s="2929"/>
      <c r="AH147" s="2929"/>
      <c r="AI147" s="2929"/>
      <c r="AJ147" s="2929"/>
      <c r="AK147" s="2929"/>
      <c r="AL147" s="2929"/>
      <c r="AM147" s="2929"/>
      <c r="AN147" s="2929"/>
      <c r="AO147" s="2929"/>
      <c r="AP147" s="2929"/>
      <c r="AQ147" s="2929"/>
      <c r="AR147" s="2929"/>
      <c r="AS147" s="2929"/>
      <c r="AT147" s="2949"/>
      <c r="AU147" s="2950"/>
      <c r="AV147" s="454">
        <f t="shared" si="117"/>
        <v>0</v>
      </c>
      <c r="AW147" s="454">
        <f t="shared" si="118"/>
        <v>0</v>
      </c>
      <c r="AX147" s="454">
        <f t="shared" si="119"/>
        <v>0</v>
      </c>
      <c r="AY147" s="2966">
        <f t="shared" si="94"/>
        <v>0</v>
      </c>
      <c r="AZ147" s="2897">
        <f t="shared" si="95"/>
        <v>0</v>
      </c>
      <c r="BA147" s="2897">
        <f t="shared" si="96"/>
        <v>0</v>
      </c>
      <c r="BB147" s="2897">
        <f t="shared" si="97"/>
        <v>0</v>
      </c>
      <c r="BC147" s="2897">
        <f t="shared" si="98"/>
        <v>0</v>
      </c>
      <c r="BD147" s="2897">
        <f t="shared" si="99"/>
        <v>0</v>
      </c>
      <c r="BE147" s="2897">
        <f t="shared" si="100"/>
        <v>0</v>
      </c>
      <c r="BF147" s="2897">
        <f t="shared" si="101"/>
        <v>0</v>
      </c>
      <c r="BG147" s="2897">
        <f t="shared" si="102"/>
        <v>0</v>
      </c>
      <c r="BH147" s="2897">
        <f t="shared" si="103"/>
        <v>0</v>
      </c>
      <c r="BI147" s="2897">
        <f t="shared" si="104"/>
        <v>0</v>
      </c>
      <c r="BJ147" s="2897">
        <f t="shared" si="105"/>
        <v>0</v>
      </c>
      <c r="BK147" s="2897">
        <f t="shared" si="106"/>
        <v>0</v>
      </c>
      <c r="BL147" s="2897">
        <f t="shared" si="107"/>
        <v>0</v>
      </c>
      <c r="BM147" s="2897">
        <f t="shared" si="108"/>
        <v>0</v>
      </c>
      <c r="BN147" s="2897">
        <f t="shared" si="109"/>
        <v>0</v>
      </c>
      <c r="BO147" s="2897">
        <f t="shared" si="110"/>
        <v>0</v>
      </c>
      <c r="BP147" s="2897">
        <f t="shared" si="111"/>
        <v>0</v>
      </c>
      <c r="BQ147" s="2897">
        <f t="shared" si="112"/>
        <v>0</v>
      </c>
      <c r="BR147" s="2897">
        <f t="shared" si="113"/>
        <v>0</v>
      </c>
      <c r="BS147" s="2897">
        <f t="shared" si="114"/>
        <v>0</v>
      </c>
      <c r="BT147" s="2971">
        <f t="shared" si="115"/>
        <v>0</v>
      </c>
    </row>
    <row r="148" spans="1:72">
      <c r="A148" s="2894"/>
      <c r="B148" s="2895"/>
      <c r="C148" s="2895"/>
      <c r="D148" s="2907"/>
      <c r="E148" s="2897">
        <f t="shared" si="116"/>
        <v>0</v>
      </c>
      <c r="F148" s="2898"/>
      <c r="G148" s="2899">
        <f t="shared" si="91"/>
        <v>0</v>
      </c>
      <c r="H148" s="2900">
        <f t="shared" si="92"/>
        <v>0</v>
      </c>
      <c r="I148" s="2918"/>
      <c r="J148" s="2918"/>
      <c r="K148" s="2918"/>
      <c r="L148" s="2918"/>
      <c r="M148" s="2918"/>
      <c r="N148" s="2918"/>
      <c r="O148" s="2918"/>
      <c r="P148" s="2918"/>
      <c r="Q148" s="2918"/>
      <c r="R148" s="2918"/>
      <c r="S148" s="2918"/>
      <c r="T148" s="2918"/>
      <c r="U148" s="2918"/>
      <c r="V148" s="2918"/>
      <c r="W148" s="2918"/>
      <c r="X148" s="2918"/>
      <c r="Y148" s="2918"/>
      <c r="Z148" s="2918"/>
      <c r="AA148" s="2918"/>
      <c r="AB148" s="2918"/>
      <c r="AC148" s="2897">
        <f t="shared" si="93"/>
        <v>0</v>
      </c>
      <c r="AD148" s="2929"/>
      <c r="AE148" s="2929"/>
      <c r="AF148" s="2929"/>
      <c r="AG148" s="2929"/>
      <c r="AH148" s="2929"/>
      <c r="AI148" s="2929"/>
      <c r="AJ148" s="2929"/>
      <c r="AK148" s="2929"/>
      <c r="AL148" s="2929"/>
      <c r="AM148" s="2929"/>
      <c r="AN148" s="2929"/>
      <c r="AO148" s="2929"/>
      <c r="AP148" s="2929"/>
      <c r="AQ148" s="2929"/>
      <c r="AR148" s="2929"/>
      <c r="AS148" s="2929"/>
      <c r="AT148" s="2949"/>
      <c r="AU148" s="2950"/>
      <c r="AV148" s="454">
        <f t="shared" si="117"/>
        <v>0</v>
      </c>
      <c r="AW148" s="454">
        <f t="shared" si="118"/>
        <v>0</v>
      </c>
      <c r="AX148" s="454">
        <f t="shared" si="119"/>
        <v>0</v>
      </c>
      <c r="AY148" s="2966">
        <f t="shared" si="94"/>
        <v>0</v>
      </c>
      <c r="AZ148" s="2897">
        <f t="shared" si="95"/>
        <v>0</v>
      </c>
      <c r="BA148" s="2897">
        <f t="shared" si="96"/>
        <v>0</v>
      </c>
      <c r="BB148" s="2897">
        <f t="shared" si="97"/>
        <v>0</v>
      </c>
      <c r="BC148" s="2897">
        <f t="shared" si="98"/>
        <v>0</v>
      </c>
      <c r="BD148" s="2897">
        <f t="shared" si="99"/>
        <v>0</v>
      </c>
      <c r="BE148" s="2897">
        <f t="shared" si="100"/>
        <v>0</v>
      </c>
      <c r="BF148" s="2897">
        <f t="shared" si="101"/>
        <v>0</v>
      </c>
      <c r="BG148" s="2897">
        <f t="shared" si="102"/>
        <v>0</v>
      </c>
      <c r="BH148" s="2897">
        <f t="shared" si="103"/>
        <v>0</v>
      </c>
      <c r="BI148" s="2897">
        <f t="shared" si="104"/>
        <v>0</v>
      </c>
      <c r="BJ148" s="2897">
        <f t="shared" si="105"/>
        <v>0</v>
      </c>
      <c r="BK148" s="2897">
        <f t="shared" si="106"/>
        <v>0</v>
      </c>
      <c r="BL148" s="2897">
        <f t="shared" si="107"/>
        <v>0</v>
      </c>
      <c r="BM148" s="2897">
        <f t="shared" si="108"/>
        <v>0</v>
      </c>
      <c r="BN148" s="2897">
        <f t="shared" si="109"/>
        <v>0</v>
      </c>
      <c r="BO148" s="2897">
        <f t="shared" si="110"/>
        <v>0</v>
      </c>
      <c r="BP148" s="2897">
        <f t="shared" si="111"/>
        <v>0</v>
      </c>
      <c r="BQ148" s="2897">
        <f t="shared" si="112"/>
        <v>0</v>
      </c>
      <c r="BR148" s="2897">
        <f t="shared" si="113"/>
        <v>0</v>
      </c>
      <c r="BS148" s="2897">
        <f t="shared" si="114"/>
        <v>0</v>
      </c>
      <c r="BT148" s="2971">
        <f t="shared" si="115"/>
        <v>0</v>
      </c>
    </row>
    <row r="149" spans="1:72">
      <c r="A149" s="2894"/>
      <c r="B149" s="2895"/>
      <c r="C149" s="2895"/>
      <c r="D149" s="2907"/>
      <c r="E149" s="2897">
        <f t="shared" si="116"/>
        <v>0</v>
      </c>
      <c r="F149" s="2898"/>
      <c r="G149" s="2899">
        <f t="shared" si="91"/>
        <v>0</v>
      </c>
      <c r="H149" s="2900">
        <f t="shared" si="92"/>
        <v>0</v>
      </c>
      <c r="I149" s="2918"/>
      <c r="J149" s="2918"/>
      <c r="K149" s="2918"/>
      <c r="L149" s="2918"/>
      <c r="M149" s="2918"/>
      <c r="N149" s="2918"/>
      <c r="O149" s="2918"/>
      <c r="P149" s="2918"/>
      <c r="Q149" s="2918"/>
      <c r="R149" s="2918"/>
      <c r="S149" s="2918"/>
      <c r="T149" s="2918"/>
      <c r="U149" s="2918"/>
      <c r="V149" s="2918"/>
      <c r="W149" s="2918"/>
      <c r="X149" s="2918"/>
      <c r="Y149" s="2918"/>
      <c r="Z149" s="2918"/>
      <c r="AA149" s="2918"/>
      <c r="AB149" s="2918"/>
      <c r="AC149" s="2897">
        <f t="shared" si="93"/>
        <v>0</v>
      </c>
      <c r="AD149" s="2929"/>
      <c r="AE149" s="2929"/>
      <c r="AF149" s="2929"/>
      <c r="AG149" s="2929"/>
      <c r="AH149" s="2929"/>
      <c r="AI149" s="2929"/>
      <c r="AJ149" s="2929"/>
      <c r="AK149" s="2929"/>
      <c r="AL149" s="2929"/>
      <c r="AM149" s="2929"/>
      <c r="AN149" s="2929"/>
      <c r="AO149" s="2929"/>
      <c r="AP149" s="2929"/>
      <c r="AQ149" s="2929"/>
      <c r="AR149" s="2929"/>
      <c r="AS149" s="2929"/>
      <c r="AT149" s="2949"/>
      <c r="AU149" s="2950"/>
      <c r="AV149" s="454">
        <f t="shared" si="117"/>
        <v>0</v>
      </c>
      <c r="AW149" s="454">
        <f t="shared" si="118"/>
        <v>0</v>
      </c>
      <c r="AX149" s="454">
        <f t="shared" si="119"/>
        <v>0</v>
      </c>
      <c r="AY149" s="2966">
        <f t="shared" si="94"/>
        <v>0</v>
      </c>
      <c r="AZ149" s="2897">
        <f t="shared" si="95"/>
        <v>0</v>
      </c>
      <c r="BA149" s="2897">
        <f t="shared" si="96"/>
        <v>0</v>
      </c>
      <c r="BB149" s="2897">
        <f t="shared" si="97"/>
        <v>0</v>
      </c>
      <c r="BC149" s="2897">
        <f t="shared" si="98"/>
        <v>0</v>
      </c>
      <c r="BD149" s="2897">
        <f t="shared" si="99"/>
        <v>0</v>
      </c>
      <c r="BE149" s="2897">
        <f t="shared" si="100"/>
        <v>0</v>
      </c>
      <c r="BF149" s="2897">
        <f t="shared" si="101"/>
        <v>0</v>
      </c>
      <c r="BG149" s="2897">
        <f t="shared" si="102"/>
        <v>0</v>
      </c>
      <c r="BH149" s="2897">
        <f t="shared" si="103"/>
        <v>0</v>
      </c>
      <c r="BI149" s="2897">
        <f t="shared" si="104"/>
        <v>0</v>
      </c>
      <c r="BJ149" s="2897">
        <f t="shared" si="105"/>
        <v>0</v>
      </c>
      <c r="BK149" s="2897">
        <f t="shared" si="106"/>
        <v>0</v>
      </c>
      <c r="BL149" s="2897">
        <f t="shared" si="107"/>
        <v>0</v>
      </c>
      <c r="BM149" s="2897">
        <f t="shared" si="108"/>
        <v>0</v>
      </c>
      <c r="BN149" s="2897">
        <f t="shared" si="109"/>
        <v>0</v>
      </c>
      <c r="BO149" s="2897">
        <f t="shared" si="110"/>
        <v>0</v>
      </c>
      <c r="BP149" s="2897">
        <f t="shared" si="111"/>
        <v>0</v>
      </c>
      <c r="BQ149" s="2897">
        <f t="shared" si="112"/>
        <v>0</v>
      </c>
      <c r="BR149" s="2897">
        <f t="shared" si="113"/>
        <v>0</v>
      </c>
      <c r="BS149" s="2897">
        <f t="shared" si="114"/>
        <v>0</v>
      </c>
      <c r="BT149" s="2971">
        <f t="shared" si="115"/>
        <v>0</v>
      </c>
    </row>
    <row r="150" spans="1:72">
      <c r="A150" s="2894"/>
      <c r="B150" s="2895"/>
      <c r="C150" s="2895"/>
      <c r="D150" s="2907"/>
      <c r="E150" s="2897">
        <f t="shared" si="116"/>
        <v>0</v>
      </c>
      <c r="F150" s="2898"/>
      <c r="G150" s="2899">
        <f t="shared" si="91"/>
        <v>0</v>
      </c>
      <c r="H150" s="2900">
        <f t="shared" si="92"/>
        <v>0</v>
      </c>
      <c r="I150" s="2918"/>
      <c r="J150" s="2918"/>
      <c r="K150" s="2918"/>
      <c r="L150" s="2918"/>
      <c r="M150" s="2918"/>
      <c r="N150" s="2918"/>
      <c r="O150" s="2918"/>
      <c r="P150" s="2918"/>
      <c r="Q150" s="2918"/>
      <c r="R150" s="2918"/>
      <c r="S150" s="2918"/>
      <c r="T150" s="2918"/>
      <c r="U150" s="2918"/>
      <c r="V150" s="2918"/>
      <c r="W150" s="2918"/>
      <c r="X150" s="2918"/>
      <c r="Y150" s="2918"/>
      <c r="Z150" s="2918"/>
      <c r="AA150" s="2918"/>
      <c r="AB150" s="2918"/>
      <c r="AC150" s="2897">
        <f t="shared" si="93"/>
        <v>0</v>
      </c>
      <c r="AD150" s="2929"/>
      <c r="AE150" s="2929"/>
      <c r="AF150" s="2929"/>
      <c r="AG150" s="2929"/>
      <c r="AH150" s="2929"/>
      <c r="AI150" s="2929"/>
      <c r="AJ150" s="2929"/>
      <c r="AK150" s="2929"/>
      <c r="AL150" s="2929"/>
      <c r="AM150" s="2929"/>
      <c r="AN150" s="2929"/>
      <c r="AO150" s="2929"/>
      <c r="AP150" s="2929"/>
      <c r="AQ150" s="2929"/>
      <c r="AR150" s="2929"/>
      <c r="AS150" s="2929"/>
      <c r="AT150" s="2949"/>
      <c r="AU150" s="2950"/>
      <c r="AV150" s="454">
        <f t="shared" si="117"/>
        <v>0</v>
      </c>
      <c r="AW150" s="454">
        <f t="shared" si="118"/>
        <v>0</v>
      </c>
      <c r="AX150" s="454">
        <f t="shared" si="119"/>
        <v>0</v>
      </c>
      <c r="AY150" s="2966">
        <f t="shared" si="94"/>
        <v>0</v>
      </c>
      <c r="AZ150" s="2897">
        <f t="shared" si="95"/>
        <v>0</v>
      </c>
      <c r="BA150" s="2897">
        <f t="shared" si="96"/>
        <v>0</v>
      </c>
      <c r="BB150" s="2897">
        <f t="shared" si="97"/>
        <v>0</v>
      </c>
      <c r="BC150" s="2897">
        <f t="shared" si="98"/>
        <v>0</v>
      </c>
      <c r="BD150" s="2897">
        <f t="shared" si="99"/>
        <v>0</v>
      </c>
      <c r="BE150" s="2897">
        <f t="shared" si="100"/>
        <v>0</v>
      </c>
      <c r="BF150" s="2897">
        <f t="shared" si="101"/>
        <v>0</v>
      </c>
      <c r="BG150" s="2897">
        <f t="shared" si="102"/>
        <v>0</v>
      </c>
      <c r="BH150" s="2897">
        <f t="shared" si="103"/>
        <v>0</v>
      </c>
      <c r="BI150" s="2897">
        <f t="shared" si="104"/>
        <v>0</v>
      </c>
      <c r="BJ150" s="2897">
        <f t="shared" si="105"/>
        <v>0</v>
      </c>
      <c r="BK150" s="2897">
        <f t="shared" si="106"/>
        <v>0</v>
      </c>
      <c r="BL150" s="2897">
        <f t="shared" si="107"/>
        <v>0</v>
      </c>
      <c r="BM150" s="2897">
        <f t="shared" si="108"/>
        <v>0</v>
      </c>
      <c r="BN150" s="2897">
        <f t="shared" si="109"/>
        <v>0</v>
      </c>
      <c r="BO150" s="2897">
        <f t="shared" si="110"/>
        <v>0</v>
      </c>
      <c r="BP150" s="2897">
        <f t="shared" si="111"/>
        <v>0</v>
      </c>
      <c r="BQ150" s="2897">
        <f t="shared" si="112"/>
        <v>0</v>
      </c>
      <c r="BR150" s="2897">
        <f t="shared" si="113"/>
        <v>0</v>
      </c>
      <c r="BS150" s="2897">
        <f t="shared" si="114"/>
        <v>0</v>
      </c>
      <c r="BT150" s="2971">
        <f t="shared" si="115"/>
        <v>0</v>
      </c>
    </row>
    <row r="151" spans="1:72">
      <c r="A151" s="2894"/>
      <c r="B151" s="2895"/>
      <c r="C151" s="2895"/>
      <c r="D151" s="2907"/>
      <c r="E151" s="2897">
        <f t="shared" si="116"/>
        <v>0</v>
      </c>
      <c r="F151" s="2898"/>
      <c r="G151" s="2899">
        <f t="shared" si="91"/>
        <v>0</v>
      </c>
      <c r="H151" s="2900">
        <f t="shared" si="92"/>
        <v>0</v>
      </c>
      <c r="I151" s="2918"/>
      <c r="J151" s="2918"/>
      <c r="K151" s="2918"/>
      <c r="L151" s="2918"/>
      <c r="M151" s="2918"/>
      <c r="N151" s="2918"/>
      <c r="O151" s="2918"/>
      <c r="P151" s="2918"/>
      <c r="Q151" s="2918"/>
      <c r="R151" s="2918"/>
      <c r="S151" s="2918"/>
      <c r="T151" s="2918"/>
      <c r="U151" s="2918"/>
      <c r="V151" s="2918"/>
      <c r="W151" s="2918"/>
      <c r="X151" s="2918"/>
      <c r="Y151" s="2918"/>
      <c r="Z151" s="2918"/>
      <c r="AA151" s="2918"/>
      <c r="AB151" s="2918"/>
      <c r="AC151" s="2897">
        <f t="shared" si="93"/>
        <v>0</v>
      </c>
      <c r="AD151" s="2929"/>
      <c r="AE151" s="2929"/>
      <c r="AF151" s="2929"/>
      <c r="AG151" s="2929"/>
      <c r="AH151" s="2929"/>
      <c r="AI151" s="2929"/>
      <c r="AJ151" s="2929"/>
      <c r="AK151" s="2929"/>
      <c r="AL151" s="2929"/>
      <c r="AM151" s="2929"/>
      <c r="AN151" s="2929"/>
      <c r="AO151" s="2929"/>
      <c r="AP151" s="2929"/>
      <c r="AQ151" s="2929"/>
      <c r="AR151" s="2929"/>
      <c r="AS151" s="2929"/>
      <c r="AT151" s="2949"/>
      <c r="AU151" s="2950"/>
      <c r="AV151" s="454">
        <f t="shared" si="117"/>
        <v>0</v>
      </c>
      <c r="AW151" s="454">
        <f t="shared" si="118"/>
        <v>0</v>
      </c>
      <c r="AX151" s="454">
        <f t="shared" si="119"/>
        <v>0</v>
      </c>
      <c r="AY151" s="2966">
        <f t="shared" si="94"/>
        <v>0</v>
      </c>
      <c r="AZ151" s="2897">
        <f t="shared" si="95"/>
        <v>0</v>
      </c>
      <c r="BA151" s="2897">
        <f t="shared" si="96"/>
        <v>0</v>
      </c>
      <c r="BB151" s="2897">
        <f t="shared" si="97"/>
        <v>0</v>
      </c>
      <c r="BC151" s="2897">
        <f t="shared" si="98"/>
        <v>0</v>
      </c>
      <c r="BD151" s="2897">
        <f t="shared" si="99"/>
        <v>0</v>
      </c>
      <c r="BE151" s="2897">
        <f t="shared" si="100"/>
        <v>0</v>
      </c>
      <c r="BF151" s="2897">
        <f t="shared" si="101"/>
        <v>0</v>
      </c>
      <c r="BG151" s="2897">
        <f t="shared" si="102"/>
        <v>0</v>
      </c>
      <c r="BH151" s="2897">
        <f t="shared" si="103"/>
        <v>0</v>
      </c>
      <c r="BI151" s="2897">
        <f t="shared" si="104"/>
        <v>0</v>
      </c>
      <c r="BJ151" s="2897">
        <f t="shared" si="105"/>
        <v>0</v>
      </c>
      <c r="BK151" s="2897">
        <f t="shared" si="106"/>
        <v>0</v>
      </c>
      <c r="BL151" s="2897">
        <f t="shared" si="107"/>
        <v>0</v>
      </c>
      <c r="BM151" s="2897">
        <f t="shared" si="108"/>
        <v>0</v>
      </c>
      <c r="BN151" s="2897">
        <f t="shared" si="109"/>
        <v>0</v>
      </c>
      <c r="BO151" s="2897">
        <f t="shared" si="110"/>
        <v>0</v>
      </c>
      <c r="BP151" s="2897">
        <f t="shared" si="111"/>
        <v>0</v>
      </c>
      <c r="BQ151" s="2897">
        <f t="shared" si="112"/>
        <v>0</v>
      </c>
      <c r="BR151" s="2897">
        <f t="shared" si="113"/>
        <v>0</v>
      </c>
      <c r="BS151" s="2897">
        <f t="shared" si="114"/>
        <v>0</v>
      </c>
      <c r="BT151" s="2971">
        <f t="shared" si="115"/>
        <v>0</v>
      </c>
    </row>
    <row r="152" spans="1:72">
      <c r="A152" s="2894"/>
      <c r="B152" s="2895"/>
      <c r="C152" s="2895"/>
      <c r="D152" s="2907"/>
      <c r="E152" s="2897">
        <f t="shared" si="116"/>
        <v>0</v>
      </c>
      <c r="F152" s="2898"/>
      <c r="G152" s="2899">
        <f t="shared" si="91"/>
        <v>0</v>
      </c>
      <c r="H152" s="2900">
        <f t="shared" si="92"/>
        <v>0</v>
      </c>
      <c r="I152" s="2918"/>
      <c r="J152" s="2918"/>
      <c r="K152" s="2918"/>
      <c r="L152" s="2918"/>
      <c r="M152" s="2918"/>
      <c r="N152" s="2918"/>
      <c r="O152" s="2918"/>
      <c r="P152" s="2918"/>
      <c r="Q152" s="2918"/>
      <c r="R152" s="2918"/>
      <c r="S152" s="2918"/>
      <c r="T152" s="2918"/>
      <c r="U152" s="2918"/>
      <c r="V152" s="2918"/>
      <c r="W152" s="2918"/>
      <c r="X152" s="2918"/>
      <c r="Y152" s="2918"/>
      <c r="Z152" s="2918"/>
      <c r="AA152" s="2918"/>
      <c r="AB152" s="2918"/>
      <c r="AC152" s="2897">
        <f t="shared" si="93"/>
        <v>0</v>
      </c>
      <c r="AD152" s="2929"/>
      <c r="AE152" s="2929"/>
      <c r="AF152" s="2929"/>
      <c r="AG152" s="2929"/>
      <c r="AH152" s="2929"/>
      <c r="AI152" s="2929"/>
      <c r="AJ152" s="2929"/>
      <c r="AK152" s="2929"/>
      <c r="AL152" s="2929"/>
      <c r="AM152" s="2929"/>
      <c r="AN152" s="2929"/>
      <c r="AO152" s="2929"/>
      <c r="AP152" s="2929"/>
      <c r="AQ152" s="2929"/>
      <c r="AR152" s="2929"/>
      <c r="AS152" s="2929"/>
      <c r="AT152" s="2949"/>
      <c r="AU152" s="2950"/>
      <c r="AV152" s="454">
        <f t="shared" si="117"/>
        <v>0</v>
      </c>
      <c r="AW152" s="454">
        <f t="shared" si="118"/>
        <v>0</v>
      </c>
      <c r="AX152" s="454">
        <f t="shared" si="119"/>
        <v>0</v>
      </c>
      <c r="AY152" s="2966">
        <f t="shared" si="94"/>
        <v>0</v>
      </c>
      <c r="AZ152" s="2897">
        <f t="shared" si="95"/>
        <v>0</v>
      </c>
      <c r="BA152" s="2897">
        <f t="shared" si="96"/>
        <v>0</v>
      </c>
      <c r="BB152" s="2897">
        <f t="shared" si="97"/>
        <v>0</v>
      </c>
      <c r="BC152" s="2897">
        <f t="shared" si="98"/>
        <v>0</v>
      </c>
      <c r="BD152" s="2897">
        <f t="shared" si="99"/>
        <v>0</v>
      </c>
      <c r="BE152" s="2897">
        <f t="shared" si="100"/>
        <v>0</v>
      </c>
      <c r="BF152" s="2897">
        <f t="shared" si="101"/>
        <v>0</v>
      </c>
      <c r="BG152" s="2897">
        <f t="shared" si="102"/>
        <v>0</v>
      </c>
      <c r="BH152" s="2897">
        <f t="shared" si="103"/>
        <v>0</v>
      </c>
      <c r="BI152" s="2897">
        <f t="shared" si="104"/>
        <v>0</v>
      </c>
      <c r="BJ152" s="2897">
        <f t="shared" si="105"/>
        <v>0</v>
      </c>
      <c r="BK152" s="2897">
        <f t="shared" si="106"/>
        <v>0</v>
      </c>
      <c r="BL152" s="2897">
        <f t="shared" si="107"/>
        <v>0</v>
      </c>
      <c r="BM152" s="2897">
        <f t="shared" si="108"/>
        <v>0</v>
      </c>
      <c r="BN152" s="2897">
        <f t="shared" si="109"/>
        <v>0</v>
      </c>
      <c r="BO152" s="2897">
        <f t="shared" si="110"/>
        <v>0</v>
      </c>
      <c r="BP152" s="2897">
        <f t="shared" si="111"/>
        <v>0</v>
      </c>
      <c r="BQ152" s="2897">
        <f t="shared" si="112"/>
        <v>0</v>
      </c>
      <c r="BR152" s="2897">
        <f t="shared" si="113"/>
        <v>0</v>
      </c>
      <c r="BS152" s="2897">
        <f t="shared" si="114"/>
        <v>0</v>
      </c>
      <c r="BT152" s="2971">
        <f t="shared" si="115"/>
        <v>0</v>
      </c>
    </row>
    <row r="153" spans="1:72">
      <c r="A153" s="2894"/>
      <c r="B153" s="2895"/>
      <c r="C153" s="2895"/>
      <c r="D153" s="2907"/>
      <c r="E153" s="2897">
        <f t="shared" si="116"/>
        <v>0</v>
      </c>
      <c r="F153" s="2898"/>
      <c r="G153" s="2899">
        <f t="shared" si="91"/>
        <v>0</v>
      </c>
      <c r="H153" s="2900">
        <f t="shared" si="92"/>
        <v>0</v>
      </c>
      <c r="I153" s="2918"/>
      <c r="J153" s="2918"/>
      <c r="K153" s="2918"/>
      <c r="L153" s="2918"/>
      <c r="M153" s="2918"/>
      <c r="N153" s="2918"/>
      <c r="O153" s="2918"/>
      <c r="P153" s="2918"/>
      <c r="Q153" s="2918"/>
      <c r="R153" s="2918"/>
      <c r="S153" s="2918"/>
      <c r="T153" s="2918"/>
      <c r="U153" s="2918"/>
      <c r="V153" s="2918"/>
      <c r="W153" s="2918"/>
      <c r="X153" s="2918"/>
      <c r="Y153" s="2918"/>
      <c r="Z153" s="2918"/>
      <c r="AA153" s="2918"/>
      <c r="AB153" s="2918"/>
      <c r="AC153" s="2897">
        <f t="shared" si="93"/>
        <v>0</v>
      </c>
      <c r="AD153" s="2929"/>
      <c r="AE153" s="2929"/>
      <c r="AF153" s="2929"/>
      <c r="AG153" s="2929"/>
      <c r="AH153" s="2929"/>
      <c r="AI153" s="2929"/>
      <c r="AJ153" s="2929"/>
      <c r="AK153" s="2929"/>
      <c r="AL153" s="2929"/>
      <c r="AM153" s="2929"/>
      <c r="AN153" s="2929"/>
      <c r="AO153" s="2929"/>
      <c r="AP153" s="2929"/>
      <c r="AQ153" s="2929"/>
      <c r="AR153" s="2929"/>
      <c r="AS153" s="2929"/>
      <c r="AT153" s="2949"/>
      <c r="AU153" s="2950"/>
      <c r="AV153" s="454">
        <f t="shared" si="117"/>
        <v>0</v>
      </c>
      <c r="AW153" s="454">
        <f t="shared" si="118"/>
        <v>0</v>
      </c>
      <c r="AX153" s="454">
        <f t="shared" si="119"/>
        <v>0</v>
      </c>
      <c r="AY153" s="2966">
        <f t="shared" si="94"/>
        <v>0</v>
      </c>
      <c r="AZ153" s="2897">
        <f t="shared" si="95"/>
        <v>0</v>
      </c>
      <c r="BA153" s="2897">
        <f t="shared" si="96"/>
        <v>0</v>
      </c>
      <c r="BB153" s="2897">
        <f t="shared" si="97"/>
        <v>0</v>
      </c>
      <c r="BC153" s="2897">
        <f t="shared" si="98"/>
        <v>0</v>
      </c>
      <c r="BD153" s="2897">
        <f t="shared" si="99"/>
        <v>0</v>
      </c>
      <c r="BE153" s="2897">
        <f t="shared" si="100"/>
        <v>0</v>
      </c>
      <c r="BF153" s="2897">
        <f t="shared" si="101"/>
        <v>0</v>
      </c>
      <c r="BG153" s="2897">
        <f t="shared" si="102"/>
        <v>0</v>
      </c>
      <c r="BH153" s="2897">
        <f t="shared" si="103"/>
        <v>0</v>
      </c>
      <c r="BI153" s="2897">
        <f t="shared" si="104"/>
        <v>0</v>
      </c>
      <c r="BJ153" s="2897">
        <f t="shared" si="105"/>
        <v>0</v>
      </c>
      <c r="BK153" s="2897">
        <f t="shared" si="106"/>
        <v>0</v>
      </c>
      <c r="BL153" s="2897">
        <f t="shared" si="107"/>
        <v>0</v>
      </c>
      <c r="BM153" s="2897">
        <f t="shared" si="108"/>
        <v>0</v>
      </c>
      <c r="BN153" s="2897">
        <f t="shared" si="109"/>
        <v>0</v>
      </c>
      <c r="BO153" s="2897">
        <f t="shared" si="110"/>
        <v>0</v>
      </c>
      <c r="BP153" s="2897">
        <f t="shared" si="111"/>
        <v>0</v>
      </c>
      <c r="BQ153" s="2897">
        <f t="shared" si="112"/>
        <v>0</v>
      </c>
      <c r="BR153" s="2897">
        <f t="shared" si="113"/>
        <v>0</v>
      </c>
      <c r="BS153" s="2897">
        <f t="shared" si="114"/>
        <v>0</v>
      </c>
      <c r="BT153" s="2971">
        <f t="shared" si="115"/>
        <v>0</v>
      </c>
    </row>
    <row r="154" spans="1:72">
      <c r="A154" s="2894"/>
      <c r="B154" s="2895"/>
      <c r="C154" s="2895"/>
      <c r="D154" s="2907"/>
      <c r="E154" s="2897">
        <f t="shared" si="116"/>
        <v>0</v>
      </c>
      <c r="F154" s="2898"/>
      <c r="G154" s="2899">
        <f t="shared" si="91"/>
        <v>0</v>
      </c>
      <c r="H154" s="2900">
        <f t="shared" si="92"/>
        <v>0</v>
      </c>
      <c r="I154" s="2918"/>
      <c r="J154" s="2918"/>
      <c r="K154" s="2918"/>
      <c r="L154" s="2918"/>
      <c r="M154" s="2918"/>
      <c r="N154" s="2918"/>
      <c r="O154" s="2918"/>
      <c r="P154" s="2918"/>
      <c r="Q154" s="2918"/>
      <c r="R154" s="2918"/>
      <c r="S154" s="2918"/>
      <c r="T154" s="2918"/>
      <c r="U154" s="2918"/>
      <c r="V154" s="2918"/>
      <c r="W154" s="2918"/>
      <c r="X154" s="2918"/>
      <c r="Y154" s="2918"/>
      <c r="Z154" s="2918"/>
      <c r="AA154" s="2918"/>
      <c r="AB154" s="2918"/>
      <c r="AC154" s="2897">
        <f t="shared" si="93"/>
        <v>0</v>
      </c>
      <c r="AD154" s="2929"/>
      <c r="AE154" s="2929"/>
      <c r="AF154" s="2929"/>
      <c r="AG154" s="2929"/>
      <c r="AH154" s="2929"/>
      <c r="AI154" s="2929"/>
      <c r="AJ154" s="2929"/>
      <c r="AK154" s="2929"/>
      <c r="AL154" s="2929"/>
      <c r="AM154" s="2929"/>
      <c r="AN154" s="2929"/>
      <c r="AO154" s="2929"/>
      <c r="AP154" s="2929"/>
      <c r="AQ154" s="2929"/>
      <c r="AR154" s="2929"/>
      <c r="AS154" s="2929"/>
      <c r="AT154" s="2949"/>
      <c r="AU154" s="2950"/>
      <c r="AV154" s="454">
        <f t="shared" si="117"/>
        <v>0</v>
      </c>
      <c r="AW154" s="454">
        <f t="shared" si="118"/>
        <v>0</v>
      </c>
      <c r="AX154" s="454">
        <f t="shared" si="119"/>
        <v>0</v>
      </c>
      <c r="AY154" s="2966">
        <f t="shared" si="94"/>
        <v>0</v>
      </c>
      <c r="AZ154" s="2897">
        <f t="shared" si="95"/>
        <v>0</v>
      </c>
      <c r="BA154" s="2897">
        <f t="shared" si="96"/>
        <v>0</v>
      </c>
      <c r="BB154" s="2897">
        <f t="shared" si="97"/>
        <v>0</v>
      </c>
      <c r="BC154" s="2897">
        <f t="shared" si="98"/>
        <v>0</v>
      </c>
      <c r="BD154" s="2897">
        <f t="shared" si="99"/>
        <v>0</v>
      </c>
      <c r="BE154" s="2897">
        <f t="shared" si="100"/>
        <v>0</v>
      </c>
      <c r="BF154" s="2897">
        <f t="shared" si="101"/>
        <v>0</v>
      </c>
      <c r="BG154" s="2897">
        <f t="shared" si="102"/>
        <v>0</v>
      </c>
      <c r="BH154" s="2897">
        <f t="shared" si="103"/>
        <v>0</v>
      </c>
      <c r="BI154" s="2897">
        <f t="shared" si="104"/>
        <v>0</v>
      </c>
      <c r="BJ154" s="2897">
        <f t="shared" si="105"/>
        <v>0</v>
      </c>
      <c r="BK154" s="2897">
        <f t="shared" si="106"/>
        <v>0</v>
      </c>
      <c r="BL154" s="2897">
        <f t="shared" si="107"/>
        <v>0</v>
      </c>
      <c r="BM154" s="2897">
        <f t="shared" si="108"/>
        <v>0</v>
      </c>
      <c r="BN154" s="2897">
        <f t="shared" si="109"/>
        <v>0</v>
      </c>
      <c r="BO154" s="2897">
        <f t="shared" si="110"/>
        <v>0</v>
      </c>
      <c r="BP154" s="2897">
        <f t="shared" si="111"/>
        <v>0</v>
      </c>
      <c r="BQ154" s="2897">
        <f t="shared" si="112"/>
        <v>0</v>
      </c>
      <c r="BR154" s="2897">
        <f t="shared" si="113"/>
        <v>0</v>
      </c>
      <c r="BS154" s="2897">
        <f t="shared" si="114"/>
        <v>0</v>
      </c>
      <c r="BT154" s="2971">
        <f t="shared" si="115"/>
        <v>0</v>
      </c>
    </row>
    <row r="155" spans="1:72">
      <c r="A155" s="2894"/>
      <c r="B155" s="2895"/>
      <c r="C155" s="2895"/>
      <c r="D155" s="2907"/>
      <c r="E155" s="2897">
        <f t="shared" si="116"/>
        <v>0</v>
      </c>
      <c r="F155" s="2898"/>
      <c r="G155" s="2899">
        <f t="shared" si="91"/>
        <v>0</v>
      </c>
      <c r="H155" s="2900">
        <f t="shared" si="92"/>
        <v>0</v>
      </c>
      <c r="I155" s="2918"/>
      <c r="J155" s="2918"/>
      <c r="K155" s="2918"/>
      <c r="L155" s="2918"/>
      <c r="M155" s="2918"/>
      <c r="N155" s="2918"/>
      <c r="O155" s="2918"/>
      <c r="P155" s="2918"/>
      <c r="Q155" s="2918"/>
      <c r="R155" s="2918"/>
      <c r="S155" s="2918"/>
      <c r="T155" s="2918"/>
      <c r="U155" s="2918"/>
      <c r="V155" s="2918"/>
      <c r="W155" s="2918"/>
      <c r="X155" s="2918"/>
      <c r="Y155" s="2918"/>
      <c r="Z155" s="2918"/>
      <c r="AA155" s="2918"/>
      <c r="AB155" s="2918"/>
      <c r="AC155" s="2897">
        <f t="shared" si="93"/>
        <v>0</v>
      </c>
      <c r="AD155" s="2929"/>
      <c r="AE155" s="2929"/>
      <c r="AF155" s="2929"/>
      <c r="AG155" s="2929"/>
      <c r="AH155" s="2929"/>
      <c r="AI155" s="2929"/>
      <c r="AJ155" s="2929"/>
      <c r="AK155" s="2929"/>
      <c r="AL155" s="2929"/>
      <c r="AM155" s="2929"/>
      <c r="AN155" s="2929"/>
      <c r="AO155" s="2929"/>
      <c r="AP155" s="2929"/>
      <c r="AQ155" s="2929"/>
      <c r="AR155" s="2929"/>
      <c r="AS155" s="2929"/>
      <c r="AT155" s="2949"/>
      <c r="AU155" s="2950"/>
      <c r="AV155" s="454">
        <f t="shared" si="117"/>
        <v>0</v>
      </c>
      <c r="AW155" s="454">
        <f t="shared" si="118"/>
        <v>0</v>
      </c>
      <c r="AX155" s="454">
        <f t="shared" si="119"/>
        <v>0</v>
      </c>
      <c r="AY155" s="2966">
        <f t="shared" si="94"/>
        <v>0</v>
      </c>
      <c r="AZ155" s="2897">
        <f t="shared" si="95"/>
        <v>0</v>
      </c>
      <c r="BA155" s="2897">
        <f t="shared" si="96"/>
        <v>0</v>
      </c>
      <c r="BB155" s="2897">
        <f t="shared" si="97"/>
        <v>0</v>
      </c>
      <c r="BC155" s="2897">
        <f t="shared" si="98"/>
        <v>0</v>
      </c>
      <c r="BD155" s="2897">
        <f t="shared" si="99"/>
        <v>0</v>
      </c>
      <c r="BE155" s="2897">
        <f t="shared" si="100"/>
        <v>0</v>
      </c>
      <c r="BF155" s="2897">
        <f t="shared" si="101"/>
        <v>0</v>
      </c>
      <c r="BG155" s="2897">
        <f t="shared" si="102"/>
        <v>0</v>
      </c>
      <c r="BH155" s="2897">
        <f t="shared" si="103"/>
        <v>0</v>
      </c>
      <c r="BI155" s="2897">
        <f t="shared" si="104"/>
        <v>0</v>
      </c>
      <c r="BJ155" s="2897">
        <f t="shared" si="105"/>
        <v>0</v>
      </c>
      <c r="BK155" s="2897">
        <f t="shared" si="106"/>
        <v>0</v>
      </c>
      <c r="BL155" s="2897">
        <f t="shared" si="107"/>
        <v>0</v>
      </c>
      <c r="BM155" s="2897">
        <f t="shared" si="108"/>
        <v>0</v>
      </c>
      <c r="BN155" s="2897">
        <f t="shared" si="109"/>
        <v>0</v>
      </c>
      <c r="BO155" s="2897">
        <f t="shared" si="110"/>
        <v>0</v>
      </c>
      <c r="BP155" s="2897">
        <f t="shared" si="111"/>
        <v>0</v>
      </c>
      <c r="BQ155" s="2897">
        <f t="shared" si="112"/>
        <v>0</v>
      </c>
      <c r="BR155" s="2897">
        <f t="shared" si="113"/>
        <v>0</v>
      </c>
      <c r="BS155" s="2897">
        <f t="shared" si="114"/>
        <v>0</v>
      </c>
      <c r="BT155" s="2971">
        <f t="shared" si="115"/>
        <v>0</v>
      </c>
    </row>
    <row r="156" spans="1:72">
      <c r="A156" s="2894"/>
      <c r="B156" s="2895"/>
      <c r="C156" s="2895"/>
      <c r="D156" s="2907"/>
      <c r="E156" s="2897">
        <f t="shared" si="116"/>
        <v>0</v>
      </c>
      <c r="F156" s="2898"/>
      <c r="G156" s="2899">
        <f t="shared" si="91"/>
        <v>0</v>
      </c>
      <c r="H156" s="2900">
        <f t="shared" si="92"/>
        <v>0</v>
      </c>
      <c r="I156" s="2918"/>
      <c r="J156" s="2918"/>
      <c r="K156" s="2918"/>
      <c r="L156" s="2918"/>
      <c r="M156" s="2918"/>
      <c r="N156" s="2918"/>
      <c r="O156" s="2918"/>
      <c r="P156" s="2918"/>
      <c r="Q156" s="2918"/>
      <c r="R156" s="2918"/>
      <c r="S156" s="2918"/>
      <c r="T156" s="2918"/>
      <c r="U156" s="2918"/>
      <c r="V156" s="2918"/>
      <c r="W156" s="2918"/>
      <c r="X156" s="2918"/>
      <c r="Y156" s="2918"/>
      <c r="Z156" s="2918"/>
      <c r="AA156" s="2918"/>
      <c r="AB156" s="2918"/>
      <c r="AC156" s="2897">
        <f t="shared" si="93"/>
        <v>0</v>
      </c>
      <c r="AD156" s="2929"/>
      <c r="AE156" s="2929"/>
      <c r="AF156" s="2929"/>
      <c r="AG156" s="2929"/>
      <c r="AH156" s="2929"/>
      <c r="AI156" s="2929"/>
      <c r="AJ156" s="2929"/>
      <c r="AK156" s="2929"/>
      <c r="AL156" s="2929"/>
      <c r="AM156" s="2929"/>
      <c r="AN156" s="2929"/>
      <c r="AO156" s="2929"/>
      <c r="AP156" s="2929"/>
      <c r="AQ156" s="2929"/>
      <c r="AR156" s="2929"/>
      <c r="AS156" s="2929"/>
      <c r="AT156" s="2949"/>
      <c r="AU156" s="2950"/>
      <c r="AV156" s="454">
        <f t="shared" si="117"/>
        <v>0</v>
      </c>
      <c r="AW156" s="454">
        <f t="shared" si="118"/>
        <v>0</v>
      </c>
      <c r="AX156" s="454">
        <f t="shared" si="119"/>
        <v>0</v>
      </c>
      <c r="AY156" s="2966">
        <f t="shared" si="94"/>
        <v>0</v>
      </c>
      <c r="AZ156" s="2897">
        <f t="shared" si="95"/>
        <v>0</v>
      </c>
      <c r="BA156" s="2897">
        <f t="shared" si="96"/>
        <v>0</v>
      </c>
      <c r="BB156" s="2897">
        <f t="shared" si="97"/>
        <v>0</v>
      </c>
      <c r="BC156" s="2897">
        <f t="shared" si="98"/>
        <v>0</v>
      </c>
      <c r="BD156" s="2897">
        <f t="shared" si="99"/>
        <v>0</v>
      </c>
      <c r="BE156" s="2897">
        <f t="shared" si="100"/>
        <v>0</v>
      </c>
      <c r="BF156" s="2897">
        <f t="shared" si="101"/>
        <v>0</v>
      </c>
      <c r="BG156" s="2897">
        <f t="shared" si="102"/>
        <v>0</v>
      </c>
      <c r="BH156" s="2897">
        <f t="shared" si="103"/>
        <v>0</v>
      </c>
      <c r="BI156" s="2897">
        <f t="shared" si="104"/>
        <v>0</v>
      </c>
      <c r="BJ156" s="2897">
        <f t="shared" si="105"/>
        <v>0</v>
      </c>
      <c r="BK156" s="2897">
        <f t="shared" si="106"/>
        <v>0</v>
      </c>
      <c r="BL156" s="2897">
        <f t="shared" si="107"/>
        <v>0</v>
      </c>
      <c r="BM156" s="2897">
        <f t="shared" si="108"/>
        <v>0</v>
      </c>
      <c r="BN156" s="2897">
        <f t="shared" si="109"/>
        <v>0</v>
      </c>
      <c r="BO156" s="2897">
        <f t="shared" si="110"/>
        <v>0</v>
      </c>
      <c r="BP156" s="2897">
        <f t="shared" si="111"/>
        <v>0</v>
      </c>
      <c r="BQ156" s="2897">
        <f t="shared" si="112"/>
        <v>0</v>
      </c>
      <c r="BR156" s="2897">
        <f t="shared" si="113"/>
        <v>0</v>
      </c>
      <c r="BS156" s="2897">
        <f t="shared" si="114"/>
        <v>0</v>
      </c>
      <c r="BT156" s="2971">
        <f t="shared" si="115"/>
        <v>0</v>
      </c>
    </row>
    <row r="157" spans="1:72">
      <c r="A157" s="2894"/>
      <c r="B157" s="2895"/>
      <c r="C157" s="2895"/>
      <c r="D157" s="2907"/>
      <c r="E157" s="2897">
        <f t="shared" si="116"/>
        <v>0</v>
      </c>
      <c r="F157" s="2898"/>
      <c r="G157" s="2899">
        <f t="shared" si="91"/>
        <v>0</v>
      </c>
      <c r="H157" s="2900">
        <f t="shared" si="92"/>
        <v>0</v>
      </c>
      <c r="I157" s="2918"/>
      <c r="J157" s="2918"/>
      <c r="K157" s="2918"/>
      <c r="L157" s="2918"/>
      <c r="M157" s="2918"/>
      <c r="N157" s="2918"/>
      <c r="O157" s="2918"/>
      <c r="P157" s="2918"/>
      <c r="Q157" s="2918"/>
      <c r="R157" s="2918"/>
      <c r="S157" s="2918"/>
      <c r="T157" s="2918"/>
      <c r="U157" s="2918"/>
      <c r="V157" s="2918"/>
      <c r="W157" s="2918"/>
      <c r="X157" s="2918"/>
      <c r="Y157" s="2918"/>
      <c r="Z157" s="2918"/>
      <c r="AA157" s="2918"/>
      <c r="AB157" s="2918"/>
      <c r="AC157" s="2897">
        <f t="shared" si="93"/>
        <v>0</v>
      </c>
      <c r="AD157" s="2929"/>
      <c r="AE157" s="2929"/>
      <c r="AF157" s="2929"/>
      <c r="AG157" s="2929"/>
      <c r="AH157" s="2929"/>
      <c r="AI157" s="2929"/>
      <c r="AJ157" s="2929"/>
      <c r="AK157" s="2929"/>
      <c r="AL157" s="2929"/>
      <c r="AM157" s="2929"/>
      <c r="AN157" s="2929"/>
      <c r="AO157" s="2929"/>
      <c r="AP157" s="2929"/>
      <c r="AQ157" s="2929"/>
      <c r="AR157" s="2929"/>
      <c r="AS157" s="2929"/>
      <c r="AT157" s="2949"/>
      <c r="AU157" s="2950"/>
      <c r="AV157" s="454">
        <f t="shared" si="117"/>
        <v>0</v>
      </c>
      <c r="AW157" s="454">
        <f t="shared" si="118"/>
        <v>0</v>
      </c>
      <c r="AX157" s="454">
        <f t="shared" si="119"/>
        <v>0</v>
      </c>
      <c r="AY157" s="2966">
        <f t="shared" si="94"/>
        <v>0</v>
      </c>
      <c r="AZ157" s="2897">
        <f t="shared" si="95"/>
        <v>0</v>
      </c>
      <c r="BA157" s="2897">
        <f t="shared" si="96"/>
        <v>0</v>
      </c>
      <c r="BB157" s="2897">
        <f t="shared" si="97"/>
        <v>0</v>
      </c>
      <c r="BC157" s="2897">
        <f t="shared" si="98"/>
        <v>0</v>
      </c>
      <c r="BD157" s="2897">
        <f t="shared" si="99"/>
        <v>0</v>
      </c>
      <c r="BE157" s="2897">
        <f t="shared" si="100"/>
        <v>0</v>
      </c>
      <c r="BF157" s="2897">
        <f t="shared" si="101"/>
        <v>0</v>
      </c>
      <c r="BG157" s="2897">
        <f t="shared" si="102"/>
        <v>0</v>
      </c>
      <c r="BH157" s="2897">
        <f t="shared" si="103"/>
        <v>0</v>
      </c>
      <c r="BI157" s="2897">
        <f t="shared" si="104"/>
        <v>0</v>
      </c>
      <c r="BJ157" s="2897">
        <f t="shared" si="105"/>
        <v>0</v>
      </c>
      <c r="BK157" s="2897">
        <f t="shared" si="106"/>
        <v>0</v>
      </c>
      <c r="BL157" s="2897">
        <f t="shared" si="107"/>
        <v>0</v>
      </c>
      <c r="BM157" s="2897">
        <f t="shared" si="108"/>
        <v>0</v>
      </c>
      <c r="BN157" s="2897">
        <f t="shared" si="109"/>
        <v>0</v>
      </c>
      <c r="BO157" s="2897">
        <f t="shared" si="110"/>
        <v>0</v>
      </c>
      <c r="BP157" s="2897">
        <f t="shared" si="111"/>
        <v>0</v>
      </c>
      <c r="BQ157" s="2897">
        <f t="shared" si="112"/>
        <v>0</v>
      </c>
      <c r="BR157" s="2897">
        <f t="shared" si="113"/>
        <v>0</v>
      </c>
      <c r="BS157" s="2897">
        <f t="shared" si="114"/>
        <v>0</v>
      </c>
      <c r="BT157" s="2971">
        <f t="shared" si="115"/>
        <v>0</v>
      </c>
    </row>
    <row r="158" spans="1:72">
      <c r="A158" s="2894"/>
      <c r="B158" s="2895"/>
      <c r="C158" s="2895"/>
      <c r="D158" s="2907"/>
      <c r="E158" s="2897">
        <f t="shared" si="116"/>
        <v>0</v>
      </c>
      <c r="F158" s="2898"/>
      <c r="G158" s="2899">
        <f t="shared" si="91"/>
        <v>0</v>
      </c>
      <c r="H158" s="2900">
        <f t="shared" si="92"/>
        <v>0</v>
      </c>
      <c r="I158" s="2918"/>
      <c r="J158" s="2918"/>
      <c r="K158" s="2918"/>
      <c r="L158" s="2918"/>
      <c r="M158" s="2918"/>
      <c r="N158" s="2918"/>
      <c r="O158" s="2918"/>
      <c r="P158" s="2918"/>
      <c r="Q158" s="2918"/>
      <c r="R158" s="2918"/>
      <c r="S158" s="2918"/>
      <c r="T158" s="2918"/>
      <c r="U158" s="2918"/>
      <c r="V158" s="2918"/>
      <c r="W158" s="2918"/>
      <c r="X158" s="2918"/>
      <c r="Y158" s="2918"/>
      <c r="Z158" s="2918"/>
      <c r="AA158" s="2918"/>
      <c r="AB158" s="2918"/>
      <c r="AC158" s="2897">
        <f t="shared" si="93"/>
        <v>0</v>
      </c>
      <c r="AD158" s="2929"/>
      <c r="AE158" s="2929"/>
      <c r="AF158" s="2929"/>
      <c r="AG158" s="2929"/>
      <c r="AH158" s="2929"/>
      <c r="AI158" s="2929"/>
      <c r="AJ158" s="2929"/>
      <c r="AK158" s="2929"/>
      <c r="AL158" s="2929"/>
      <c r="AM158" s="2929"/>
      <c r="AN158" s="2929"/>
      <c r="AO158" s="2929"/>
      <c r="AP158" s="2929"/>
      <c r="AQ158" s="2929"/>
      <c r="AR158" s="2929"/>
      <c r="AS158" s="2929"/>
      <c r="AT158" s="2949"/>
      <c r="AU158" s="2950"/>
      <c r="AV158" s="454">
        <f t="shared" si="117"/>
        <v>0</v>
      </c>
      <c r="AW158" s="454">
        <f t="shared" si="118"/>
        <v>0</v>
      </c>
      <c r="AX158" s="454">
        <f t="shared" si="119"/>
        <v>0</v>
      </c>
      <c r="AY158" s="2966">
        <f t="shared" si="94"/>
        <v>0</v>
      </c>
      <c r="AZ158" s="2897">
        <f t="shared" si="95"/>
        <v>0</v>
      </c>
      <c r="BA158" s="2897">
        <f t="shared" si="96"/>
        <v>0</v>
      </c>
      <c r="BB158" s="2897">
        <f t="shared" si="97"/>
        <v>0</v>
      </c>
      <c r="BC158" s="2897">
        <f t="shared" si="98"/>
        <v>0</v>
      </c>
      <c r="BD158" s="2897">
        <f t="shared" si="99"/>
        <v>0</v>
      </c>
      <c r="BE158" s="2897">
        <f t="shared" si="100"/>
        <v>0</v>
      </c>
      <c r="BF158" s="2897">
        <f t="shared" si="101"/>
        <v>0</v>
      </c>
      <c r="BG158" s="2897">
        <f t="shared" si="102"/>
        <v>0</v>
      </c>
      <c r="BH158" s="2897">
        <f t="shared" si="103"/>
        <v>0</v>
      </c>
      <c r="BI158" s="2897">
        <f t="shared" si="104"/>
        <v>0</v>
      </c>
      <c r="BJ158" s="2897">
        <f t="shared" si="105"/>
        <v>0</v>
      </c>
      <c r="BK158" s="2897">
        <f t="shared" si="106"/>
        <v>0</v>
      </c>
      <c r="BL158" s="2897">
        <f t="shared" si="107"/>
        <v>0</v>
      </c>
      <c r="BM158" s="2897">
        <f t="shared" si="108"/>
        <v>0</v>
      </c>
      <c r="BN158" s="2897">
        <f t="shared" si="109"/>
        <v>0</v>
      </c>
      <c r="BO158" s="2897">
        <f t="shared" si="110"/>
        <v>0</v>
      </c>
      <c r="BP158" s="2897">
        <f t="shared" si="111"/>
        <v>0</v>
      </c>
      <c r="BQ158" s="2897">
        <f t="shared" si="112"/>
        <v>0</v>
      </c>
      <c r="BR158" s="2897">
        <f t="shared" si="113"/>
        <v>0</v>
      </c>
      <c r="BS158" s="2897">
        <f t="shared" si="114"/>
        <v>0</v>
      </c>
      <c r="BT158" s="2971">
        <f t="shared" si="115"/>
        <v>0</v>
      </c>
    </row>
    <row r="159" spans="1:72">
      <c r="A159" s="2894"/>
      <c r="B159" s="2895"/>
      <c r="C159" s="2895"/>
      <c r="D159" s="2907"/>
      <c r="E159" s="2897">
        <f t="shared" si="116"/>
        <v>0</v>
      </c>
      <c r="F159" s="2898"/>
      <c r="G159" s="2899">
        <f t="shared" si="91"/>
        <v>0</v>
      </c>
      <c r="H159" s="2900">
        <f t="shared" si="92"/>
        <v>0</v>
      </c>
      <c r="I159" s="2918"/>
      <c r="J159" s="2918"/>
      <c r="K159" s="2918"/>
      <c r="L159" s="2918"/>
      <c r="M159" s="2918"/>
      <c r="N159" s="2918"/>
      <c r="O159" s="2918"/>
      <c r="P159" s="2918"/>
      <c r="Q159" s="2918"/>
      <c r="R159" s="2918"/>
      <c r="S159" s="2918"/>
      <c r="T159" s="2918"/>
      <c r="U159" s="2918"/>
      <c r="V159" s="2918"/>
      <c r="W159" s="2918"/>
      <c r="X159" s="2918"/>
      <c r="Y159" s="2918"/>
      <c r="Z159" s="2918"/>
      <c r="AA159" s="2918"/>
      <c r="AB159" s="2918"/>
      <c r="AC159" s="2897">
        <f t="shared" si="93"/>
        <v>0</v>
      </c>
      <c r="AD159" s="2929"/>
      <c r="AE159" s="2929"/>
      <c r="AF159" s="2929"/>
      <c r="AG159" s="2929"/>
      <c r="AH159" s="2929"/>
      <c r="AI159" s="2929"/>
      <c r="AJ159" s="2929"/>
      <c r="AK159" s="2929"/>
      <c r="AL159" s="2929"/>
      <c r="AM159" s="2929"/>
      <c r="AN159" s="2929"/>
      <c r="AO159" s="2929"/>
      <c r="AP159" s="2929"/>
      <c r="AQ159" s="2929"/>
      <c r="AR159" s="2929"/>
      <c r="AS159" s="2929"/>
      <c r="AT159" s="2949"/>
      <c r="AU159" s="2950"/>
      <c r="AV159" s="454">
        <f t="shared" si="117"/>
        <v>0</v>
      </c>
      <c r="AW159" s="454">
        <f t="shared" si="118"/>
        <v>0</v>
      </c>
      <c r="AX159" s="454">
        <f t="shared" si="119"/>
        <v>0</v>
      </c>
      <c r="AY159" s="2966">
        <f t="shared" si="94"/>
        <v>0</v>
      </c>
      <c r="AZ159" s="2897">
        <f t="shared" si="95"/>
        <v>0</v>
      </c>
      <c r="BA159" s="2897">
        <f t="shared" si="96"/>
        <v>0</v>
      </c>
      <c r="BB159" s="2897">
        <f t="shared" si="97"/>
        <v>0</v>
      </c>
      <c r="BC159" s="2897">
        <f t="shared" si="98"/>
        <v>0</v>
      </c>
      <c r="BD159" s="2897">
        <f t="shared" si="99"/>
        <v>0</v>
      </c>
      <c r="BE159" s="2897">
        <f t="shared" si="100"/>
        <v>0</v>
      </c>
      <c r="BF159" s="2897">
        <f t="shared" si="101"/>
        <v>0</v>
      </c>
      <c r="BG159" s="2897">
        <f t="shared" si="102"/>
        <v>0</v>
      </c>
      <c r="BH159" s="2897">
        <f t="shared" si="103"/>
        <v>0</v>
      </c>
      <c r="BI159" s="2897">
        <f t="shared" si="104"/>
        <v>0</v>
      </c>
      <c r="BJ159" s="2897">
        <f t="shared" si="105"/>
        <v>0</v>
      </c>
      <c r="BK159" s="2897">
        <f t="shared" si="106"/>
        <v>0</v>
      </c>
      <c r="BL159" s="2897">
        <f t="shared" si="107"/>
        <v>0</v>
      </c>
      <c r="BM159" s="2897">
        <f t="shared" si="108"/>
        <v>0</v>
      </c>
      <c r="BN159" s="2897">
        <f t="shared" si="109"/>
        <v>0</v>
      </c>
      <c r="BO159" s="2897">
        <f t="shared" si="110"/>
        <v>0</v>
      </c>
      <c r="BP159" s="2897">
        <f t="shared" si="111"/>
        <v>0</v>
      </c>
      <c r="BQ159" s="2897">
        <f t="shared" si="112"/>
        <v>0</v>
      </c>
      <c r="BR159" s="2897">
        <f t="shared" si="113"/>
        <v>0</v>
      </c>
      <c r="BS159" s="2897">
        <f t="shared" si="114"/>
        <v>0</v>
      </c>
      <c r="BT159" s="2971">
        <f t="shared" si="115"/>
        <v>0</v>
      </c>
    </row>
    <row r="160" spans="1:72">
      <c r="A160" s="2894"/>
      <c r="B160" s="2895"/>
      <c r="C160" s="2895"/>
      <c r="D160" s="2907"/>
      <c r="E160" s="2897">
        <f t="shared" si="116"/>
        <v>0</v>
      </c>
      <c r="F160" s="2898"/>
      <c r="G160" s="2899">
        <f t="shared" si="91"/>
        <v>0</v>
      </c>
      <c r="H160" s="2900">
        <f t="shared" si="92"/>
        <v>0</v>
      </c>
      <c r="I160" s="2918"/>
      <c r="J160" s="2918"/>
      <c r="K160" s="2918"/>
      <c r="L160" s="2918"/>
      <c r="M160" s="2918"/>
      <c r="N160" s="2918"/>
      <c r="O160" s="2918"/>
      <c r="P160" s="2918"/>
      <c r="Q160" s="2918"/>
      <c r="R160" s="2918"/>
      <c r="S160" s="2918"/>
      <c r="T160" s="2918"/>
      <c r="U160" s="2918"/>
      <c r="V160" s="2918"/>
      <c r="W160" s="2918"/>
      <c r="X160" s="2918"/>
      <c r="Y160" s="2918"/>
      <c r="Z160" s="2918"/>
      <c r="AA160" s="2918"/>
      <c r="AB160" s="2918"/>
      <c r="AC160" s="2897">
        <f t="shared" si="93"/>
        <v>0</v>
      </c>
      <c r="AD160" s="2929"/>
      <c r="AE160" s="2929"/>
      <c r="AF160" s="2929"/>
      <c r="AG160" s="2929"/>
      <c r="AH160" s="2929"/>
      <c r="AI160" s="2929"/>
      <c r="AJ160" s="2929"/>
      <c r="AK160" s="2929"/>
      <c r="AL160" s="2929"/>
      <c r="AM160" s="2929"/>
      <c r="AN160" s="2929"/>
      <c r="AO160" s="2929"/>
      <c r="AP160" s="2929"/>
      <c r="AQ160" s="2929"/>
      <c r="AR160" s="2929"/>
      <c r="AS160" s="2929"/>
      <c r="AT160" s="2949"/>
      <c r="AU160" s="2950"/>
      <c r="AV160" s="454">
        <f t="shared" si="117"/>
        <v>0</v>
      </c>
      <c r="AW160" s="454">
        <f t="shared" si="118"/>
        <v>0</v>
      </c>
      <c r="AX160" s="454">
        <f t="shared" si="119"/>
        <v>0</v>
      </c>
      <c r="AY160" s="2966">
        <f t="shared" si="94"/>
        <v>0</v>
      </c>
      <c r="AZ160" s="2897">
        <f t="shared" si="95"/>
        <v>0</v>
      </c>
      <c r="BA160" s="2897">
        <f t="shared" si="96"/>
        <v>0</v>
      </c>
      <c r="BB160" s="2897">
        <f t="shared" si="97"/>
        <v>0</v>
      </c>
      <c r="BC160" s="2897">
        <f t="shared" si="98"/>
        <v>0</v>
      </c>
      <c r="BD160" s="2897">
        <f t="shared" si="99"/>
        <v>0</v>
      </c>
      <c r="BE160" s="2897">
        <f t="shared" si="100"/>
        <v>0</v>
      </c>
      <c r="BF160" s="2897">
        <f t="shared" si="101"/>
        <v>0</v>
      </c>
      <c r="BG160" s="2897">
        <f t="shared" si="102"/>
        <v>0</v>
      </c>
      <c r="BH160" s="2897">
        <f t="shared" si="103"/>
        <v>0</v>
      </c>
      <c r="BI160" s="2897">
        <f t="shared" si="104"/>
        <v>0</v>
      </c>
      <c r="BJ160" s="2897">
        <f t="shared" si="105"/>
        <v>0</v>
      </c>
      <c r="BK160" s="2897">
        <f t="shared" si="106"/>
        <v>0</v>
      </c>
      <c r="BL160" s="2897">
        <f t="shared" si="107"/>
        <v>0</v>
      </c>
      <c r="BM160" s="2897">
        <f t="shared" si="108"/>
        <v>0</v>
      </c>
      <c r="BN160" s="2897">
        <f t="shared" si="109"/>
        <v>0</v>
      </c>
      <c r="BO160" s="2897">
        <f t="shared" si="110"/>
        <v>0</v>
      </c>
      <c r="BP160" s="2897">
        <f t="shared" si="111"/>
        <v>0</v>
      </c>
      <c r="BQ160" s="2897">
        <f t="shared" si="112"/>
        <v>0</v>
      </c>
      <c r="BR160" s="2897">
        <f t="shared" si="113"/>
        <v>0</v>
      </c>
      <c r="BS160" s="2897">
        <f t="shared" si="114"/>
        <v>0</v>
      </c>
      <c r="BT160" s="2971">
        <f t="shared" si="115"/>
        <v>0</v>
      </c>
    </row>
    <row r="161" spans="1:72">
      <c r="A161" s="2894"/>
      <c r="B161" s="2895"/>
      <c r="C161" s="2895"/>
      <c r="D161" s="2907"/>
      <c r="E161" s="2897">
        <f t="shared" si="116"/>
        <v>0</v>
      </c>
      <c r="F161" s="2898"/>
      <c r="G161" s="2899">
        <f t="shared" si="91"/>
        <v>0</v>
      </c>
      <c r="H161" s="2900">
        <f t="shared" si="92"/>
        <v>0</v>
      </c>
      <c r="I161" s="2918"/>
      <c r="J161" s="2918"/>
      <c r="K161" s="2918"/>
      <c r="L161" s="2918"/>
      <c r="M161" s="2918"/>
      <c r="N161" s="2918"/>
      <c r="O161" s="2918"/>
      <c r="P161" s="2918"/>
      <c r="Q161" s="2918"/>
      <c r="R161" s="2918"/>
      <c r="S161" s="2918"/>
      <c r="T161" s="2918"/>
      <c r="U161" s="2918"/>
      <c r="V161" s="2918"/>
      <c r="W161" s="2918"/>
      <c r="X161" s="2918"/>
      <c r="Y161" s="2918"/>
      <c r="Z161" s="2918"/>
      <c r="AA161" s="2918"/>
      <c r="AB161" s="2918"/>
      <c r="AC161" s="2897">
        <f t="shared" si="93"/>
        <v>0</v>
      </c>
      <c r="AD161" s="2929"/>
      <c r="AE161" s="2929"/>
      <c r="AF161" s="2929"/>
      <c r="AG161" s="2929"/>
      <c r="AH161" s="2929"/>
      <c r="AI161" s="2929"/>
      <c r="AJ161" s="2929"/>
      <c r="AK161" s="2929"/>
      <c r="AL161" s="2929"/>
      <c r="AM161" s="2929"/>
      <c r="AN161" s="2929"/>
      <c r="AO161" s="2929"/>
      <c r="AP161" s="2929"/>
      <c r="AQ161" s="2929"/>
      <c r="AR161" s="2929"/>
      <c r="AS161" s="2929"/>
      <c r="AT161" s="2949"/>
      <c r="AU161" s="2950"/>
      <c r="AV161" s="454">
        <f t="shared" si="117"/>
        <v>0</v>
      </c>
      <c r="AW161" s="454">
        <f t="shared" si="118"/>
        <v>0</v>
      </c>
      <c r="AX161" s="454">
        <f t="shared" si="119"/>
        <v>0</v>
      </c>
      <c r="AY161" s="2966">
        <f t="shared" si="94"/>
        <v>0</v>
      </c>
      <c r="AZ161" s="2897">
        <f t="shared" si="95"/>
        <v>0</v>
      </c>
      <c r="BA161" s="2897">
        <f t="shared" si="96"/>
        <v>0</v>
      </c>
      <c r="BB161" s="2897">
        <f t="shared" si="97"/>
        <v>0</v>
      </c>
      <c r="BC161" s="2897">
        <f t="shared" si="98"/>
        <v>0</v>
      </c>
      <c r="BD161" s="2897">
        <f t="shared" si="99"/>
        <v>0</v>
      </c>
      <c r="BE161" s="2897">
        <f t="shared" si="100"/>
        <v>0</v>
      </c>
      <c r="BF161" s="2897">
        <f t="shared" si="101"/>
        <v>0</v>
      </c>
      <c r="BG161" s="2897">
        <f t="shared" si="102"/>
        <v>0</v>
      </c>
      <c r="BH161" s="2897">
        <f t="shared" si="103"/>
        <v>0</v>
      </c>
      <c r="BI161" s="2897">
        <f t="shared" si="104"/>
        <v>0</v>
      </c>
      <c r="BJ161" s="2897">
        <f t="shared" si="105"/>
        <v>0</v>
      </c>
      <c r="BK161" s="2897">
        <f t="shared" si="106"/>
        <v>0</v>
      </c>
      <c r="BL161" s="2897">
        <f t="shared" si="107"/>
        <v>0</v>
      </c>
      <c r="BM161" s="2897">
        <f t="shared" si="108"/>
        <v>0</v>
      </c>
      <c r="BN161" s="2897">
        <f t="shared" si="109"/>
        <v>0</v>
      </c>
      <c r="BO161" s="2897">
        <f t="shared" si="110"/>
        <v>0</v>
      </c>
      <c r="BP161" s="2897">
        <f t="shared" si="111"/>
        <v>0</v>
      </c>
      <c r="BQ161" s="2897">
        <f t="shared" si="112"/>
        <v>0</v>
      </c>
      <c r="BR161" s="2897">
        <f t="shared" si="113"/>
        <v>0</v>
      </c>
      <c r="BS161" s="2897">
        <f t="shared" si="114"/>
        <v>0</v>
      </c>
      <c r="BT161" s="2971">
        <f t="shared" si="115"/>
        <v>0</v>
      </c>
    </row>
    <row r="162" spans="1:72">
      <c r="A162" s="2894"/>
      <c r="B162" s="2895"/>
      <c r="C162" s="2895"/>
      <c r="D162" s="2907"/>
      <c r="E162" s="2897">
        <f t="shared" si="116"/>
        <v>0</v>
      </c>
      <c r="F162" s="2898"/>
      <c r="G162" s="2899">
        <f t="shared" si="91"/>
        <v>0</v>
      </c>
      <c r="H162" s="2900">
        <f t="shared" si="92"/>
        <v>0</v>
      </c>
      <c r="I162" s="2918"/>
      <c r="J162" s="2918"/>
      <c r="K162" s="2918"/>
      <c r="L162" s="2918"/>
      <c r="M162" s="2918"/>
      <c r="N162" s="2918"/>
      <c r="O162" s="2918"/>
      <c r="P162" s="2918"/>
      <c r="Q162" s="2918"/>
      <c r="R162" s="2918"/>
      <c r="S162" s="2918"/>
      <c r="T162" s="2918"/>
      <c r="U162" s="2918"/>
      <c r="V162" s="2918"/>
      <c r="W162" s="2918"/>
      <c r="X162" s="2918"/>
      <c r="Y162" s="2918"/>
      <c r="Z162" s="2918"/>
      <c r="AA162" s="2918"/>
      <c r="AB162" s="2918"/>
      <c r="AC162" s="2897">
        <f t="shared" si="93"/>
        <v>0</v>
      </c>
      <c r="AD162" s="2929"/>
      <c r="AE162" s="2929"/>
      <c r="AF162" s="2929"/>
      <c r="AG162" s="2929"/>
      <c r="AH162" s="2929"/>
      <c r="AI162" s="2929"/>
      <c r="AJ162" s="2929"/>
      <c r="AK162" s="2929"/>
      <c r="AL162" s="2929"/>
      <c r="AM162" s="2929"/>
      <c r="AN162" s="2929"/>
      <c r="AO162" s="2929"/>
      <c r="AP162" s="2929"/>
      <c r="AQ162" s="2929"/>
      <c r="AR162" s="2929"/>
      <c r="AS162" s="2929"/>
      <c r="AT162" s="2949"/>
      <c r="AU162" s="2950"/>
      <c r="AV162" s="454">
        <f t="shared" si="117"/>
        <v>0</v>
      </c>
      <c r="AW162" s="454">
        <f t="shared" si="118"/>
        <v>0</v>
      </c>
      <c r="AX162" s="454">
        <f t="shared" si="119"/>
        <v>0</v>
      </c>
      <c r="AY162" s="2966">
        <f t="shared" si="94"/>
        <v>0</v>
      </c>
      <c r="AZ162" s="2897">
        <f t="shared" si="95"/>
        <v>0</v>
      </c>
      <c r="BA162" s="2897">
        <f t="shared" si="96"/>
        <v>0</v>
      </c>
      <c r="BB162" s="2897">
        <f t="shared" si="97"/>
        <v>0</v>
      </c>
      <c r="BC162" s="2897">
        <f t="shared" si="98"/>
        <v>0</v>
      </c>
      <c r="BD162" s="2897">
        <f t="shared" si="99"/>
        <v>0</v>
      </c>
      <c r="BE162" s="2897">
        <f t="shared" si="100"/>
        <v>0</v>
      </c>
      <c r="BF162" s="2897">
        <f t="shared" si="101"/>
        <v>0</v>
      </c>
      <c r="BG162" s="2897">
        <f t="shared" si="102"/>
        <v>0</v>
      </c>
      <c r="BH162" s="2897">
        <f t="shared" si="103"/>
        <v>0</v>
      </c>
      <c r="BI162" s="2897">
        <f t="shared" si="104"/>
        <v>0</v>
      </c>
      <c r="BJ162" s="2897">
        <f t="shared" si="105"/>
        <v>0</v>
      </c>
      <c r="BK162" s="2897">
        <f t="shared" si="106"/>
        <v>0</v>
      </c>
      <c r="BL162" s="2897">
        <f t="shared" si="107"/>
        <v>0</v>
      </c>
      <c r="BM162" s="2897">
        <f t="shared" si="108"/>
        <v>0</v>
      </c>
      <c r="BN162" s="2897">
        <f t="shared" si="109"/>
        <v>0</v>
      </c>
      <c r="BO162" s="2897">
        <f t="shared" si="110"/>
        <v>0</v>
      </c>
      <c r="BP162" s="2897">
        <f t="shared" si="111"/>
        <v>0</v>
      </c>
      <c r="BQ162" s="2897">
        <f t="shared" si="112"/>
        <v>0</v>
      </c>
      <c r="BR162" s="2897">
        <f t="shared" si="113"/>
        <v>0</v>
      </c>
      <c r="BS162" s="2897">
        <f t="shared" si="114"/>
        <v>0</v>
      </c>
      <c r="BT162" s="2971">
        <f t="shared" si="115"/>
        <v>0</v>
      </c>
    </row>
    <row r="163" spans="1:72">
      <c r="A163" s="2894"/>
      <c r="B163" s="2895"/>
      <c r="C163" s="2895"/>
      <c r="D163" s="2907"/>
      <c r="E163" s="2897">
        <f t="shared" si="116"/>
        <v>0</v>
      </c>
      <c r="F163" s="2898"/>
      <c r="G163" s="2899">
        <f t="shared" si="91"/>
        <v>0</v>
      </c>
      <c r="H163" s="2900">
        <f t="shared" si="92"/>
        <v>0</v>
      </c>
      <c r="I163" s="2918"/>
      <c r="J163" s="2918"/>
      <c r="K163" s="2918"/>
      <c r="L163" s="2918"/>
      <c r="M163" s="2918"/>
      <c r="N163" s="2918"/>
      <c r="O163" s="2918"/>
      <c r="P163" s="2918"/>
      <c r="Q163" s="2918"/>
      <c r="R163" s="2918"/>
      <c r="S163" s="2918"/>
      <c r="T163" s="2918"/>
      <c r="U163" s="2918"/>
      <c r="V163" s="2918"/>
      <c r="W163" s="2918"/>
      <c r="X163" s="2918"/>
      <c r="Y163" s="2918"/>
      <c r="Z163" s="2918"/>
      <c r="AA163" s="2918"/>
      <c r="AB163" s="2918"/>
      <c r="AC163" s="2897">
        <f t="shared" si="93"/>
        <v>0</v>
      </c>
      <c r="AD163" s="2929"/>
      <c r="AE163" s="2929"/>
      <c r="AF163" s="2929"/>
      <c r="AG163" s="2929"/>
      <c r="AH163" s="2929"/>
      <c r="AI163" s="2929"/>
      <c r="AJ163" s="2929"/>
      <c r="AK163" s="2929"/>
      <c r="AL163" s="2929"/>
      <c r="AM163" s="2929"/>
      <c r="AN163" s="2929"/>
      <c r="AO163" s="2929"/>
      <c r="AP163" s="2929"/>
      <c r="AQ163" s="2929"/>
      <c r="AR163" s="2929"/>
      <c r="AS163" s="2929"/>
      <c r="AT163" s="2949"/>
      <c r="AU163" s="2950"/>
      <c r="AV163" s="454">
        <f t="shared" si="117"/>
        <v>0</v>
      </c>
      <c r="AW163" s="454">
        <f t="shared" si="118"/>
        <v>0</v>
      </c>
      <c r="AX163" s="454">
        <f t="shared" si="119"/>
        <v>0</v>
      </c>
      <c r="AY163" s="2966">
        <f t="shared" si="94"/>
        <v>0</v>
      </c>
      <c r="AZ163" s="2897">
        <f t="shared" si="95"/>
        <v>0</v>
      </c>
      <c r="BA163" s="2897">
        <f t="shared" si="96"/>
        <v>0</v>
      </c>
      <c r="BB163" s="2897">
        <f t="shared" si="97"/>
        <v>0</v>
      </c>
      <c r="BC163" s="2897">
        <f t="shared" si="98"/>
        <v>0</v>
      </c>
      <c r="BD163" s="2897">
        <f t="shared" si="99"/>
        <v>0</v>
      </c>
      <c r="BE163" s="2897">
        <f t="shared" si="100"/>
        <v>0</v>
      </c>
      <c r="BF163" s="2897">
        <f t="shared" si="101"/>
        <v>0</v>
      </c>
      <c r="BG163" s="2897">
        <f t="shared" si="102"/>
        <v>0</v>
      </c>
      <c r="BH163" s="2897">
        <f t="shared" si="103"/>
        <v>0</v>
      </c>
      <c r="BI163" s="2897">
        <f t="shared" si="104"/>
        <v>0</v>
      </c>
      <c r="BJ163" s="2897">
        <f t="shared" si="105"/>
        <v>0</v>
      </c>
      <c r="BK163" s="2897">
        <f t="shared" si="106"/>
        <v>0</v>
      </c>
      <c r="BL163" s="2897">
        <f t="shared" si="107"/>
        <v>0</v>
      </c>
      <c r="BM163" s="2897">
        <f t="shared" si="108"/>
        <v>0</v>
      </c>
      <c r="BN163" s="2897">
        <f t="shared" si="109"/>
        <v>0</v>
      </c>
      <c r="BO163" s="2897">
        <f t="shared" si="110"/>
        <v>0</v>
      </c>
      <c r="BP163" s="2897">
        <f t="shared" si="111"/>
        <v>0</v>
      </c>
      <c r="BQ163" s="2897">
        <f t="shared" si="112"/>
        <v>0</v>
      </c>
      <c r="BR163" s="2897">
        <f t="shared" si="113"/>
        <v>0</v>
      </c>
      <c r="BS163" s="2897">
        <f t="shared" si="114"/>
        <v>0</v>
      </c>
      <c r="BT163" s="2971">
        <f t="shared" si="115"/>
        <v>0</v>
      </c>
    </row>
    <row r="164" spans="1:72">
      <c r="A164" s="2894"/>
      <c r="B164" s="2895"/>
      <c r="C164" s="2895"/>
      <c r="D164" s="2907"/>
      <c r="E164" s="2897">
        <f t="shared" si="116"/>
        <v>0</v>
      </c>
      <c r="F164" s="2898"/>
      <c r="G164" s="2899">
        <f t="shared" si="91"/>
        <v>0</v>
      </c>
      <c r="H164" s="2900">
        <f t="shared" si="92"/>
        <v>0</v>
      </c>
      <c r="I164" s="2918"/>
      <c r="J164" s="2918"/>
      <c r="K164" s="2918"/>
      <c r="L164" s="2918"/>
      <c r="M164" s="2918"/>
      <c r="N164" s="2918"/>
      <c r="O164" s="2918"/>
      <c r="P164" s="2918"/>
      <c r="Q164" s="2918"/>
      <c r="R164" s="2918"/>
      <c r="S164" s="2918"/>
      <c r="T164" s="2918"/>
      <c r="U164" s="2918"/>
      <c r="V164" s="2918"/>
      <c r="W164" s="2918"/>
      <c r="X164" s="2918"/>
      <c r="Y164" s="2918"/>
      <c r="Z164" s="2918"/>
      <c r="AA164" s="2918"/>
      <c r="AB164" s="2918"/>
      <c r="AC164" s="2897">
        <f t="shared" si="93"/>
        <v>0</v>
      </c>
      <c r="AD164" s="2929"/>
      <c r="AE164" s="2929"/>
      <c r="AF164" s="2929"/>
      <c r="AG164" s="2929"/>
      <c r="AH164" s="2929"/>
      <c r="AI164" s="2929"/>
      <c r="AJ164" s="2929"/>
      <c r="AK164" s="2929"/>
      <c r="AL164" s="2929"/>
      <c r="AM164" s="2929"/>
      <c r="AN164" s="2929"/>
      <c r="AO164" s="2929"/>
      <c r="AP164" s="2929"/>
      <c r="AQ164" s="2929"/>
      <c r="AR164" s="2929"/>
      <c r="AS164" s="2929"/>
      <c r="AT164" s="2949"/>
      <c r="AU164" s="2950"/>
      <c r="AV164" s="454">
        <f t="shared" si="117"/>
        <v>0</v>
      </c>
      <c r="AW164" s="454">
        <f t="shared" si="118"/>
        <v>0</v>
      </c>
      <c r="AX164" s="454">
        <f t="shared" si="119"/>
        <v>0</v>
      </c>
      <c r="AY164" s="2966">
        <f t="shared" si="94"/>
        <v>0</v>
      </c>
      <c r="AZ164" s="2897">
        <f t="shared" si="95"/>
        <v>0</v>
      </c>
      <c r="BA164" s="2897">
        <f t="shared" si="96"/>
        <v>0</v>
      </c>
      <c r="BB164" s="2897">
        <f t="shared" si="97"/>
        <v>0</v>
      </c>
      <c r="BC164" s="2897">
        <f t="shared" si="98"/>
        <v>0</v>
      </c>
      <c r="BD164" s="2897">
        <f t="shared" si="99"/>
        <v>0</v>
      </c>
      <c r="BE164" s="2897">
        <f t="shared" si="100"/>
        <v>0</v>
      </c>
      <c r="BF164" s="2897">
        <f t="shared" si="101"/>
        <v>0</v>
      </c>
      <c r="BG164" s="2897">
        <f t="shared" si="102"/>
        <v>0</v>
      </c>
      <c r="BH164" s="2897">
        <f t="shared" si="103"/>
        <v>0</v>
      </c>
      <c r="BI164" s="2897">
        <f t="shared" si="104"/>
        <v>0</v>
      </c>
      <c r="BJ164" s="2897">
        <f t="shared" si="105"/>
        <v>0</v>
      </c>
      <c r="BK164" s="2897">
        <f t="shared" si="106"/>
        <v>0</v>
      </c>
      <c r="BL164" s="2897">
        <f t="shared" si="107"/>
        <v>0</v>
      </c>
      <c r="BM164" s="2897">
        <f t="shared" si="108"/>
        <v>0</v>
      </c>
      <c r="BN164" s="2897">
        <f t="shared" si="109"/>
        <v>0</v>
      </c>
      <c r="BO164" s="2897">
        <f t="shared" si="110"/>
        <v>0</v>
      </c>
      <c r="BP164" s="2897">
        <f t="shared" si="111"/>
        <v>0</v>
      </c>
      <c r="BQ164" s="2897">
        <f t="shared" si="112"/>
        <v>0</v>
      </c>
      <c r="BR164" s="2897">
        <f t="shared" si="113"/>
        <v>0</v>
      </c>
      <c r="BS164" s="2897">
        <f t="shared" si="114"/>
        <v>0</v>
      </c>
      <c r="BT164" s="2971">
        <f t="shared" si="115"/>
        <v>0</v>
      </c>
    </row>
    <row r="165" spans="1:72">
      <c r="A165" s="2894"/>
      <c r="B165" s="2895"/>
      <c r="C165" s="2895"/>
      <c r="D165" s="2907"/>
      <c r="E165" s="2897">
        <f t="shared" si="116"/>
        <v>0</v>
      </c>
      <c r="F165" s="2898"/>
      <c r="G165" s="2899">
        <f t="shared" si="91"/>
        <v>0</v>
      </c>
      <c r="H165" s="2900">
        <f t="shared" si="92"/>
        <v>0</v>
      </c>
      <c r="I165" s="2918"/>
      <c r="J165" s="2918"/>
      <c r="K165" s="2918"/>
      <c r="L165" s="2918"/>
      <c r="M165" s="2918"/>
      <c r="N165" s="2918"/>
      <c r="O165" s="2918"/>
      <c r="P165" s="2918"/>
      <c r="Q165" s="2918"/>
      <c r="R165" s="2918"/>
      <c r="S165" s="2918"/>
      <c r="T165" s="2918"/>
      <c r="U165" s="2918"/>
      <c r="V165" s="2918"/>
      <c r="W165" s="2918"/>
      <c r="X165" s="2918"/>
      <c r="Y165" s="2918"/>
      <c r="Z165" s="2918"/>
      <c r="AA165" s="2918"/>
      <c r="AB165" s="2918"/>
      <c r="AC165" s="2897">
        <f t="shared" si="93"/>
        <v>0</v>
      </c>
      <c r="AD165" s="2929"/>
      <c r="AE165" s="2929"/>
      <c r="AF165" s="2929"/>
      <c r="AG165" s="2929"/>
      <c r="AH165" s="2929"/>
      <c r="AI165" s="2929"/>
      <c r="AJ165" s="2929"/>
      <c r="AK165" s="2929"/>
      <c r="AL165" s="2929"/>
      <c r="AM165" s="2929"/>
      <c r="AN165" s="2929"/>
      <c r="AO165" s="2929"/>
      <c r="AP165" s="2929"/>
      <c r="AQ165" s="2929"/>
      <c r="AR165" s="2929"/>
      <c r="AS165" s="2929"/>
      <c r="AT165" s="2949"/>
      <c r="AU165" s="2950"/>
      <c r="AV165" s="454">
        <f t="shared" si="117"/>
        <v>0</v>
      </c>
      <c r="AW165" s="454">
        <f t="shared" si="118"/>
        <v>0</v>
      </c>
      <c r="AX165" s="454">
        <f t="shared" si="119"/>
        <v>0</v>
      </c>
      <c r="AY165" s="2966">
        <f t="shared" si="94"/>
        <v>0</v>
      </c>
      <c r="AZ165" s="2897">
        <f t="shared" si="95"/>
        <v>0</v>
      </c>
      <c r="BA165" s="2897">
        <f t="shared" si="96"/>
        <v>0</v>
      </c>
      <c r="BB165" s="2897">
        <f t="shared" si="97"/>
        <v>0</v>
      </c>
      <c r="BC165" s="2897">
        <f t="shared" si="98"/>
        <v>0</v>
      </c>
      <c r="BD165" s="2897">
        <f t="shared" si="99"/>
        <v>0</v>
      </c>
      <c r="BE165" s="2897">
        <f t="shared" si="100"/>
        <v>0</v>
      </c>
      <c r="BF165" s="2897">
        <f t="shared" si="101"/>
        <v>0</v>
      </c>
      <c r="BG165" s="2897">
        <f t="shared" si="102"/>
        <v>0</v>
      </c>
      <c r="BH165" s="2897">
        <f t="shared" si="103"/>
        <v>0</v>
      </c>
      <c r="BI165" s="2897">
        <f t="shared" si="104"/>
        <v>0</v>
      </c>
      <c r="BJ165" s="2897">
        <f t="shared" si="105"/>
        <v>0</v>
      </c>
      <c r="BK165" s="2897">
        <f t="shared" si="106"/>
        <v>0</v>
      </c>
      <c r="BL165" s="2897">
        <f t="shared" si="107"/>
        <v>0</v>
      </c>
      <c r="BM165" s="2897">
        <f t="shared" si="108"/>
        <v>0</v>
      </c>
      <c r="BN165" s="2897">
        <f t="shared" si="109"/>
        <v>0</v>
      </c>
      <c r="BO165" s="2897">
        <f t="shared" si="110"/>
        <v>0</v>
      </c>
      <c r="BP165" s="2897">
        <f t="shared" si="111"/>
        <v>0</v>
      </c>
      <c r="BQ165" s="2897">
        <f t="shared" si="112"/>
        <v>0</v>
      </c>
      <c r="BR165" s="2897">
        <f t="shared" si="113"/>
        <v>0</v>
      </c>
      <c r="BS165" s="2897">
        <f t="shared" si="114"/>
        <v>0</v>
      </c>
      <c r="BT165" s="2971">
        <f t="shared" si="115"/>
        <v>0</v>
      </c>
    </row>
    <row r="166" spans="1:72">
      <c r="A166" s="2894"/>
      <c r="B166" s="2895"/>
      <c r="C166" s="2895"/>
      <c r="D166" s="2907"/>
      <c r="E166" s="2897">
        <f t="shared" si="116"/>
        <v>0</v>
      </c>
      <c r="F166" s="2898"/>
      <c r="G166" s="2899">
        <f t="shared" si="91"/>
        <v>0</v>
      </c>
      <c r="H166" s="2900">
        <f t="shared" si="92"/>
        <v>0</v>
      </c>
      <c r="I166" s="2918"/>
      <c r="J166" s="2918"/>
      <c r="K166" s="2918"/>
      <c r="L166" s="2918"/>
      <c r="M166" s="2918"/>
      <c r="N166" s="2918"/>
      <c r="O166" s="2918"/>
      <c r="P166" s="2918"/>
      <c r="Q166" s="2918"/>
      <c r="R166" s="2918"/>
      <c r="S166" s="2918"/>
      <c r="T166" s="2918"/>
      <c r="U166" s="2918"/>
      <c r="V166" s="2918"/>
      <c r="W166" s="2918"/>
      <c r="X166" s="2918"/>
      <c r="Y166" s="2918"/>
      <c r="Z166" s="2918"/>
      <c r="AA166" s="2918"/>
      <c r="AB166" s="2918"/>
      <c r="AC166" s="2897">
        <f t="shared" si="93"/>
        <v>0</v>
      </c>
      <c r="AD166" s="2929"/>
      <c r="AE166" s="2929"/>
      <c r="AF166" s="2929"/>
      <c r="AG166" s="2929"/>
      <c r="AH166" s="2929"/>
      <c r="AI166" s="2929"/>
      <c r="AJ166" s="2929"/>
      <c r="AK166" s="2929"/>
      <c r="AL166" s="2929"/>
      <c r="AM166" s="2929"/>
      <c r="AN166" s="2929"/>
      <c r="AO166" s="2929"/>
      <c r="AP166" s="2929"/>
      <c r="AQ166" s="2929"/>
      <c r="AR166" s="2929"/>
      <c r="AS166" s="2929"/>
      <c r="AT166" s="2949"/>
      <c r="AU166" s="2950"/>
      <c r="AV166" s="454">
        <f t="shared" si="117"/>
        <v>0</v>
      </c>
      <c r="AW166" s="454">
        <f t="shared" si="118"/>
        <v>0</v>
      </c>
      <c r="AX166" s="454">
        <f t="shared" si="119"/>
        <v>0</v>
      </c>
      <c r="AY166" s="2966">
        <f t="shared" si="94"/>
        <v>0</v>
      </c>
      <c r="AZ166" s="2897">
        <f t="shared" si="95"/>
        <v>0</v>
      </c>
      <c r="BA166" s="2897">
        <f t="shared" si="96"/>
        <v>0</v>
      </c>
      <c r="BB166" s="2897">
        <f t="shared" si="97"/>
        <v>0</v>
      </c>
      <c r="BC166" s="2897">
        <f t="shared" si="98"/>
        <v>0</v>
      </c>
      <c r="BD166" s="2897">
        <f t="shared" si="99"/>
        <v>0</v>
      </c>
      <c r="BE166" s="2897">
        <f t="shared" si="100"/>
        <v>0</v>
      </c>
      <c r="BF166" s="2897">
        <f t="shared" si="101"/>
        <v>0</v>
      </c>
      <c r="BG166" s="2897">
        <f t="shared" si="102"/>
        <v>0</v>
      </c>
      <c r="BH166" s="2897">
        <f t="shared" si="103"/>
        <v>0</v>
      </c>
      <c r="BI166" s="2897">
        <f t="shared" si="104"/>
        <v>0</v>
      </c>
      <c r="BJ166" s="2897">
        <f t="shared" si="105"/>
        <v>0</v>
      </c>
      <c r="BK166" s="2897">
        <f t="shared" si="106"/>
        <v>0</v>
      </c>
      <c r="BL166" s="2897">
        <f t="shared" si="107"/>
        <v>0</v>
      </c>
      <c r="BM166" s="2897">
        <f t="shared" si="108"/>
        <v>0</v>
      </c>
      <c r="BN166" s="2897">
        <f t="shared" si="109"/>
        <v>0</v>
      </c>
      <c r="BO166" s="2897">
        <f t="shared" si="110"/>
        <v>0</v>
      </c>
      <c r="BP166" s="2897">
        <f t="shared" si="111"/>
        <v>0</v>
      </c>
      <c r="BQ166" s="2897">
        <f t="shared" si="112"/>
        <v>0</v>
      </c>
      <c r="BR166" s="2897">
        <f t="shared" si="113"/>
        <v>0</v>
      </c>
      <c r="BS166" s="2897">
        <f t="shared" si="114"/>
        <v>0</v>
      </c>
      <c r="BT166" s="2971">
        <f t="shared" si="115"/>
        <v>0</v>
      </c>
    </row>
    <row r="167" spans="1:72">
      <c r="A167" s="2894"/>
      <c r="B167" s="2895"/>
      <c r="C167" s="2895"/>
      <c r="D167" s="2907"/>
      <c r="E167" s="2897">
        <f t="shared" si="116"/>
        <v>0</v>
      </c>
      <c r="F167" s="2898"/>
      <c r="G167" s="2899">
        <f t="shared" si="91"/>
        <v>0</v>
      </c>
      <c r="H167" s="2900">
        <f t="shared" si="92"/>
        <v>0</v>
      </c>
      <c r="I167" s="2918"/>
      <c r="J167" s="2918"/>
      <c r="K167" s="2918"/>
      <c r="L167" s="2918"/>
      <c r="M167" s="2918"/>
      <c r="N167" s="2918"/>
      <c r="O167" s="2918"/>
      <c r="P167" s="2918"/>
      <c r="Q167" s="2918"/>
      <c r="R167" s="2918"/>
      <c r="S167" s="2918"/>
      <c r="T167" s="2918"/>
      <c r="U167" s="2918"/>
      <c r="V167" s="2918"/>
      <c r="W167" s="2918"/>
      <c r="X167" s="2918"/>
      <c r="Y167" s="2918"/>
      <c r="Z167" s="2918"/>
      <c r="AA167" s="2918"/>
      <c r="AB167" s="2918"/>
      <c r="AC167" s="2897">
        <f t="shared" si="93"/>
        <v>0</v>
      </c>
      <c r="AD167" s="2929"/>
      <c r="AE167" s="2929"/>
      <c r="AF167" s="2929"/>
      <c r="AG167" s="2929"/>
      <c r="AH167" s="2929"/>
      <c r="AI167" s="2929"/>
      <c r="AJ167" s="2929"/>
      <c r="AK167" s="2929"/>
      <c r="AL167" s="2929"/>
      <c r="AM167" s="2929"/>
      <c r="AN167" s="2929"/>
      <c r="AO167" s="2929"/>
      <c r="AP167" s="2929"/>
      <c r="AQ167" s="2929"/>
      <c r="AR167" s="2929"/>
      <c r="AS167" s="2929"/>
      <c r="AT167" s="2949"/>
      <c r="AU167" s="2950"/>
      <c r="AV167" s="454">
        <f t="shared" si="117"/>
        <v>0</v>
      </c>
      <c r="AW167" s="454">
        <f t="shared" si="118"/>
        <v>0</v>
      </c>
      <c r="AX167" s="454">
        <f t="shared" si="119"/>
        <v>0</v>
      </c>
      <c r="AY167" s="2966">
        <f t="shared" si="94"/>
        <v>0</v>
      </c>
      <c r="AZ167" s="2897">
        <f t="shared" si="95"/>
        <v>0</v>
      </c>
      <c r="BA167" s="2897">
        <f t="shared" si="96"/>
        <v>0</v>
      </c>
      <c r="BB167" s="2897">
        <f t="shared" si="97"/>
        <v>0</v>
      </c>
      <c r="BC167" s="2897">
        <f t="shared" si="98"/>
        <v>0</v>
      </c>
      <c r="BD167" s="2897">
        <f t="shared" si="99"/>
        <v>0</v>
      </c>
      <c r="BE167" s="2897">
        <f t="shared" si="100"/>
        <v>0</v>
      </c>
      <c r="BF167" s="2897">
        <f t="shared" si="101"/>
        <v>0</v>
      </c>
      <c r="BG167" s="2897">
        <f t="shared" si="102"/>
        <v>0</v>
      </c>
      <c r="BH167" s="2897">
        <f t="shared" si="103"/>
        <v>0</v>
      </c>
      <c r="BI167" s="2897">
        <f t="shared" si="104"/>
        <v>0</v>
      </c>
      <c r="BJ167" s="2897">
        <f t="shared" si="105"/>
        <v>0</v>
      </c>
      <c r="BK167" s="2897">
        <f t="shared" si="106"/>
        <v>0</v>
      </c>
      <c r="BL167" s="2897">
        <f t="shared" si="107"/>
        <v>0</v>
      </c>
      <c r="BM167" s="2897">
        <f t="shared" si="108"/>
        <v>0</v>
      </c>
      <c r="BN167" s="2897">
        <f t="shared" si="109"/>
        <v>0</v>
      </c>
      <c r="BO167" s="2897">
        <f t="shared" si="110"/>
        <v>0</v>
      </c>
      <c r="BP167" s="2897">
        <f t="shared" si="111"/>
        <v>0</v>
      </c>
      <c r="BQ167" s="2897">
        <f t="shared" si="112"/>
        <v>0</v>
      </c>
      <c r="BR167" s="2897">
        <f t="shared" si="113"/>
        <v>0</v>
      </c>
      <c r="BS167" s="2897">
        <f t="shared" si="114"/>
        <v>0</v>
      </c>
      <c r="BT167" s="2971">
        <f t="shared" si="115"/>
        <v>0</v>
      </c>
    </row>
    <row r="168" spans="1:72">
      <c r="A168" s="2894"/>
      <c r="B168" s="2895"/>
      <c r="C168" s="2895"/>
      <c r="D168" s="2907"/>
      <c r="E168" s="2897">
        <f t="shared" si="116"/>
        <v>0</v>
      </c>
      <c r="F168" s="2898"/>
      <c r="G168" s="2899">
        <f t="shared" si="91"/>
        <v>0</v>
      </c>
      <c r="H168" s="2900">
        <f t="shared" si="92"/>
        <v>0</v>
      </c>
      <c r="I168" s="2918"/>
      <c r="J168" s="2918"/>
      <c r="K168" s="2918"/>
      <c r="L168" s="2918"/>
      <c r="M168" s="2918"/>
      <c r="N168" s="2918"/>
      <c r="O168" s="2918"/>
      <c r="P168" s="2918"/>
      <c r="Q168" s="2918"/>
      <c r="R168" s="2918"/>
      <c r="S168" s="2918"/>
      <c r="T168" s="2918"/>
      <c r="U168" s="2918"/>
      <c r="V168" s="2918"/>
      <c r="W168" s="2918"/>
      <c r="X168" s="2918"/>
      <c r="Y168" s="2918"/>
      <c r="Z168" s="2918"/>
      <c r="AA168" s="2918"/>
      <c r="AB168" s="2918"/>
      <c r="AC168" s="2897">
        <f t="shared" si="93"/>
        <v>0</v>
      </c>
      <c r="AD168" s="2929"/>
      <c r="AE168" s="2929"/>
      <c r="AF168" s="2929"/>
      <c r="AG168" s="2929"/>
      <c r="AH168" s="2929"/>
      <c r="AI168" s="2929"/>
      <c r="AJ168" s="2929"/>
      <c r="AK168" s="2929"/>
      <c r="AL168" s="2929"/>
      <c r="AM168" s="2929"/>
      <c r="AN168" s="2929"/>
      <c r="AO168" s="2929"/>
      <c r="AP168" s="2929"/>
      <c r="AQ168" s="2929"/>
      <c r="AR168" s="2929"/>
      <c r="AS168" s="2929"/>
      <c r="AT168" s="2949"/>
      <c r="AU168" s="2950"/>
      <c r="AV168" s="454">
        <f t="shared" si="117"/>
        <v>0</v>
      </c>
      <c r="AW168" s="454">
        <f t="shared" si="118"/>
        <v>0</v>
      </c>
      <c r="AX168" s="454">
        <f t="shared" si="119"/>
        <v>0</v>
      </c>
      <c r="AY168" s="2966">
        <f t="shared" si="94"/>
        <v>0</v>
      </c>
      <c r="AZ168" s="2897">
        <f t="shared" si="95"/>
        <v>0</v>
      </c>
      <c r="BA168" s="2897">
        <f t="shared" si="96"/>
        <v>0</v>
      </c>
      <c r="BB168" s="2897">
        <f t="shared" si="97"/>
        <v>0</v>
      </c>
      <c r="BC168" s="2897">
        <f t="shared" si="98"/>
        <v>0</v>
      </c>
      <c r="BD168" s="2897">
        <f t="shared" si="99"/>
        <v>0</v>
      </c>
      <c r="BE168" s="2897">
        <f t="shared" si="100"/>
        <v>0</v>
      </c>
      <c r="BF168" s="2897">
        <f t="shared" si="101"/>
        <v>0</v>
      </c>
      <c r="BG168" s="2897">
        <f t="shared" si="102"/>
        <v>0</v>
      </c>
      <c r="BH168" s="2897">
        <f t="shared" si="103"/>
        <v>0</v>
      </c>
      <c r="BI168" s="2897">
        <f t="shared" si="104"/>
        <v>0</v>
      </c>
      <c r="BJ168" s="2897">
        <f t="shared" si="105"/>
        <v>0</v>
      </c>
      <c r="BK168" s="2897">
        <f t="shared" si="106"/>
        <v>0</v>
      </c>
      <c r="BL168" s="2897">
        <f t="shared" si="107"/>
        <v>0</v>
      </c>
      <c r="BM168" s="2897">
        <f t="shared" si="108"/>
        <v>0</v>
      </c>
      <c r="BN168" s="2897">
        <f t="shared" si="109"/>
        <v>0</v>
      </c>
      <c r="BO168" s="2897">
        <f t="shared" si="110"/>
        <v>0</v>
      </c>
      <c r="BP168" s="2897">
        <f t="shared" si="111"/>
        <v>0</v>
      </c>
      <c r="BQ168" s="2897">
        <f t="shared" si="112"/>
        <v>0</v>
      </c>
      <c r="BR168" s="2897">
        <f t="shared" si="113"/>
        <v>0</v>
      </c>
      <c r="BS168" s="2897">
        <f t="shared" si="114"/>
        <v>0</v>
      </c>
      <c r="BT168" s="2971">
        <f t="shared" si="115"/>
        <v>0</v>
      </c>
    </row>
    <row r="169" spans="1:72">
      <c r="A169" s="2894"/>
      <c r="B169" s="2895"/>
      <c r="C169" s="2895"/>
      <c r="D169" s="2907"/>
      <c r="E169" s="2897">
        <f t="shared" si="116"/>
        <v>0</v>
      </c>
      <c r="F169" s="2898"/>
      <c r="G169" s="2899">
        <f t="shared" si="91"/>
        <v>0</v>
      </c>
      <c r="H169" s="2900">
        <f t="shared" si="92"/>
        <v>0</v>
      </c>
      <c r="I169" s="2918"/>
      <c r="J169" s="2918"/>
      <c r="K169" s="2918"/>
      <c r="L169" s="2918"/>
      <c r="M169" s="2918"/>
      <c r="N169" s="2918"/>
      <c r="O169" s="2918"/>
      <c r="P169" s="2918"/>
      <c r="Q169" s="2918"/>
      <c r="R169" s="2918"/>
      <c r="S169" s="2918"/>
      <c r="T169" s="2918"/>
      <c r="U169" s="2918"/>
      <c r="V169" s="2918"/>
      <c r="W169" s="2918"/>
      <c r="X169" s="2918"/>
      <c r="Y169" s="2918"/>
      <c r="Z169" s="2918"/>
      <c r="AA169" s="2918"/>
      <c r="AB169" s="2918"/>
      <c r="AC169" s="2897">
        <f t="shared" si="93"/>
        <v>0</v>
      </c>
      <c r="AD169" s="2929"/>
      <c r="AE169" s="2929"/>
      <c r="AF169" s="2929"/>
      <c r="AG169" s="2929"/>
      <c r="AH169" s="2929"/>
      <c r="AI169" s="2929"/>
      <c r="AJ169" s="2929"/>
      <c r="AK169" s="2929"/>
      <c r="AL169" s="2929"/>
      <c r="AM169" s="2929"/>
      <c r="AN169" s="2929"/>
      <c r="AO169" s="2929"/>
      <c r="AP169" s="2929"/>
      <c r="AQ169" s="2929"/>
      <c r="AR169" s="2929"/>
      <c r="AS169" s="2929"/>
      <c r="AT169" s="2949"/>
      <c r="AU169" s="2950"/>
      <c r="AV169" s="454">
        <f t="shared" si="117"/>
        <v>0</v>
      </c>
      <c r="AW169" s="454">
        <f t="shared" si="118"/>
        <v>0</v>
      </c>
      <c r="AX169" s="454">
        <f t="shared" si="119"/>
        <v>0</v>
      </c>
      <c r="AY169" s="2966">
        <f t="shared" si="94"/>
        <v>0</v>
      </c>
      <c r="AZ169" s="2897">
        <f t="shared" si="95"/>
        <v>0</v>
      </c>
      <c r="BA169" s="2897">
        <f t="shared" si="96"/>
        <v>0</v>
      </c>
      <c r="BB169" s="2897">
        <f t="shared" si="97"/>
        <v>0</v>
      </c>
      <c r="BC169" s="2897">
        <f t="shared" si="98"/>
        <v>0</v>
      </c>
      <c r="BD169" s="2897">
        <f t="shared" si="99"/>
        <v>0</v>
      </c>
      <c r="BE169" s="2897">
        <f t="shared" si="100"/>
        <v>0</v>
      </c>
      <c r="BF169" s="2897">
        <f t="shared" si="101"/>
        <v>0</v>
      </c>
      <c r="BG169" s="2897">
        <f t="shared" si="102"/>
        <v>0</v>
      </c>
      <c r="BH169" s="2897">
        <f t="shared" si="103"/>
        <v>0</v>
      </c>
      <c r="BI169" s="2897">
        <f t="shared" si="104"/>
        <v>0</v>
      </c>
      <c r="BJ169" s="2897">
        <f t="shared" si="105"/>
        <v>0</v>
      </c>
      <c r="BK169" s="2897">
        <f t="shared" si="106"/>
        <v>0</v>
      </c>
      <c r="BL169" s="2897">
        <f t="shared" si="107"/>
        <v>0</v>
      </c>
      <c r="BM169" s="2897">
        <f t="shared" si="108"/>
        <v>0</v>
      </c>
      <c r="BN169" s="2897">
        <f t="shared" si="109"/>
        <v>0</v>
      </c>
      <c r="BO169" s="2897">
        <f t="shared" si="110"/>
        <v>0</v>
      </c>
      <c r="BP169" s="2897">
        <f t="shared" si="111"/>
        <v>0</v>
      </c>
      <c r="BQ169" s="2897">
        <f t="shared" si="112"/>
        <v>0</v>
      </c>
      <c r="BR169" s="2897">
        <f t="shared" si="113"/>
        <v>0</v>
      </c>
      <c r="BS169" s="2897">
        <f t="shared" si="114"/>
        <v>0</v>
      </c>
      <c r="BT169" s="2971">
        <f t="shared" si="115"/>
        <v>0</v>
      </c>
    </row>
    <row r="170" spans="1:72">
      <c r="A170" s="2894"/>
      <c r="B170" s="2895"/>
      <c r="C170" s="2895"/>
      <c r="D170" s="2907"/>
      <c r="E170" s="2897">
        <f t="shared" si="116"/>
        <v>0</v>
      </c>
      <c r="F170" s="2898"/>
      <c r="G170" s="2899">
        <f t="shared" si="91"/>
        <v>0</v>
      </c>
      <c r="H170" s="2900">
        <f t="shared" si="92"/>
        <v>0</v>
      </c>
      <c r="I170" s="2918"/>
      <c r="J170" s="2918"/>
      <c r="K170" s="2918"/>
      <c r="L170" s="2918"/>
      <c r="M170" s="2918"/>
      <c r="N170" s="2918"/>
      <c r="O170" s="2918"/>
      <c r="P170" s="2918"/>
      <c r="Q170" s="2918"/>
      <c r="R170" s="2918"/>
      <c r="S170" s="2918"/>
      <c r="T170" s="2918"/>
      <c r="U170" s="2918"/>
      <c r="V170" s="2918"/>
      <c r="W170" s="2918"/>
      <c r="X170" s="2918"/>
      <c r="Y170" s="2918"/>
      <c r="Z170" s="2918"/>
      <c r="AA170" s="2918"/>
      <c r="AB170" s="2918"/>
      <c r="AC170" s="2897">
        <f t="shared" si="93"/>
        <v>0</v>
      </c>
      <c r="AD170" s="2929"/>
      <c r="AE170" s="2929"/>
      <c r="AF170" s="2929"/>
      <c r="AG170" s="2929"/>
      <c r="AH170" s="2929"/>
      <c r="AI170" s="2929"/>
      <c r="AJ170" s="2929"/>
      <c r="AK170" s="2929"/>
      <c r="AL170" s="2929"/>
      <c r="AM170" s="2929"/>
      <c r="AN170" s="2929"/>
      <c r="AO170" s="2929"/>
      <c r="AP170" s="2929"/>
      <c r="AQ170" s="2929"/>
      <c r="AR170" s="2929"/>
      <c r="AS170" s="2929"/>
      <c r="AT170" s="2949"/>
      <c r="AU170" s="2950"/>
      <c r="AV170" s="454">
        <f t="shared" si="117"/>
        <v>0</v>
      </c>
      <c r="AW170" s="454">
        <f t="shared" si="118"/>
        <v>0</v>
      </c>
      <c r="AX170" s="454">
        <f t="shared" si="119"/>
        <v>0</v>
      </c>
      <c r="AY170" s="2966">
        <f t="shared" si="94"/>
        <v>0</v>
      </c>
      <c r="AZ170" s="2897">
        <f t="shared" si="95"/>
        <v>0</v>
      </c>
      <c r="BA170" s="2897">
        <f t="shared" si="96"/>
        <v>0</v>
      </c>
      <c r="BB170" s="2897">
        <f t="shared" si="97"/>
        <v>0</v>
      </c>
      <c r="BC170" s="2897">
        <f t="shared" si="98"/>
        <v>0</v>
      </c>
      <c r="BD170" s="2897">
        <f t="shared" si="99"/>
        <v>0</v>
      </c>
      <c r="BE170" s="2897">
        <f t="shared" si="100"/>
        <v>0</v>
      </c>
      <c r="BF170" s="2897">
        <f t="shared" si="101"/>
        <v>0</v>
      </c>
      <c r="BG170" s="2897">
        <f t="shared" si="102"/>
        <v>0</v>
      </c>
      <c r="BH170" s="2897">
        <f t="shared" si="103"/>
        <v>0</v>
      </c>
      <c r="BI170" s="2897">
        <f t="shared" si="104"/>
        <v>0</v>
      </c>
      <c r="BJ170" s="2897">
        <f t="shared" si="105"/>
        <v>0</v>
      </c>
      <c r="BK170" s="2897">
        <f t="shared" si="106"/>
        <v>0</v>
      </c>
      <c r="BL170" s="2897">
        <f t="shared" si="107"/>
        <v>0</v>
      </c>
      <c r="BM170" s="2897">
        <f t="shared" si="108"/>
        <v>0</v>
      </c>
      <c r="BN170" s="2897">
        <f t="shared" si="109"/>
        <v>0</v>
      </c>
      <c r="BO170" s="2897">
        <f t="shared" si="110"/>
        <v>0</v>
      </c>
      <c r="BP170" s="2897">
        <f t="shared" si="111"/>
        <v>0</v>
      </c>
      <c r="BQ170" s="2897">
        <f t="shared" si="112"/>
        <v>0</v>
      </c>
      <c r="BR170" s="2897">
        <f t="shared" si="113"/>
        <v>0</v>
      </c>
      <c r="BS170" s="2897">
        <f t="shared" si="114"/>
        <v>0</v>
      </c>
      <c r="BT170" s="2971">
        <f t="shared" si="115"/>
        <v>0</v>
      </c>
    </row>
    <row r="171" spans="1:72">
      <c r="A171" s="2894"/>
      <c r="B171" s="2895"/>
      <c r="C171" s="2895"/>
      <c r="D171" s="2907"/>
      <c r="E171" s="2897">
        <f t="shared" si="116"/>
        <v>0</v>
      </c>
      <c r="F171" s="2898"/>
      <c r="G171" s="2899">
        <f t="shared" si="91"/>
        <v>0</v>
      </c>
      <c r="H171" s="2900">
        <f t="shared" si="92"/>
        <v>0</v>
      </c>
      <c r="I171" s="2918"/>
      <c r="J171" s="2918"/>
      <c r="K171" s="2918"/>
      <c r="L171" s="2918"/>
      <c r="M171" s="2918"/>
      <c r="N171" s="2918"/>
      <c r="O171" s="2918"/>
      <c r="P171" s="2918"/>
      <c r="Q171" s="2918"/>
      <c r="R171" s="2918"/>
      <c r="S171" s="2918"/>
      <c r="T171" s="2918"/>
      <c r="U171" s="2918"/>
      <c r="V171" s="2918"/>
      <c r="W171" s="2918"/>
      <c r="X171" s="2918"/>
      <c r="Y171" s="2918"/>
      <c r="Z171" s="2918"/>
      <c r="AA171" s="2918"/>
      <c r="AB171" s="2918"/>
      <c r="AC171" s="2897">
        <f t="shared" si="93"/>
        <v>0</v>
      </c>
      <c r="AD171" s="2929"/>
      <c r="AE171" s="2929"/>
      <c r="AF171" s="2929"/>
      <c r="AG171" s="2929"/>
      <c r="AH171" s="2929"/>
      <c r="AI171" s="2929"/>
      <c r="AJ171" s="2929"/>
      <c r="AK171" s="2929"/>
      <c r="AL171" s="2929"/>
      <c r="AM171" s="2929"/>
      <c r="AN171" s="2929"/>
      <c r="AO171" s="2929"/>
      <c r="AP171" s="2929"/>
      <c r="AQ171" s="2929"/>
      <c r="AR171" s="2929"/>
      <c r="AS171" s="2929"/>
      <c r="AT171" s="2949"/>
      <c r="AU171" s="2950"/>
      <c r="AV171" s="454">
        <f t="shared" si="117"/>
        <v>0</v>
      </c>
      <c r="AW171" s="454">
        <f t="shared" si="118"/>
        <v>0</v>
      </c>
      <c r="AX171" s="454">
        <f t="shared" si="119"/>
        <v>0</v>
      </c>
      <c r="AY171" s="2966">
        <f t="shared" si="94"/>
        <v>0</v>
      </c>
      <c r="AZ171" s="2897">
        <f t="shared" si="95"/>
        <v>0</v>
      </c>
      <c r="BA171" s="2897">
        <f t="shared" si="96"/>
        <v>0</v>
      </c>
      <c r="BB171" s="2897">
        <f t="shared" si="97"/>
        <v>0</v>
      </c>
      <c r="BC171" s="2897">
        <f t="shared" si="98"/>
        <v>0</v>
      </c>
      <c r="BD171" s="2897">
        <f t="shared" si="99"/>
        <v>0</v>
      </c>
      <c r="BE171" s="2897">
        <f t="shared" si="100"/>
        <v>0</v>
      </c>
      <c r="BF171" s="2897">
        <f t="shared" si="101"/>
        <v>0</v>
      </c>
      <c r="BG171" s="2897">
        <f t="shared" si="102"/>
        <v>0</v>
      </c>
      <c r="BH171" s="2897">
        <f t="shared" si="103"/>
        <v>0</v>
      </c>
      <c r="BI171" s="2897">
        <f t="shared" si="104"/>
        <v>0</v>
      </c>
      <c r="BJ171" s="2897">
        <f t="shared" si="105"/>
        <v>0</v>
      </c>
      <c r="BK171" s="2897">
        <f t="shared" si="106"/>
        <v>0</v>
      </c>
      <c r="BL171" s="2897">
        <f t="shared" si="107"/>
        <v>0</v>
      </c>
      <c r="BM171" s="2897">
        <f t="shared" si="108"/>
        <v>0</v>
      </c>
      <c r="BN171" s="2897">
        <f t="shared" si="109"/>
        <v>0</v>
      </c>
      <c r="BO171" s="2897">
        <f t="shared" si="110"/>
        <v>0</v>
      </c>
      <c r="BP171" s="2897">
        <f t="shared" si="111"/>
        <v>0</v>
      </c>
      <c r="BQ171" s="2897">
        <f t="shared" si="112"/>
        <v>0</v>
      </c>
      <c r="BR171" s="2897">
        <f t="shared" si="113"/>
        <v>0</v>
      </c>
      <c r="BS171" s="2897">
        <f t="shared" si="114"/>
        <v>0</v>
      </c>
      <c r="BT171" s="2971">
        <f t="shared" si="115"/>
        <v>0</v>
      </c>
    </row>
    <row r="172" spans="1:72">
      <c r="A172" s="2894"/>
      <c r="B172" s="2895"/>
      <c r="C172" s="2895"/>
      <c r="D172" s="2907"/>
      <c r="E172" s="2897">
        <f t="shared" si="116"/>
        <v>0</v>
      </c>
      <c r="F172" s="2898"/>
      <c r="G172" s="2899">
        <f t="shared" si="91"/>
        <v>0</v>
      </c>
      <c r="H172" s="2900">
        <f t="shared" si="92"/>
        <v>0</v>
      </c>
      <c r="I172" s="2918"/>
      <c r="J172" s="2918"/>
      <c r="K172" s="2918"/>
      <c r="L172" s="2918"/>
      <c r="M172" s="2918"/>
      <c r="N172" s="2918"/>
      <c r="O172" s="2918"/>
      <c r="P172" s="2918"/>
      <c r="Q172" s="2918"/>
      <c r="R172" s="2918"/>
      <c r="S172" s="2918"/>
      <c r="T172" s="2918"/>
      <c r="U172" s="2918"/>
      <c r="V172" s="2918"/>
      <c r="W172" s="2918"/>
      <c r="X172" s="2918"/>
      <c r="Y172" s="2918"/>
      <c r="Z172" s="2918"/>
      <c r="AA172" s="2918"/>
      <c r="AB172" s="2918"/>
      <c r="AC172" s="2897">
        <f t="shared" si="93"/>
        <v>0</v>
      </c>
      <c r="AD172" s="2929"/>
      <c r="AE172" s="2929"/>
      <c r="AF172" s="2929"/>
      <c r="AG172" s="2929"/>
      <c r="AH172" s="2929"/>
      <c r="AI172" s="2929"/>
      <c r="AJ172" s="2929"/>
      <c r="AK172" s="2929"/>
      <c r="AL172" s="2929"/>
      <c r="AM172" s="2929"/>
      <c r="AN172" s="2929"/>
      <c r="AO172" s="2929"/>
      <c r="AP172" s="2929"/>
      <c r="AQ172" s="2929"/>
      <c r="AR172" s="2929"/>
      <c r="AS172" s="2929"/>
      <c r="AT172" s="2949"/>
      <c r="AU172" s="2950"/>
      <c r="AV172" s="454">
        <f t="shared" si="117"/>
        <v>0</v>
      </c>
      <c r="AW172" s="454">
        <f t="shared" si="118"/>
        <v>0</v>
      </c>
      <c r="AX172" s="454">
        <f t="shared" si="119"/>
        <v>0</v>
      </c>
      <c r="AY172" s="2966">
        <f t="shared" si="94"/>
        <v>0</v>
      </c>
      <c r="AZ172" s="2897">
        <f t="shared" si="95"/>
        <v>0</v>
      </c>
      <c r="BA172" s="2897">
        <f t="shared" si="96"/>
        <v>0</v>
      </c>
      <c r="BB172" s="2897">
        <f t="shared" si="97"/>
        <v>0</v>
      </c>
      <c r="BC172" s="2897">
        <f t="shared" si="98"/>
        <v>0</v>
      </c>
      <c r="BD172" s="2897">
        <f t="shared" si="99"/>
        <v>0</v>
      </c>
      <c r="BE172" s="2897">
        <f t="shared" si="100"/>
        <v>0</v>
      </c>
      <c r="BF172" s="2897">
        <f t="shared" si="101"/>
        <v>0</v>
      </c>
      <c r="BG172" s="2897">
        <f t="shared" si="102"/>
        <v>0</v>
      </c>
      <c r="BH172" s="2897">
        <f t="shared" si="103"/>
        <v>0</v>
      </c>
      <c r="BI172" s="2897">
        <f t="shared" si="104"/>
        <v>0</v>
      </c>
      <c r="BJ172" s="2897">
        <f t="shared" si="105"/>
        <v>0</v>
      </c>
      <c r="BK172" s="2897">
        <f t="shared" si="106"/>
        <v>0</v>
      </c>
      <c r="BL172" s="2897">
        <f t="shared" si="107"/>
        <v>0</v>
      </c>
      <c r="BM172" s="2897">
        <f t="shared" si="108"/>
        <v>0</v>
      </c>
      <c r="BN172" s="2897">
        <f t="shared" si="109"/>
        <v>0</v>
      </c>
      <c r="BO172" s="2897">
        <f t="shared" si="110"/>
        <v>0</v>
      </c>
      <c r="BP172" s="2897">
        <f t="shared" si="111"/>
        <v>0</v>
      </c>
      <c r="BQ172" s="2897">
        <f t="shared" si="112"/>
        <v>0</v>
      </c>
      <c r="BR172" s="2897">
        <f t="shared" si="113"/>
        <v>0</v>
      </c>
      <c r="BS172" s="2897">
        <f t="shared" si="114"/>
        <v>0</v>
      </c>
      <c r="BT172" s="2971">
        <f t="shared" si="115"/>
        <v>0</v>
      </c>
    </row>
    <row r="173" spans="1:72">
      <c r="A173" s="2894"/>
      <c r="B173" s="2895"/>
      <c r="C173" s="2895"/>
      <c r="D173" s="2907"/>
      <c r="E173" s="2897">
        <f t="shared" si="116"/>
        <v>0</v>
      </c>
      <c r="F173" s="2898"/>
      <c r="G173" s="2899">
        <f t="shared" si="91"/>
        <v>0</v>
      </c>
      <c r="H173" s="2900">
        <f t="shared" si="92"/>
        <v>0</v>
      </c>
      <c r="I173" s="2918"/>
      <c r="J173" s="2918"/>
      <c r="K173" s="2918"/>
      <c r="L173" s="2918"/>
      <c r="M173" s="2918"/>
      <c r="N173" s="2918"/>
      <c r="O173" s="2918"/>
      <c r="P173" s="2918"/>
      <c r="Q173" s="2918"/>
      <c r="R173" s="2918"/>
      <c r="S173" s="2918"/>
      <c r="T173" s="2918"/>
      <c r="U173" s="2918"/>
      <c r="V173" s="2918"/>
      <c r="W173" s="2918"/>
      <c r="X173" s="2918"/>
      <c r="Y173" s="2918"/>
      <c r="Z173" s="2918"/>
      <c r="AA173" s="2918"/>
      <c r="AB173" s="2918"/>
      <c r="AC173" s="2897">
        <f t="shared" si="93"/>
        <v>0</v>
      </c>
      <c r="AD173" s="2929"/>
      <c r="AE173" s="2929"/>
      <c r="AF173" s="2929"/>
      <c r="AG173" s="2929"/>
      <c r="AH173" s="2929"/>
      <c r="AI173" s="2929"/>
      <c r="AJ173" s="2929"/>
      <c r="AK173" s="2929"/>
      <c r="AL173" s="2929"/>
      <c r="AM173" s="2929"/>
      <c r="AN173" s="2929"/>
      <c r="AO173" s="2929"/>
      <c r="AP173" s="2929"/>
      <c r="AQ173" s="2929"/>
      <c r="AR173" s="2929"/>
      <c r="AS173" s="2929"/>
      <c r="AT173" s="2949"/>
      <c r="AU173" s="2950"/>
      <c r="AV173" s="454">
        <f t="shared" si="117"/>
        <v>0</v>
      </c>
      <c r="AW173" s="454">
        <f t="shared" si="118"/>
        <v>0</v>
      </c>
      <c r="AX173" s="454">
        <f t="shared" si="119"/>
        <v>0</v>
      </c>
      <c r="AY173" s="2966">
        <f t="shared" si="94"/>
        <v>0</v>
      </c>
      <c r="AZ173" s="2897">
        <f t="shared" si="95"/>
        <v>0</v>
      </c>
      <c r="BA173" s="2897">
        <f t="shared" si="96"/>
        <v>0</v>
      </c>
      <c r="BB173" s="2897">
        <f t="shared" si="97"/>
        <v>0</v>
      </c>
      <c r="BC173" s="2897">
        <f t="shared" si="98"/>
        <v>0</v>
      </c>
      <c r="BD173" s="2897">
        <f t="shared" si="99"/>
        <v>0</v>
      </c>
      <c r="BE173" s="2897">
        <f t="shared" si="100"/>
        <v>0</v>
      </c>
      <c r="BF173" s="2897">
        <f t="shared" si="101"/>
        <v>0</v>
      </c>
      <c r="BG173" s="2897">
        <f t="shared" si="102"/>
        <v>0</v>
      </c>
      <c r="BH173" s="2897">
        <f t="shared" si="103"/>
        <v>0</v>
      </c>
      <c r="BI173" s="2897">
        <f t="shared" si="104"/>
        <v>0</v>
      </c>
      <c r="BJ173" s="2897">
        <f t="shared" si="105"/>
        <v>0</v>
      </c>
      <c r="BK173" s="2897">
        <f t="shared" si="106"/>
        <v>0</v>
      </c>
      <c r="BL173" s="2897">
        <f t="shared" si="107"/>
        <v>0</v>
      </c>
      <c r="BM173" s="2897">
        <f t="shared" si="108"/>
        <v>0</v>
      </c>
      <c r="BN173" s="2897">
        <f t="shared" si="109"/>
        <v>0</v>
      </c>
      <c r="BO173" s="2897">
        <f t="shared" si="110"/>
        <v>0</v>
      </c>
      <c r="BP173" s="2897">
        <f t="shared" si="111"/>
        <v>0</v>
      </c>
      <c r="BQ173" s="2897">
        <f t="shared" si="112"/>
        <v>0</v>
      </c>
      <c r="BR173" s="2897">
        <f t="shared" si="113"/>
        <v>0</v>
      </c>
      <c r="BS173" s="2897">
        <f t="shared" si="114"/>
        <v>0</v>
      </c>
      <c r="BT173" s="2971">
        <f t="shared" si="115"/>
        <v>0</v>
      </c>
    </row>
    <row r="174" spans="1:72">
      <c r="A174" s="2894"/>
      <c r="B174" s="2895"/>
      <c r="C174" s="2895"/>
      <c r="D174" s="2907"/>
      <c r="E174" s="2897">
        <f t="shared" si="116"/>
        <v>0</v>
      </c>
      <c r="F174" s="2898"/>
      <c r="G174" s="2899">
        <f t="shared" ref="G174:G204" si="120">H174+AC174+AT174</f>
        <v>0</v>
      </c>
      <c r="H174" s="2900">
        <f t="shared" ref="H174:H204" si="121">SUMIF(I$12:AB$12,"总值",I174:AB174)</f>
        <v>0</v>
      </c>
      <c r="I174" s="2918"/>
      <c r="J174" s="2918"/>
      <c r="K174" s="2918"/>
      <c r="L174" s="2918"/>
      <c r="M174" s="2918"/>
      <c r="N174" s="2918"/>
      <c r="O174" s="2918"/>
      <c r="P174" s="2918"/>
      <c r="Q174" s="2918"/>
      <c r="R174" s="2918"/>
      <c r="S174" s="2918"/>
      <c r="T174" s="2918"/>
      <c r="U174" s="2918"/>
      <c r="V174" s="2918"/>
      <c r="W174" s="2918"/>
      <c r="X174" s="2918"/>
      <c r="Y174" s="2918"/>
      <c r="Z174" s="2918"/>
      <c r="AA174" s="2918"/>
      <c r="AB174" s="2918"/>
      <c r="AC174" s="2897">
        <f t="shared" ref="AC174:AC204" si="122">SUMIF(AD$12:AS$12,"总值",AD174:AS174)</f>
        <v>0</v>
      </c>
      <c r="AD174" s="2929"/>
      <c r="AE174" s="2929"/>
      <c r="AF174" s="2929"/>
      <c r="AG174" s="2929"/>
      <c r="AH174" s="2929"/>
      <c r="AI174" s="2929"/>
      <c r="AJ174" s="2929"/>
      <c r="AK174" s="2929"/>
      <c r="AL174" s="2929"/>
      <c r="AM174" s="2929"/>
      <c r="AN174" s="2929"/>
      <c r="AO174" s="2929"/>
      <c r="AP174" s="2929"/>
      <c r="AQ174" s="2929"/>
      <c r="AR174" s="2929"/>
      <c r="AS174" s="2929"/>
      <c r="AT174" s="2949"/>
      <c r="AU174" s="2950"/>
      <c r="AV174" s="454">
        <f t="shared" si="117"/>
        <v>0</v>
      </c>
      <c r="AW174" s="454">
        <f t="shared" si="118"/>
        <v>0</v>
      </c>
      <c r="AX174" s="454">
        <f t="shared" si="119"/>
        <v>0</v>
      </c>
      <c r="AY174" s="2966">
        <f t="shared" ref="AY174:AY204" si="123">ROUND($AY$6*AZ174/$AZ$5,2)</f>
        <v>0</v>
      </c>
      <c r="AZ174" s="2897">
        <f t="shared" ref="AZ174:AZ204" si="124">BA174+BL174</f>
        <v>0</v>
      </c>
      <c r="BA174" s="2897">
        <f t="shared" ref="BA174:BA204" si="125">SUM(BB174:BK174)</f>
        <v>0</v>
      </c>
      <c r="BB174" s="2897">
        <f t="shared" ref="BB174:BB204" si="126">IF($D174="是",I174-J174,0)</f>
        <v>0</v>
      </c>
      <c r="BC174" s="2897">
        <f t="shared" ref="BC174:BC204" si="127">IF($D174="是",K174-L174,0)</f>
        <v>0</v>
      </c>
      <c r="BD174" s="2897">
        <f t="shared" ref="BD174:BD204" si="128">IF($D174="是",M174-N174,0)</f>
        <v>0</v>
      </c>
      <c r="BE174" s="2897">
        <f t="shared" ref="BE174:BE204" si="129">IF($D174="是",O174-P174,0)</f>
        <v>0</v>
      </c>
      <c r="BF174" s="2897">
        <f t="shared" ref="BF174:BF204" si="130">IF($D174="是",Q174-R174,0)</f>
        <v>0</v>
      </c>
      <c r="BG174" s="2897">
        <f t="shared" ref="BG174:BG204" si="131">IF($D174="是",S174-T174,0)</f>
        <v>0</v>
      </c>
      <c r="BH174" s="2897">
        <f t="shared" ref="BH174:BH204" si="132">IF($D174="是",U174-V174,0)</f>
        <v>0</v>
      </c>
      <c r="BI174" s="2897">
        <f t="shared" ref="BI174:BI204" si="133">IF($D174="是",W174-X174,0)</f>
        <v>0</v>
      </c>
      <c r="BJ174" s="2897">
        <f t="shared" ref="BJ174:BJ204" si="134">IF($D174="是",Y174-Z174,0)</f>
        <v>0</v>
      </c>
      <c r="BK174" s="2897">
        <f t="shared" ref="BK174:BK204" si="135">IF($D174="是",AA174-AB174,0)</f>
        <v>0</v>
      </c>
      <c r="BL174" s="2897">
        <f t="shared" ref="BL174:BL204" si="136">SUM(BM174:BT174)</f>
        <v>0</v>
      </c>
      <c r="BM174" s="2897">
        <f t="shared" ref="BM174:BM204" si="137">IF($D174="是",AD174-AE174,0)</f>
        <v>0</v>
      </c>
      <c r="BN174" s="2897">
        <f t="shared" ref="BN174:BN204" si="138">IF($D174="是",AF174-AG174,0)</f>
        <v>0</v>
      </c>
      <c r="BO174" s="2897">
        <f t="shared" ref="BO174:BO204" si="139">IF($D174="是",AH174-AI174,0)</f>
        <v>0</v>
      </c>
      <c r="BP174" s="2897">
        <f t="shared" ref="BP174:BP204" si="140">IF($D174="是",AJ174-AK174,0)</f>
        <v>0</v>
      </c>
      <c r="BQ174" s="2897">
        <f t="shared" ref="BQ174:BQ204" si="141">IF($D174="是",AL174-AM174,0)</f>
        <v>0</v>
      </c>
      <c r="BR174" s="2897">
        <f t="shared" ref="BR174:BR204" si="142">IF($D174="是",AN174-AO174,0)</f>
        <v>0</v>
      </c>
      <c r="BS174" s="2897">
        <f t="shared" ref="BS174:BS204" si="143">IF($D174="是",AP174-AQ174,0)</f>
        <v>0</v>
      </c>
      <c r="BT174" s="2971">
        <f t="shared" ref="BT174:BT204" si="144">IF($D174="是",AR174-AS174,0)</f>
        <v>0</v>
      </c>
    </row>
    <row r="175" spans="1:72">
      <c r="A175" s="2894"/>
      <c r="B175" s="2895"/>
      <c r="C175" s="2895"/>
      <c r="D175" s="2907"/>
      <c r="E175" s="2897">
        <f t="shared" si="116"/>
        <v>0</v>
      </c>
      <c r="F175" s="2898"/>
      <c r="G175" s="2899">
        <f t="shared" si="120"/>
        <v>0</v>
      </c>
      <c r="H175" s="2900">
        <f t="shared" si="121"/>
        <v>0</v>
      </c>
      <c r="I175" s="2918"/>
      <c r="J175" s="2918"/>
      <c r="K175" s="2918"/>
      <c r="L175" s="2918"/>
      <c r="M175" s="2918"/>
      <c r="N175" s="2918"/>
      <c r="O175" s="2918"/>
      <c r="P175" s="2918"/>
      <c r="Q175" s="2918"/>
      <c r="R175" s="2918"/>
      <c r="S175" s="2918"/>
      <c r="T175" s="2918"/>
      <c r="U175" s="2918"/>
      <c r="V175" s="2918"/>
      <c r="W175" s="2918"/>
      <c r="X175" s="2918"/>
      <c r="Y175" s="2918"/>
      <c r="Z175" s="2918"/>
      <c r="AA175" s="2918"/>
      <c r="AB175" s="2918"/>
      <c r="AC175" s="2897">
        <f t="shared" si="122"/>
        <v>0</v>
      </c>
      <c r="AD175" s="2929"/>
      <c r="AE175" s="2929"/>
      <c r="AF175" s="2929"/>
      <c r="AG175" s="2929"/>
      <c r="AH175" s="2929"/>
      <c r="AI175" s="2929"/>
      <c r="AJ175" s="2929"/>
      <c r="AK175" s="2929"/>
      <c r="AL175" s="2929"/>
      <c r="AM175" s="2929"/>
      <c r="AN175" s="2929"/>
      <c r="AO175" s="2929"/>
      <c r="AP175" s="2929"/>
      <c r="AQ175" s="2929"/>
      <c r="AR175" s="2929"/>
      <c r="AS175" s="2929"/>
      <c r="AT175" s="2949"/>
      <c r="AU175" s="2950"/>
      <c r="AV175" s="454">
        <f t="shared" si="117"/>
        <v>0</v>
      </c>
      <c r="AW175" s="454">
        <f t="shared" si="118"/>
        <v>0</v>
      </c>
      <c r="AX175" s="454">
        <f t="shared" si="119"/>
        <v>0</v>
      </c>
      <c r="AY175" s="2966">
        <f t="shared" si="123"/>
        <v>0</v>
      </c>
      <c r="AZ175" s="2897">
        <f t="shared" si="124"/>
        <v>0</v>
      </c>
      <c r="BA175" s="2897">
        <f t="shared" si="125"/>
        <v>0</v>
      </c>
      <c r="BB175" s="2897">
        <f t="shared" si="126"/>
        <v>0</v>
      </c>
      <c r="BC175" s="2897">
        <f t="shared" si="127"/>
        <v>0</v>
      </c>
      <c r="BD175" s="2897">
        <f t="shared" si="128"/>
        <v>0</v>
      </c>
      <c r="BE175" s="2897">
        <f t="shared" si="129"/>
        <v>0</v>
      </c>
      <c r="BF175" s="2897">
        <f t="shared" si="130"/>
        <v>0</v>
      </c>
      <c r="BG175" s="2897">
        <f t="shared" si="131"/>
        <v>0</v>
      </c>
      <c r="BH175" s="2897">
        <f t="shared" si="132"/>
        <v>0</v>
      </c>
      <c r="BI175" s="2897">
        <f t="shared" si="133"/>
        <v>0</v>
      </c>
      <c r="BJ175" s="2897">
        <f t="shared" si="134"/>
        <v>0</v>
      </c>
      <c r="BK175" s="2897">
        <f t="shared" si="135"/>
        <v>0</v>
      </c>
      <c r="BL175" s="2897">
        <f t="shared" si="136"/>
        <v>0</v>
      </c>
      <c r="BM175" s="2897">
        <f t="shared" si="137"/>
        <v>0</v>
      </c>
      <c r="BN175" s="2897">
        <f t="shared" si="138"/>
        <v>0</v>
      </c>
      <c r="BO175" s="2897">
        <f t="shared" si="139"/>
        <v>0</v>
      </c>
      <c r="BP175" s="2897">
        <f t="shared" si="140"/>
        <v>0</v>
      </c>
      <c r="BQ175" s="2897">
        <f t="shared" si="141"/>
        <v>0</v>
      </c>
      <c r="BR175" s="2897">
        <f t="shared" si="142"/>
        <v>0</v>
      </c>
      <c r="BS175" s="2897">
        <f t="shared" si="143"/>
        <v>0</v>
      </c>
      <c r="BT175" s="2971">
        <f t="shared" si="144"/>
        <v>0</v>
      </c>
    </row>
    <row r="176" spans="1:72">
      <c r="A176" s="2894"/>
      <c r="B176" s="2895"/>
      <c r="C176" s="2895"/>
      <c r="D176" s="2907"/>
      <c r="E176" s="2897">
        <f t="shared" si="116"/>
        <v>0</v>
      </c>
      <c r="F176" s="2898"/>
      <c r="G176" s="2899">
        <f t="shared" si="120"/>
        <v>0</v>
      </c>
      <c r="H176" s="2900">
        <f t="shared" si="121"/>
        <v>0</v>
      </c>
      <c r="I176" s="2918"/>
      <c r="J176" s="2918"/>
      <c r="K176" s="2918"/>
      <c r="L176" s="2918"/>
      <c r="M176" s="2918"/>
      <c r="N176" s="2918"/>
      <c r="O176" s="2918"/>
      <c r="P176" s="2918"/>
      <c r="Q176" s="2918"/>
      <c r="R176" s="2918"/>
      <c r="S176" s="2918"/>
      <c r="T176" s="2918"/>
      <c r="U176" s="2918"/>
      <c r="V176" s="2918"/>
      <c r="W176" s="2918"/>
      <c r="X176" s="2918"/>
      <c r="Y176" s="2918"/>
      <c r="Z176" s="2918"/>
      <c r="AA176" s="2918"/>
      <c r="AB176" s="2918"/>
      <c r="AC176" s="2897">
        <f t="shared" si="122"/>
        <v>0</v>
      </c>
      <c r="AD176" s="2929"/>
      <c r="AE176" s="2929"/>
      <c r="AF176" s="2929"/>
      <c r="AG176" s="2929"/>
      <c r="AH176" s="2929"/>
      <c r="AI176" s="2929"/>
      <c r="AJ176" s="2929"/>
      <c r="AK176" s="2929"/>
      <c r="AL176" s="2929"/>
      <c r="AM176" s="2929"/>
      <c r="AN176" s="2929"/>
      <c r="AO176" s="2929"/>
      <c r="AP176" s="2929"/>
      <c r="AQ176" s="2929"/>
      <c r="AR176" s="2929"/>
      <c r="AS176" s="2929"/>
      <c r="AT176" s="2949"/>
      <c r="AU176" s="2950"/>
      <c r="AV176" s="454">
        <f t="shared" si="117"/>
        <v>0</v>
      </c>
      <c r="AW176" s="454">
        <f t="shared" si="118"/>
        <v>0</v>
      </c>
      <c r="AX176" s="454">
        <f t="shared" si="119"/>
        <v>0</v>
      </c>
      <c r="AY176" s="2966">
        <f t="shared" si="123"/>
        <v>0</v>
      </c>
      <c r="AZ176" s="2897">
        <f t="shared" si="124"/>
        <v>0</v>
      </c>
      <c r="BA176" s="2897">
        <f t="shared" si="125"/>
        <v>0</v>
      </c>
      <c r="BB176" s="2897">
        <f t="shared" si="126"/>
        <v>0</v>
      </c>
      <c r="BC176" s="2897">
        <f t="shared" si="127"/>
        <v>0</v>
      </c>
      <c r="BD176" s="2897">
        <f t="shared" si="128"/>
        <v>0</v>
      </c>
      <c r="BE176" s="2897">
        <f t="shared" si="129"/>
        <v>0</v>
      </c>
      <c r="BF176" s="2897">
        <f t="shared" si="130"/>
        <v>0</v>
      </c>
      <c r="BG176" s="2897">
        <f t="shared" si="131"/>
        <v>0</v>
      </c>
      <c r="BH176" s="2897">
        <f t="shared" si="132"/>
        <v>0</v>
      </c>
      <c r="BI176" s="2897">
        <f t="shared" si="133"/>
        <v>0</v>
      </c>
      <c r="BJ176" s="2897">
        <f t="shared" si="134"/>
        <v>0</v>
      </c>
      <c r="BK176" s="2897">
        <f t="shared" si="135"/>
        <v>0</v>
      </c>
      <c r="BL176" s="2897">
        <f t="shared" si="136"/>
        <v>0</v>
      </c>
      <c r="BM176" s="2897">
        <f t="shared" si="137"/>
        <v>0</v>
      </c>
      <c r="BN176" s="2897">
        <f t="shared" si="138"/>
        <v>0</v>
      </c>
      <c r="BO176" s="2897">
        <f t="shared" si="139"/>
        <v>0</v>
      </c>
      <c r="BP176" s="2897">
        <f t="shared" si="140"/>
        <v>0</v>
      </c>
      <c r="BQ176" s="2897">
        <f t="shared" si="141"/>
        <v>0</v>
      </c>
      <c r="BR176" s="2897">
        <f t="shared" si="142"/>
        <v>0</v>
      </c>
      <c r="BS176" s="2897">
        <f t="shared" si="143"/>
        <v>0</v>
      </c>
      <c r="BT176" s="2971">
        <f t="shared" si="144"/>
        <v>0</v>
      </c>
    </row>
    <row r="177" spans="1:72">
      <c r="A177" s="2894"/>
      <c r="B177" s="2895"/>
      <c r="C177" s="2895"/>
      <c r="D177" s="2907"/>
      <c r="E177" s="2897">
        <f t="shared" ref="E177:E204" si="145">IF($C$3="是",ROUND($A$3*G177/$B$3,2),ROUND($A$3*(G177-AT177)/$B$3,2))</f>
        <v>0</v>
      </c>
      <c r="F177" s="2898"/>
      <c r="G177" s="2899">
        <f t="shared" si="120"/>
        <v>0</v>
      </c>
      <c r="H177" s="2900">
        <f t="shared" si="121"/>
        <v>0</v>
      </c>
      <c r="I177" s="2918"/>
      <c r="J177" s="2918"/>
      <c r="K177" s="2918"/>
      <c r="L177" s="2918"/>
      <c r="M177" s="2918"/>
      <c r="N177" s="2918"/>
      <c r="O177" s="2918"/>
      <c r="P177" s="2918"/>
      <c r="Q177" s="2918"/>
      <c r="R177" s="2918"/>
      <c r="S177" s="2918"/>
      <c r="T177" s="2918"/>
      <c r="U177" s="2918"/>
      <c r="V177" s="2918"/>
      <c r="W177" s="2918"/>
      <c r="X177" s="2918"/>
      <c r="Y177" s="2918"/>
      <c r="Z177" s="2918"/>
      <c r="AA177" s="2918"/>
      <c r="AB177" s="2918"/>
      <c r="AC177" s="2897">
        <f t="shared" si="122"/>
        <v>0</v>
      </c>
      <c r="AD177" s="2929"/>
      <c r="AE177" s="2929"/>
      <c r="AF177" s="2929"/>
      <c r="AG177" s="2929"/>
      <c r="AH177" s="2929"/>
      <c r="AI177" s="2929"/>
      <c r="AJ177" s="2929"/>
      <c r="AK177" s="2929"/>
      <c r="AL177" s="2929"/>
      <c r="AM177" s="2929"/>
      <c r="AN177" s="2929"/>
      <c r="AO177" s="2929"/>
      <c r="AP177" s="2929"/>
      <c r="AQ177" s="2929"/>
      <c r="AR177" s="2929"/>
      <c r="AS177" s="2929"/>
      <c r="AT177" s="2949"/>
      <c r="AU177" s="2950"/>
      <c r="AV177" s="454">
        <f t="shared" ref="AV177:AV204" si="146">A177</f>
        <v>0</v>
      </c>
      <c r="AW177" s="454">
        <f t="shared" ref="AW177:AW204" si="147">B177</f>
        <v>0</v>
      </c>
      <c r="AX177" s="454">
        <f t="shared" ref="AX177:AX204" si="148">C177</f>
        <v>0</v>
      </c>
      <c r="AY177" s="2966">
        <f t="shared" si="123"/>
        <v>0</v>
      </c>
      <c r="AZ177" s="2897">
        <f t="shared" si="124"/>
        <v>0</v>
      </c>
      <c r="BA177" s="2897">
        <f t="shared" si="125"/>
        <v>0</v>
      </c>
      <c r="BB177" s="2897">
        <f t="shared" si="126"/>
        <v>0</v>
      </c>
      <c r="BC177" s="2897">
        <f t="shared" si="127"/>
        <v>0</v>
      </c>
      <c r="BD177" s="2897">
        <f t="shared" si="128"/>
        <v>0</v>
      </c>
      <c r="BE177" s="2897">
        <f t="shared" si="129"/>
        <v>0</v>
      </c>
      <c r="BF177" s="2897">
        <f t="shared" si="130"/>
        <v>0</v>
      </c>
      <c r="BG177" s="2897">
        <f t="shared" si="131"/>
        <v>0</v>
      </c>
      <c r="BH177" s="2897">
        <f t="shared" si="132"/>
        <v>0</v>
      </c>
      <c r="BI177" s="2897">
        <f t="shared" si="133"/>
        <v>0</v>
      </c>
      <c r="BJ177" s="2897">
        <f t="shared" si="134"/>
        <v>0</v>
      </c>
      <c r="BK177" s="2897">
        <f t="shared" si="135"/>
        <v>0</v>
      </c>
      <c r="BL177" s="2897">
        <f t="shared" si="136"/>
        <v>0</v>
      </c>
      <c r="BM177" s="2897">
        <f t="shared" si="137"/>
        <v>0</v>
      </c>
      <c r="BN177" s="2897">
        <f t="shared" si="138"/>
        <v>0</v>
      </c>
      <c r="BO177" s="2897">
        <f t="shared" si="139"/>
        <v>0</v>
      </c>
      <c r="BP177" s="2897">
        <f t="shared" si="140"/>
        <v>0</v>
      </c>
      <c r="BQ177" s="2897">
        <f t="shared" si="141"/>
        <v>0</v>
      </c>
      <c r="BR177" s="2897">
        <f t="shared" si="142"/>
        <v>0</v>
      </c>
      <c r="BS177" s="2897">
        <f t="shared" si="143"/>
        <v>0</v>
      </c>
      <c r="BT177" s="2971">
        <f t="shared" si="144"/>
        <v>0</v>
      </c>
    </row>
    <row r="178" spans="1:72">
      <c r="A178" s="2894"/>
      <c r="B178" s="2895"/>
      <c r="C178" s="2895"/>
      <c r="D178" s="2907"/>
      <c r="E178" s="2897">
        <f t="shared" si="145"/>
        <v>0</v>
      </c>
      <c r="F178" s="2898"/>
      <c r="G178" s="2899">
        <f t="shared" si="120"/>
        <v>0</v>
      </c>
      <c r="H178" s="2900">
        <f t="shared" si="121"/>
        <v>0</v>
      </c>
      <c r="I178" s="2918"/>
      <c r="J178" s="2918"/>
      <c r="K178" s="2918"/>
      <c r="L178" s="2918"/>
      <c r="M178" s="2918"/>
      <c r="N178" s="2918"/>
      <c r="O178" s="2918"/>
      <c r="P178" s="2918"/>
      <c r="Q178" s="2918"/>
      <c r="R178" s="2918"/>
      <c r="S178" s="2918"/>
      <c r="T178" s="2918"/>
      <c r="U178" s="2918"/>
      <c r="V178" s="2918"/>
      <c r="W178" s="2918"/>
      <c r="X178" s="2918"/>
      <c r="Y178" s="2918"/>
      <c r="Z178" s="2918"/>
      <c r="AA178" s="2918"/>
      <c r="AB178" s="2918"/>
      <c r="AC178" s="2897">
        <f t="shared" si="122"/>
        <v>0</v>
      </c>
      <c r="AD178" s="2929"/>
      <c r="AE178" s="2929"/>
      <c r="AF178" s="2929"/>
      <c r="AG178" s="2929"/>
      <c r="AH178" s="2929"/>
      <c r="AI178" s="2929"/>
      <c r="AJ178" s="2929"/>
      <c r="AK178" s="2929"/>
      <c r="AL178" s="2929"/>
      <c r="AM178" s="2929"/>
      <c r="AN178" s="2929"/>
      <c r="AO178" s="2929"/>
      <c r="AP178" s="2929"/>
      <c r="AQ178" s="2929"/>
      <c r="AR178" s="2929"/>
      <c r="AS178" s="2929"/>
      <c r="AT178" s="2949"/>
      <c r="AU178" s="2950"/>
      <c r="AV178" s="454">
        <f t="shared" si="146"/>
        <v>0</v>
      </c>
      <c r="AW178" s="454">
        <f t="shared" si="147"/>
        <v>0</v>
      </c>
      <c r="AX178" s="454">
        <f t="shared" si="148"/>
        <v>0</v>
      </c>
      <c r="AY178" s="2966">
        <f t="shared" si="123"/>
        <v>0</v>
      </c>
      <c r="AZ178" s="2897">
        <f t="shared" si="124"/>
        <v>0</v>
      </c>
      <c r="BA178" s="2897">
        <f t="shared" si="125"/>
        <v>0</v>
      </c>
      <c r="BB178" s="2897">
        <f t="shared" si="126"/>
        <v>0</v>
      </c>
      <c r="BC178" s="2897">
        <f t="shared" si="127"/>
        <v>0</v>
      </c>
      <c r="BD178" s="2897">
        <f t="shared" si="128"/>
        <v>0</v>
      </c>
      <c r="BE178" s="2897">
        <f t="shared" si="129"/>
        <v>0</v>
      </c>
      <c r="BF178" s="2897">
        <f t="shared" si="130"/>
        <v>0</v>
      </c>
      <c r="BG178" s="2897">
        <f t="shared" si="131"/>
        <v>0</v>
      </c>
      <c r="BH178" s="2897">
        <f t="shared" si="132"/>
        <v>0</v>
      </c>
      <c r="BI178" s="2897">
        <f t="shared" si="133"/>
        <v>0</v>
      </c>
      <c r="BJ178" s="2897">
        <f t="shared" si="134"/>
        <v>0</v>
      </c>
      <c r="BK178" s="2897">
        <f t="shared" si="135"/>
        <v>0</v>
      </c>
      <c r="BL178" s="2897">
        <f t="shared" si="136"/>
        <v>0</v>
      </c>
      <c r="BM178" s="2897">
        <f t="shared" si="137"/>
        <v>0</v>
      </c>
      <c r="BN178" s="2897">
        <f t="shared" si="138"/>
        <v>0</v>
      </c>
      <c r="BO178" s="2897">
        <f t="shared" si="139"/>
        <v>0</v>
      </c>
      <c r="BP178" s="2897">
        <f t="shared" si="140"/>
        <v>0</v>
      </c>
      <c r="BQ178" s="2897">
        <f t="shared" si="141"/>
        <v>0</v>
      </c>
      <c r="BR178" s="2897">
        <f t="shared" si="142"/>
        <v>0</v>
      </c>
      <c r="BS178" s="2897">
        <f t="shared" si="143"/>
        <v>0</v>
      </c>
      <c r="BT178" s="2971">
        <f t="shared" si="144"/>
        <v>0</v>
      </c>
    </row>
    <row r="179" spans="1:72">
      <c r="A179" s="2894"/>
      <c r="B179" s="2895"/>
      <c r="C179" s="2895"/>
      <c r="D179" s="2907"/>
      <c r="E179" s="2897">
        <f t="shared" si="145"/>
        <v>0</v>
      </c>
      <c r="F179" s="2898"/>
      <c r="G179" s="2899">
        <f t="shared" si="120"/>
        <v>0</v>
      </c>
      <c r="H179" s="2900">
        <f t="shared" si="121"/>
        <v>0</v>
      </c>
      <c r="I179" s="2918"/>
      <c r="J179" s="2918"/>
      <c r="K179" s="2918"/>
      <c r="L179" s="2918"/>
      <c r="M179" s="2918"/>
      <c r="N179" s="2918"/>
      <c r="O179" s="2918"/>
      <c r="P179" s="2918"/>
      <c r="Q179" s="2918"/>
      <c r="R179" s="2918"/>
      <c r="S179" s="2918"/>
      <c r="T179" s="2918"/>
      <c r="U179" s="2918"/>
      <c r="V179" s="2918"/>
      <c r="W179" s="2918"/>
      <c r="X179" s="2918"/>
      <c r="Y179" s="2918"/>
      <c r="Z179" s="2918"/>
      <c r="AA179" s="2918"/>
      <c r="AB179" s="2918"/>
      <c r="AC179" s="2897">
        <f t="shared" si="122"/>
        <v>0</v>
      </c>
      <c r="AD179" s="2929"/>
      <c r="AE179" s="2929"/>
      <c r="AF179" s="2929"/>
      <c r="AG179" s="2929"/>
      <c r="AH179" s="2929"/>
      <c r="AI179" s="2929"/>
      <c r="AJ179" s="2929"/>
      <c r="AK179" s="2929"/>
      <c r="AL179" s="2929"/>
      <c r="AM179" s="2929"/>
      <c r="AN179" s="2929"/>
      <c r="AO179" s="2929"/>
      <c r="AP179" s="2929"/>
      <c r="AQ179" s="2929"/>
      <c r="AR179" s="2929"/>
      <c r="AS179" s="2929"/>
      <c r="AT179" s="2949"/>
      <c r="AU179" s="2950"/>
      <c r="AV179" s="454">
        <f t="shared" si="146"/>
        <v>0</v>
      </c>
      <c r="AW179" s="454">
        <f t="shared" si="147"/>
        <v>0</v>
      </c>
      <c r="AX179" s="454">
        <f t="shared" si="148"/>
        <v>0</v>
      </c>
      <c r="AY179" s="2966">
        <f t="shared" si="123"/>
        <v>0</v>
      </c>
      <c r="AZ179" s="2897">
        <f t="shared" si="124"/>
        <v>0</v>
      </c>
      <c r="BA179" s="2897">
        <f t="shared" si="125"/>
        <v>0</v>
      </c>
      <c r="BB179" s="2897">
        <f t="shared" si="126"/>
        <v>0</v>
      </c>
      <c r="BC179" s="2897">
        <f t="shared" si="127"/>
        <v>0</v>
      </c>
      <c r="BD179" s="2897">
        <f t="shared" si="128"/>
        <v>0</v>
      </c>
      <c r="BE179" s="2897">
        <f t="shared" si="129"/>
        <v>0</v>
      </c>
      <c r="BF179" s="2897">
        <f t="shared" si="130"/>
        <v>0</v>
      </c>
      <c r="BG179" s="2897">
        <f t="shared" si="131"/>
        <v>0</v>
      </c>
      <c r="BH179" s="2897">
        <f t="shared" si="132"/>
        <v>0</v>
      </c>
      <c r="BI179" s="2897">
        <f t="shared" si="133"/>
        <v>0</v>
      </c>
      <c r="BJ179" s="2897">
        <f t="shared" si="134"/>
        <v>0</v>
      </c>
      <c r="BK179" s="2897">
        <f t="shared" si="135"/>
        <v>0</v>
      </c>
      <c r="BL179" s="2897">
        <f t="shared" si="136"/>
        <v>0</v>
      </c>
      <c r="BM179" s="2897">
        <f t="shared" si="137"/>
        <v>0</v>
      </c>
      <c r="BN179" s="2897">
        <f t="shared" si="138"/>
        <v>0</v>
      </c>
      <c r="BO179" s="2897">
        <f t="shared" si="139"/>
        <v>0</v>
      </c>
      <c r="BP179" s="2897">
        <f t="shared" si="140"/>
        <v>0</v>
      </c>
      <c r="BQ179" s="2897">
        <f t="shared" si="141"/>
        <v>0</v>
      </c>
      <c r="BR179" s="2897">
        <f t="shared" si="142"/>
        <v>0</v>
      </c>
      <c r="BS179" s="2897">
        <f t="shared" si="143"/>
        <v>0</v>
      </c>
      <c r="BT179" s="2971">
        <f t="shared" si="144"/>
        <v>0</v>
      </c>
    </row>
    <row r="180" spans="1:72">
      <c r="A180" s="2894"/>
      <c r="B180" s="2895"/>
      <c r="C180" s="2895"/>
      <c r="D180" s="2907"/>
      <c r="E180" s="2897">
        <f t="shared" si="145"/>
        <v>0</v>
      </c>
      <c r="F180" s="2898"/>
      <c r="G180" s="2899">
        <f t="shared" si="120"/>
        <v>0</v>
      </c>
      <c r="H180" s="2900">
        <f t="shared" si="121"/>
        <v>0</v>
      </c>
      <c r="I180" s="2918"/>
      <c r="J180" s="2918"/>
      <c r="K180" s="2918"/>
      <c r="L180" s="2918"/>
      <c r="M180" s="2918"/>
      <c r="N180" s="2918"/>
      <c r="O180" s="2918"/>
      <c r="P180" s="2918"/>
      <c r="Q180" s="2918"/>
      <c r="R180" s="2918"/>
      <c r="S180" s="2918"/>
      <c r="T180" s="2918"/>
      <c r="U180" s="2918"/>
      <c r="V180" s="2918"/>
      <c r="W180" s="2918"/>
      <c r="X180" s="2918"/>
      <c r="Y180" s="2918"/>
      <c r="Z180" s="2918"/>
      <c r="AA180" s="2918"/>
      <c r="AB180" s="2918"/>
      <c r="AC180" s="2897">
        <f t="shared" si="122"/>
        <v>0</v>
      </c>
      <c r="AD180" s="2929"/>
      <c r="AE180" s="2929"/>
      <c r="AF180" s="2929"/>
      <c r="AG180" s="2929"/>
      <c r="AH180" s="2929"/>
      <c r="AI180" s="2929"/>
      <c r="AJ180" s="2929"/>
      <c r="AK180" s="2929"/>
      <c r="AL180" s="2929"/>
      <c r="AM180" s="2929"/>
      <c r="AN180" s="2929"/>
      <c r="AO180" s="2929"/>
      <c r="AP180" s="2929"/>
      <c r="AQ180" s="2929"/>
      <c r="AR180" s="2929"/>
      <c r="AS180" s="2929"/>
      <c r="AT180" s="2949"/>
      <c r="AU180" s="2950"/>
      <c r="AV180" s="454">
        <f t="shared" si="146"/>
        <v>0</v>
      </c>
      <c r="AW180" s="454">
        <f t="shared" si="147"/>
        <v>0</v>
      </c>
      <c r="AX180" s="454">
        <f t="shared" si="148"/>
        <v>0</v>
      </c>
      <c r="AY180" s="2966">
        <f t="shared" si="123"/>
        <v>0</v>
      </c>
      <c r="AZ180" s="2897">
        <f t="shared" si="124"/>
        <v>0</v>
      </c>
      <c r="BA180" s="2897">
        <f t="shared" si="125"/>
        <v>0</v>
      </c>
      <c r="BB180" s="2897">
        <f t="shared" si="126"/>
        <v>0</v>
      </c>
      <c r="BC180" s="2897">
        <f t="shared" si="127"/>
        <v>0</v>
      </c>
      <c r="BD180" s="2897">
        <f t="shared" si="128"/>
        <v>0</v>
      </c>
      <c r="BE180" s="2897">
        <f t="shared" si="129"/>
        <v>0</v>
      </c>
      <c r="BF180" s="2897">
        <f t="shared" si="130"/>
        <v>0</v>
      </c>
      <c r="BG180" s="2897">
        <f t="shared" si="131"/>
        <v>0</v>
      </c>
      <c r="BH180" s="2897">
        <f t="shared" si="132"/>
        <v>0</v>
      </c>
      <c r="BI180" s="2897">
        <f t="shared" si="133"/>
        <v>0</v>
      </c>
      <c r="BJ180" s="2897">
        <f t="shared" si="134"/>
        <v>0</v>
      </c>
      <c r="BK180" s="2897">
        <f t="shared" si="135"/>
        <v>0</v>
      </c>
      <c r="BL180" s="2897">
        <f t="shared" si="136"/>
        <v>0</v>
      </c>
      <c r="BM180" s="2897">
        <f t="shared" si="137"/>
        <v>0</v>
      </c>
      <c r="BN180" s="2897">
        <f t="shared" si="138"/>
        <v>0</v>
      </c>
      <c r="BO180" s="2897">
        <f t="shared" si="139"/>
        <v>0</v>
      </c>
      <c r="BP180" s="2897">
        <f t="shared" si="140"/>
        <v>0</v>
      </c>
      <c r="BQ180" s="2897">
        <f t="shared" si="141"/>
        <v>0</v>
      </c>
      <c r="BR180" s="2897">
        <f t="shared" si="142"/>
        <v>0</v>
      </c>
      <c r="BS180" s="2897">
        <f t="shared" si="143"/>
        <v>0</v>
      </c>
      <c r="BT180" s="2971">
        <f t="shared" si="144"/>
        <v>0</v>
      </c>
    </row>
    <row r="181" spans="1:72">
      <c r="A181" s="2894"/>
      <c r="B181" s="2895"/>
      <c r="C181" s="2895"/>
      <c r="D181" s="2907"/>
      <c r="E181" s="2897">
        <f t="shared" si="145"/>
        <v>0</v>
      </c>
      <c r="F181" s="2898"/>
      <c r="G181" s="2899">
        <f t="shared" si="120"/>
        <v>0</v>
      </c>
      <c r="H181" s="2900">
        <f t="shared" si="121"/>
        <v>0</v>
      </c>
      <c r="I181" s="2918"/>
      <c r="J181" s="2918"/>
      <c r="K181" s="2918"/>
      <c r="L181" s="2918"/>
      <c r="M181" s="2918"/>
      <c r="N181" s="2918"/>
      <c r="O181" s="2918"/>
      <c r="P181" s="2918"/>
      <c r="Q181" s="2918"/>
      <c r="R181" s="2918"/>
      <c r="S181" s="2918"/>
      <c r="T181" s="2918"/>
      <c r="U181" s="2918"/>
      <c r="V181" s="2918"/>
      <c r="W181" s="2918"/>
      <c r="X181" s="2918"/>
      <c r="Y181" s="2918"/>
      <c r="Z181" s="2918"/>
      <c r="AA181" s="2918"/>
      <c r="AB181" s="2918"/>
      <c r="AC181" s="2897">
        <f t="shared" si="122"/>
        <v>0</v>
      </c>
      <c r="AD181" s="2929"/>
      <c r="AE181" s="2929"/>
      <c r="AF181" s="2929"/>
      <c r="AG181" s="2929"/>
      <c r="AH181" s="2929"/>
      <c r="AI181" s="2929"/>
      <c r="AJ181" s="2929"/>
      <c r="AK181" s="2929"/>
      <c r="AL181" s="2929"/>
      <c r="AM181" s="2929"/>
      <c r="AN181" s="2929"/>
      <c r="AO181" s="2929"/>
      <c r="AP181" s="2929"/>
      <c r="AQ181" s="2929"/>
      <c r="AR181" s="2929"/>
      <c r="AS181" s="2929"/>
      <c r="AT181" s="2949"/>
      <c r="AU181" s="2950"/>
      <c r="AV181" s="454">
        <f t="shared" si="146"/>
        <v>0</v>
      </c>
      <c r="AW181" s="454">
        <f t="shared" si="147"/>
        <v>0</v>
      </c>
      <c r="AX181" s="454">
        <f t="shared" si="148"/>
        <v>0</v>
      </c>
      <c r="AY181" s="2966">
        <f t="shared" si="123"/>
        <v>0</v>
      </c>
      <c r="AZ181" s="2897">
        <f t="shared" si="124"/>
        <v>0</v>
      </c>
      <c r="BA181" s="2897">
        <f t="shared" si="125"/>
        <v>0</v>
      </c>
      <c r="BB181" s="2897">
        <f t="shared" si="126"/>
        <v>0</v>
      </c>
      <c r="BC181" s="2897">
        <f t="shared" si="127"/>
        <v>0</v>
      </c>
      <c r="BD181" s="2897">
        <f t="shared" si="128"/>
        <v>0</v>
      </c>
      <c r="BE181" s="2897">
        <f t="shared" si="129"/>
        <v>0</v>
      </c>
      <c r="BF181" s="2897">
        <f t="shared" si="130"/>
        <v>0</v>
      </c>
      <c r="BG181" s="2897">
        <f t="shared" si="131"/>
        <v>0</v>
      </c>
      <c r="BH181" s="2897">
        <f t="shared" si="132"/>
        <v>0</v>
      </c>
      <c r="BI181" s="2897">
        <f t="shared" si="133"/>
        <v>0</v>
      </c>
      <c r="BJ181" s="2897">
        <f t="shared" si="134"/>
        <v>0</v>
      </c>
      <c r="BK181" s="2897">
        <f t="shared" si="135"/>
        <v>0</v>
      </c>
      <c r="BL181" s="2897">
        <f t="shared" si="136"/>
        <v>0</v>
      </c>
      <c r="BM181" s="2897">
        <f t="shared" si="137"/>
        <v>0</v>
      </c>
      <c r="BN181" s="2897">
        <f t="shared" si="138"/>
        <v>0</v>
      </c>
      <c r="BO181" s="2897">
        <f t="shared" si="139"/>
        <v>0</v>
      </c>
      <c r="BP181" s="2897">
        <f t="shared" si="140"/>
        <v>0</v>
      </c>
      <c r="BQ181" s="2897">
        <f t="shared" si="141"/>
        <v>0</v>
      </c>
      <c r="BR181" s="2897">
        <f t="shared" si="142"/>
        <v>0</v>
      </c>
      <c r="BS181" s="2897">
        <f t="shared" si="143"/>
        <v>0</v>
      </c>
      <c r="BT181" s="2971">
        <f t="shared" si="144"/>
        <v>0</v>
      </c>
    </row>
    <row r="182" spans="1:72">
      <c r="A182" s="2894"/>
      <c r="B182" s="2895"/>
      <c r="C182" s="2895"/>
      <c r="D182" s="2907"/>
      <c r="E182" s="2897">
        <f t="shared" si="145"/>
        <v>0</v>
      </c>
      <c r="F182" s="2898"/>
      <c r="G182" s="2899">
        <f t="shared" si="120"/>
        <v>0</v>
      </c>
      <c r="H182" s="2900">
        <f t="shared" si="121"/>
        <v>0</v>
      </c>
      <c r="I182" s="2918"/>
      <c r="J182" s="2918"/>
      <c r="K182" s="2918"/>
      <c r="L182" s="2918"/>
      <c r="M182" s="2918"/>
      <c r="N182" s="2918"/>
      <c r="O182" s="2918"/>
      <c r="P182" s="2918"/>
      <c r="Q182" s="2918"/>
      <c r="R182" s="2918"/>
      <c r="S182" s="2918"/>
      <c r="T182" s="2918"/>
      <c r="U182" s="2918"/>
      <c r="V182" s="2918"/>
      <c r="W182" s="2918"/>
      <c r="X182" s="2918"/>
      <c r="Y182" s="2918"/>
      <c r="Z182" s="2918"/>
      <c r="AA182" s="2918"/>
      <c r="AB182" s="2918"/>
      <c r="AC182" s="2897">
        <f t="shared" si="122"/>
        <v>0</v>
      </c>
      <c r="AD182" s="2929"/>
      <c r="AE182" s="2929"/>
      <c r="AF182" s="2929"/>
      <c r="AG182" s="2929"/>
      <c r="AH182" s="2929"/>
      <c r="AI182" s="2929"/>
      <c r="AJ182" s="2929"/>
      <c r="AK182" s="2929"/>
      <c r="AL182" s="2929"/>
      <c r="AM182" s="2929"/>
      <c r="AN182" s="2929"/>
      <c r="AO182" s="2929"/>
      <c r="AP182" s="2929"/>
      <c r="AQ182" s="2929"/>
      <c r="AR182" s="2929"/>
      <c r="AS182" s="2929"/>
      <c r="AT182" s="2949"/>
      <c r="AU182" s="2950"/>
      <c r="AV182" s="454">
        <f t="shared" si="146"/>
        <v>0</v>
      </c>
      <c r="AW182" s="454">
        <f t="shared" si="147"/>
        <v>0</v>
      </c>
      <c r="AX182" s="454">
        <f t="shared" si="148"/>
        <v>0</v>
      </c>
      <c r="AY182" s="2966">
        <f t="shared" si="123"/>
        <v>0</v>
      </c>
      <c r="AZ182" s="2897">
        <f t="shared" si="124"/>
        <v>0</v>
      </c>
      <c r="BA182" s="2897">
        <f t="shared" si="125"/>
        <v>0</v>
      </c>
      <c r="BB182" s="2897">
        <f t="shared" si="126"/>
        <v>0</v>
      </c>
      <c r="BC182" s="2897">
        <f t="shared" si="127"/>
        <v>0</v>
      </c>
      <c r="BD182" s="2897">
        <f t="shared" si="128"/>
        <v>0</v>
      </c>
      <c r="BE182" s="2897">
        <f t="shared" si="129"/>
        <v>0</v>
      </c>
      <c r="BF182" s="2897">
        <f t="shared" si="130"/>
        <v>0</v>
      </c>
      <c r="BG182" s="2897">
        <f t="shared" si="131"/>
        <v>0</v>
      </c>
      <c r="BH182" s="2897">
        <f t="shared" si="132"/>
        <v>0</v>
      </c>
      <c r="BI182" s="2897">
        <f t="shared" si="133"/>
        <v>0</v>
      </c>
      <c r="BJ182" s="2897">
        <f t="shared" si="134"/>
        <v>0</v>
      </c>
      <c r="BK182" s="2897">
        <f t="shared" si="135"/>
        <v>0</v>
      </c>
      <c r="BL182" s="2897">
        <f t="shared" si="136"/>
        <v>0</v>
      </c>
      <c r="BM182" s="2897">
        <f t="shared" si="137"/>
        <v>0</v>
      </c>
      <c r="BN182" s="2897">
        <f t="shared" si="138"/>
        <v>0</v>
      </c>
      <c r="BO182" s="2897">
        <f t="shared" si="139"/>
        <v>0</v>
      </c>
      <c r="BP182" s="2897">
        <f t="shared" si="140"/>
        <v>0</v>
      </c>
      <c r="BQ182" s="2897">
        <f t="shared" si="141"/>
        <v>0</v>
      </c>
      <c r="BR182" s="2897">
        <f t="shared" si="142"/>
        <v>0</v>
      </c>
      <c r="BS182" s="2897">
        <f t="shared" si="143"/>
        <v>0</v>
      </c>
      <c r="BT182" s="2971">
        <f t="shared" si="144"/>
        <v>0</v>
      </c>
    </row>
    <row r="183" spans="1:72">
      <c r="A183" s="2894"/>
      <c r="B183" s="2895"/>
      <c r="C183" s="2895"/>
      <c r="D183" s="2907"/>
      <c r="E183" s="2897">
        <f t="shared" si="145"/>
        <v>0</v>
      </c>
      <c r="F183" s="2898"/>
      <c r="G183" s="2899">
        <f t="shared" si="120"/>
        <v>0</v>
      </c>
      <c r="H183" s="2900">
        <f t="shared" si="121"/>
        <v>0</v>
      </c>
      <c r="I183" s="2918"/>
      <c r="J183" s="2918"/>
      <c r="K183" s="2918"/>
      <c r="L183" s="2918"/>
      <c r="M183" s="2918"/>
      <c r="N183" s="2918"/>
      <c r="O183" s="2918"/>
      <c r="P183" s="2918"/>
      <c r="Q183" s="2918"/>
      <c r="R183" s="2918"/>
      <c r="S183" s="2918"/>
      <c r="T183" s="2918"/>
      <c r="U183" s="2918"/>
      <c r="V183" s="2918"/>
      <c r="W183" s="2918"/>
      <c r="X183" s="2918"/>
      <c r="Y183" s="2918"/>
      <c r="Z183" s="2918"/>
      <c r="AA183" s="2918"/>
      <c r="AB183" s="2918"/>
      <c r="AC183" s="2897">
        <f t="shared" si="122"/>
        <v>0</v>
      </c>
      <c r="AD183" s="2929"/>
      <c r="AE183" s="2929"/>
      <c r="AF183" s="2929"/>
      <c r="AG183" s="2929"/>
      <c r="AH183" s="2929"/>
      <c r="AI183" s="2929"/>
      <c r="AJ183" s="2929"/>
      <c r="AK183" s="2929"/>
      <c r="AL183" s="2929"/>
      <c r="AM183" s="2929"/>
      <c r="AN183" s="2929"/>
      <c r="AO183" s="2929"/>
      <c r="AP183" s="2929"/>
      <c r="AQ183" s="2929"/>
      <c r="AR183" s="2929"/>
      <c r="AS183" s="2929"/>
      <c r="AT183" s="2949"/>
      <c r="AU183" s="2950"/>
      <c r="AV183" s="454">
        <f t="shared" si="146"/>
        <v>0</v>
      </c>
      <c r="AW183" s="454">
        <f t="shared" si="147"/>
        <v>0</v>
      </c>
      <c r="AX183" s="454">
        <f t="shared" si="148"/>
        <v>0</v>
      </c>
      <c r="AY183" s="2966">
        <f t="shared" si="123"/>
        <v>0</v>
      </c>
      <c r="AZ183" s="2897">
        <f t="shared" si="124"/>
        <v>0</v>
      </c>
      <c r="BA183" s="2897">
        <f t="shared" si="125"/>
        <v>0</v>
      </c>
      <c r="BB183" s="2897">
        <f t="shared" si="126"/>
        <v>0</v>
      </c>
      <c r="BC183" s="2897">
        <f t="shared" si="127"/>
        <v>0</v>
      </c>
      <c r="BD183" s="2897">
        <f t="shared" si="128"/>
        <v>0</v>
      </c>
      <c r="BE183" s="2897">
        <f t="shared" si="129"/>
        <v>0</v>
      </c>
      <c r="BF183" s="2897">
        <f t="shared" si="130"/>
        <v>0</v>
      </c>
      <c r="BG183" s="2897">
        <f t="shared" si="131"/>
        <v>0</v>
      </c>
      <c r="BH183" s="2897">
        <f t="shared" si="132"/>
        <v>0</v>
      </c>
      <c r="BI183" s="2897">
        <f t="shared" si="133"/>
        <v>0</v>
      </c>
      <c r="BJ183" s="2897">
        <f t="shared" si="134"/>
        <v>0</v>
      </c>
      <c r="BK183" s="2897">
        <f t="shared" si="135"/>
        <v>0</v>
      </c>
      <c r="BL183" s="2897">
        <f t="shared" si="136"/>
        <v>0</v>
      </c>
      <c r="BM183" s="2897">
        <f t="shared" si="137"/>
        <v>0</v>
      </c>
      <c r="BN183" s="2897">
        <f t="shared" si="138"/>
        <v>0</v>
      </c>
      <c r="BO183" s="2897">
        <f t="shared" si="139"/>
        <v>0</v>
      </c>
      <c r="BP183" s="2897">
        <f t="shared" si="140"/>
        <v>0</v>
      </c>
      <c r="BQ183" s="2897">
        <f t="shared" si="141"/>
        <v>0</v>
      </c>
      <c r="BR183" s="2897">
        <f t="shared" si="142"/>
        <v>0</v>
      </c>
      <c r="BS183" s="2897">
        <f t="shared" si="143"/>
        <v>0</v>
      </c>
      <c r="BT183" s="2971">
        <f t="shared" si="144"/>
        <v>0</v>
      </c>
    </row>
    <row r="184" spans="1:72">
      <c r="A184" s="2894"/>
      <c r="B184" s="2895"/>
      <c r="C184" s="2895"/>
      <c r="D184" s="2907"/>
      <c r="E184" s="2897">
        <f t="shared" si="145"/>
        <v>0</v>
      </c>
      <c r="F184" s="2898"/>
      <c r="G184" s="2899">
        <f t="shared" si="120"/>
        <v>0</v>
      </c>
      <c r="H184" s="2900">
        <f t="shared" si="121"/>
        <v>0</v>
      </c>
      <c r="I184" s="2918"/>
      <c r="J184" s="2918"/>
      <c r="K184" s="2918"/>
      <c r="L184" s="2918"/>
      <c r="M184" s="2918"/>
      <c r="N184" s="2918"/>
      <c r="O184" s="2918"/>
      <c r="P184" s="2918"/>
      <c r="Q184" s="2918"/>
      <c r="R184" s="2918"/>
      <c r="S184" s="2918"/>
      <c r="T184" s="2918"/>
      <c r="U184" s="2918"/>
      <c r="V184" s="2918"/>
      <c r="W184" s="2918"/>
      <c r="X184" s="2918"/>
      <c r="Y184" s="2918"/>
      <c r="Z184" s="2918"/>
      <c r="AA184" s="2918"/>
      <c r="AB184" s="2918"/>
      <c r="AC184" s="2897">
        <f t="shared" si="122"/>
        <v>0</v>
      </c>
      <c r="AD184" s="2929"/>
      <c r="AE184" s="2929"/>
      <c r="AF184" s="2929"/>
      <c r="AG184" s="2929"/>
      <c r="AH184" s="2929"/>
      <c r="AI184" s="2929"/>
      <c r="AJ184" s="2929"/>
      <c r="AK184" s="2929"/>
      <c r="AL184" s="2929"/>
      <c r="AM184" s="2929"/>
      <c r="AN184" s="2929"/>
      <c r="AO184" s="2929"/>
      <c r="AP184" s="2929"/>
      <c r="AQ184" s="2929"/>
      <c r="AR184" s="2929"/>
      <c r="AS184" s="2929"/>
      <c r="AT184" s="2949"/>
      <c r="AU184" s="2950"/>
      <c r="AV184" s="454">
        <f t="shared" si="146"/>
        <v>0</v>
      </c>
      <c r="AW184" s="454">
        <f t="shared" si="147"/>
        <v>0</v>
      </c>
      <c r="AX184" s="454">
        <f t="shared" si="148"/>
        <v>0</v>
      </c>
      <c r="AY184" s="2966">
        <f t="shared" si="123"/>
        <v>0</v>
      </c>
      <c r="AZ184" s="2897">
        <f t="shared" si="124"/>
        <v>0</v>
      </c>
      <c r="BA184" s="2897">
        <f t="shared" si="125"/>
        <v>0</v>
      </c>
      <c r="BB184" s="2897">
        <f t="shared" si="126"/>
        <v>0</v>
      </c>
      <c r="BC184" s="2897">
        <f t="shared" si="127"/>
        <v>0</v>
      </c>
      <c r="BD184" s="2897">
        <f t="shared" si="128"/>
        <v>0</v>
      </c>
      <c r="BE184" s="2897">
        <f t="shared" si="129"/>
        <v>0</v>
      </c>
      <c r="BF184" s="2897">
        <f t="shared" si="130"/>
        <v>0</v>
      </c>
      <c r="BG184" s="2897">
        <f t="shared" si="131"/>
        <v>0</v>
      </c>
      <c r="BH184" s="2897">
        <f t="shared" si="132"/>
        <v>0</v>
      </c>
      <c r="BI184" s="2897">
        <f t="shared" si="133"/>
        <v>0</v>
      </c>
      <c r="BJ184" s="2897">
        <f t="shared" si="134"/>
        <v>0</v>
      </c>
      <c r="BK184" s="2897">
        <f t="shared" si="135"/>
        <v>0</v>
      </c>
      <c r="BL184" s="2897">
        <f t="shared" si="136"/>
        <v>0</v>
      </c>
      <c r="BM184" s="2897">
        <f t="shared" si="137"/>
        <v>0</v>
      </c>
      <c r="BN184" s="2897">
        <f t="shared" si="138"/>
        <v>0</v>
      </c>
      <c r="BO184" s="2897">
        <f t="shared" si="139"/>
        <v>0</v>
      </c>
      <c r="BP184" s="2897">
        <f t="shared" si="140"/>
        <v>0</v>
      </c>
      <c r="BQ184" s="2897">
        <f t="shared" si="141"/>
        <v>0</v>
      </c>
      <c r="BR184" s="2897">
        <f t="shared" si="142"/>
        <v>0</v>
      </c>
      <c r="BS184" s="2897">
        <f t="shared" si="143"/>
        <v>0</v>
      </c>
      <c r="BT184" s="2971">
        <f t="shared" si="144"/>
        <v>0</v>
      </c>
    </row>
    <row r="185" spans="1:72">
      <c r="A185" s="2894"/>
      <c r="B185" s="2895"/>
      <c r="C185" s="2895"/>
      <c r="D185" s="2907"/>
      <c r="E185" s="2897">
        <f t="shared" si="145"/>
        <v>0</v>
      </c>
      <c r="F185" s="2898"/>
      <c r="G185" s="2899">
        <f t="shared" si="120"/>
        <v>0</v>
      </c>
      <c r="H185" s="2900">
        <f t="shared" si="121"/>
        <v>0</v>
      </c>
      <c r="I185" s="2918"/>
      <c r="J185" s="2918"/>
      <c r="K185" s="2918"/>
      <c r="L185" s="2918"/>
      <c r="M185" s="2918"/>
      <c r="N185" s="2918"/>
      <c r="O185" s="2918"/>
      <c r="P185" s="2918"/>
      <c r="Q185" s="2918"/>
      <c r="R185" s="2918"/>
      <c r="S185" s="2918"/>
      <c r="T185" s="2918"/>
      <c r="U185" s="2918"/>
      <c r="V185" s="2918"/>
      <c r="W185" s="2918"/>
      <c r="X185" s="2918"/>
      <c r="Y185" s="2918"/>
      <c r="Z185" s="2918"/>
      <c r="AA185" s="2918"/>
      <c r="AB185" s="2918"/>
      <c r="AC185" s="2897">
        <f t="shared" si="122"/>
        <v>0</v>
      </c>
      <c r="AD185" s="2929"/>
      <c r="AE185" s="2929"/>
      <c r="AF185" s="2929"/>
      <c r="AG185" s="2929"/>
      <c r="AH185" s="2929"/>
      <c r="AI185" s="2929"/>
      <c r="AJ185" s="2929"/>
      <c r="AK185" s="2929"/>
      <c r="AL185" s="2929"/>
      <c r="AM185" s="2929"/>
      <c r="AN185" s="2929"/>
      <c r="AO185" s="2929"/>
      <c r="AP185" s="2929"/>
      <c r="AQ185" s="2929"/>
      <c r="AR185" s="2929"/>
      <c r="AS185" s="2929"/>
      <c r="AT185" s="2949"/>
      <c r="AU185" s="2950"/>
      <c r="AV185" s="454">
        <f t="shared" si="146"/>
        <v>0</v>
      </c>
      <c r="AW185" s="454">
        <f t="shared" si="147"/>
        <v>0</v>
      </c>
      <c r="AX185" s="454">
        <f t="shared" si="148"/>
        <v>0</v>
      </c>
      <c r="AY185" s="2966">
        <f t="shared" si="123"/>
        <v>0</v>
      </c>
      <c r="AZ185" s="2897">
        <f t="shared" si="124"/>
        <v>0</v>
      </c>
      <c r="BA185" s="2897">
        <f t="shared" si="125"/>
        <v>0</v>
      </c>
      <c r="BB185" s="2897">
        <f t="shared" si="126"/>
        <v>0</v>
      </c>
      <c r="BC185" s="2897">
        <f t="shared" si="127"/>
        <v>0</v>
      </c>
      <c r="BD185" s="2897">
        <f t="shared" si="128"/>
        <v>0</v>
      </c>
      <c r="BE185" s="2897">
        <f t="shared" si="129"/>
        <v>0</v>
      </c>
      <c r="BF185" s="2897">
        <f t="shared" si="130"/>
        <v>0</v>
      </c>
      <c r="BG185" s="2897">
        <f t="shared" si="131"/>
        <v>0</v>
      </c>
      <c r="BH185" s="2897">
        <f t="shared" si="132"/>
        <v>0</v>
      </c>
      <c r="BI185" s="2897">
        <f t="shared" si="133"/>
        <v>0</v>
      </c>
      <c r="BJ185" s="2897">
        <f t="shared" si="134"/>
        <v>0</v>
      </c>
      <c r="BK185" s="2897">
        <f t="shared" si="135"/>
        <v>0</v>
      </c>
      <c r="BL185" s="2897">
        <f t="shared" si="136"/>
        <v>0</v>
      </c>
      <c r="BM185" s="2897">
        <f t="shared" si="137"/>
        <v>0</v>
      </c>
      <c r="BN185" s="2897">
        <f t="shared" si="138"/>
        <v>0</v>
      </c>
      <c r="BO185" s="2897">
        <f t="shared" si="139"/>
        <v>0</v>
      </c>
      <c r="BP185" s="2897">
        <f t="shared" si="140"/>
        <v>0</v>
      </c>
      <c r="BQ185" s="2897">
        <f t="shared" si="141"/>
        <v>0</v>
      </c>
      <c r="BR185" s="2897">
        <f t="shared" si="142"/>
        <v>0</v>
      </c>
      <c r="BS185" s="2897">
        <f t="shared" si="143"/>
        <v>0</v>
      </c>
      <c r="BT185" s="2971">
        <f t="shared" si="144"/>
        <v>0</v>
      </c>
    </row>
    <row r="186" spans="1:72">
      <c r="A186" s="2894"/>
      <c r="B186" s="2895"/>
      <c r="C186" s="2895"/>
      <c r="D186" s="2907"/>
      <c r="E186" s="2897">
        <f t="shared" si="145"/>
        <v>0</v>
      </c>
      <c r="F186" s="2898"/>
      <c r="G186" s="2899">
        <f t="shared" si="120"/>
        <v>0</v>
      </c>
      <c r="H186" s="2900">
        <f t="shared" si="121"/>
        <v>0</v>
      </c>
      <c r="I186" s="2918"/>
      <c r="J186" s="2918"/>
      <c r="K186" s="2918"/>
      <c r="L186" s="2918"/>
      <c r="M186" s="2918"/>
      <c r="N186" s="2918"/>
      <c r="O186" s="2918"/>
      <c r="P186" s="2918"/>
      <c r="Q186" s="2918"/>
      <c r="R186" s="2918"/>
      <c r="S186" s="2918"/>
      <c r="T186" s="2918"/>
      <c r="U186" s="2918"/>
      <c r="V186" s="2918"/>
      <c r="W186" s="2918"/>
      <c r="X186" s="2918"/>
      <c r="Y186" s="2918"/>
      <c r="Z186" s="2918"/>
      <c r="AA186" s="2918"/>
      <c r="AB186" s="2918"/>
      <c r="AC186" s="2897">
        <f t="shared" si="122"/>
        <v>0</v>
      </c>
      <c r="AD186" s="2929"/>
      <c r="AE186" s="2929"/>
      <c r="AF186" s="2929"/>
      <c r="AG186" s="2929"/>
      <c r="AH186" s="2929"/>
      <c r="AI186" s="2929"/>
      <c r="AJ186" s="2929"/>
      <c r="AK186" s="2929"/>
      <c r="AL186" s="2929"/>
      <c r="AM186" s="2929"/>
      <c r="AN186" s="2929"/>
      <c r="AO186" s="2929"/>
      <c r="AP186" s="2929"/>
      <c r="AQ186" s="2929"/>
      <c r="AR186" s="2929"/>
      <c r="AS186" s="2929"/>
      <c r="AT186" s="2949"/>
      <c r="AU186" s="2950"/>
      <c r="AV186" s="454">
        <f t="shared" si="146"/>
        <v>0</v>
      </c>
      <c r="AW186" s="454">
        <f t="shared" si="147"/>
        <v>0</v>
      </c>
      <c r="AX186" s="454">
        <f t="shared" si="148"/>
        <v>0</v>
      </c>
      <c r="AY186" s="2966">
        <f t="shared" si="123"/>
        <v>0</v>
      </c>
      <c r="AZ186" s="2897">
        <f t="shared" si="124"/>
        <v>0</v>
      </c>
      <c r="BA186" s="2897">
        <f t="shared" si="125"/>
        <v>0</v>
      </c>
      <c r="BB186" s="2897">
        <f t="shared" si="126"/>
        <v>0</v>
      </c>
      <c r="BC186" s="2897">
        <f t="shared" si="127"/>
        <v>0</v>
      </c>
      <c r="BD186" s="2897">
        <f t="shared" si="128"/>
        <v>0</v>
      </c>
      <c r="BE186" s="2897">
        <f t="shared" si="129"/>
        <v>0</v>
      </c>
      <c r="BF186" s="2897">
        <f t="shared" si="130"/>
        <v>0</v>
      </c>
      <c r="BG186" s="2897">
        <f t="shared" si="131"/>
        <v>0</v>
      </c>
      <c r="BH186" s="2897">
        <f t="shared" si="132"/>
        <v>0</v>
      </c>
      <c r="BI186" s="2897">
        <f t="shared" si="133"/>
        <v>0</v>
      </c>
      <c r="BJ186" s="2897">
        <f t="shared" si="134"/>
        <v>0</v>
      </c>
      <c r="BK186" s="2897">
        <f t="shared" si="135"/>
        <v>0</v>
      </c>
      <c r="BL186" s="2897">
        <f t="shared" si="136"/>
        <v>0</v>
      </c>
      <c r="BM186" s="2897">
        <f t="shared" si="137"/>
        <v>0</v>
      </c>
      <c r="BN186" s="2897">
        <f t="shared" si="138"/>
        <v>0</v>
      </c>
      <c r="BO186" s="2897">
        <f t="shared" si="139"/>
        <v>0</v>
      </c>
      <c r="BP186" s="2897">
        <f t="shared" si="140"/>
        <v>0</v>
      </c>
      <c r="BQ186" s="2897">
        <f t="shared" si="141"/>
        <v>0</v>
      </c>
      <c r="BR186" s="2897">
        <f t="shared" si="142"/>
        <v>0</v>
      </c>
      <c r="BS186" s="2897">
        <f t="shared" si="143"/>
        <v>0</v>
      </c>
      <c r="BT186" s="2971">
        <f t="shared" si="144"/>
        <v>0</v>
      </c>
    </row>
    <row r="187" spans="1:72">
      <c r="A187" s="2894"/>
      <c r="B187" s="2895"/>
      <c r="C187" s="2895"/>
      <c r="D187" s="2907"/>
      <c r="E187" s="2897">
        <f t="shared" si="145"/>
        <v>0</v>
      </c>
      <c r="F187" s="2898"/>
      <c r="G187" s="2899">
        <f t="shared" si="120"/>
        <v>0</v>
      </c>
      <c r="H187" s="2900">
        <f t="shared" si="121"/>
        <v>0</v>
      </c>
      <c r="I187" s="2918"/>
      <c r="J187" s="2918"/>
      <c r="K187" s="2918"/>
      <c r="L187" s="2918"/>
      <c r="M187" s="2918"/>
      <c r="N187" s="2918"/>
      <c r="O187" s="2918"/>
      <c r="P187" s="2918"/>
      <c r="Q187" s="2918"/>
      <c r="R187" s="2918"/>
      <c r="S187" s="2918"/>
      <c r="T187" s="2918"/>
      <c r="U187" s="2918"/>
      <c r="V187" s="2918"/>
      <c r="W187" s="2918"/>
      <c r="X187" s="2918"/>
      <c r="Y187" s="2918"/>
      <c r="Z187" s="2918"/>
      <c r="AA187" s="2918"/>
      <c r="AB187" s="2918"/>
      <c r="AC187" s="2897">
        <f t="shared" si="122"/>
        <v>0</v>
      </c>
      <c r="AD187" s="2929"/>
      <c r="AE187" s="2929"/>
      <c r="AF187" s="2929"/>
      <c r="AG187" s="2929"/>
      <c r="AH187" s="2929"/>
      <c r="AI187" s="2929"/>
      <c r="AJ187" s="2929"/>
      <c r="AK187" s="2929"/>
      <c r="AL187" s="2929"/>
      <c r="AM187" s="2929"/>
      <c r="AN187" s="2929"/>
      <c r="AO187" s="2929"/>
      <c r="AP187" s="2929"/>
      <c r="AQ187" s="2929"/>
      <c r="AR187" s="2929"/>
      <c r="AS187" s="2929"/>
      <c r="AT187" s="2949"/>
      <c r="AU187" s="2950"/>
      <c r="AV187" s="454">
        <f t="shared" si="146"/>
        <v>0</v>
      </c>
      <c r="AW187" s="454">
        <f t="shared" si="147"/>
        <v>0</v>
      </c>
      <c r="AX187" s="454">
        <f t="shared" si="148"/>
        <v>0</v>
      </c>
      <c r="AY187" s="2966">
        <f t="shared" si="123"/>
        <v>0</v>
      </c>
      <c r="AZ187" s="2897">
        <f t="shared" si="124"/>
        <v>0</v>
      </c>
      <c r="BA187" s="2897">
        <f t="shared" si="125"/>
        <v>0</v>
      </c>
      <c r="BB187" s="2897">
        <f t="shared" si="126"/>
        <v>0</v>
      </c>
      <c r="BC187" s="2897">
        <f t="shared" si="127"/>
        <v>0</v>
      </c>
      <c r="BD187" s="2897">
        <f t="shared" si="128"/>
        <v>0</v>
      </c>
      <c r="BE187" s="2897">
        <f t="shared" si="129"/>
        <v>0</v>
      </c>
      <c r="BF187" s="2897">
        <f t="shared" si="130"/>
        <v>0</v>
      </c>
      <c r="BG187" s="2897">
        <f t="shared" si="131"/>
        <v>0</v>
      </c>
      <c r="BH187" s="2897">
        <f t="shared" si="132"/>
        <v>0</v>
      </c>
      <c r="BI187" s="2897">
        <f t="shared" si="133"/>
        <v>0</v>
      </c>
      <c r="BJ187" s="2897">
        <f t="shared" si="134"/>
        <v>0</v>
      </c>
      <c r="BK187" s="2897">
        <f t="shared" si="135"/>
        <v>0</v>
      </c>
      <c r="BL187" s="2897">
        <f t="shared" si="136"/>
        <v>0</v>
      </c>
      <c r="BM187" s="2897">
        <f t="shared" si="137"/>
        <v>0</v>
      </c>
      <c r="BN187" s="2897">
        <f t="shared" si="138"/>
        <v>0</v>
      </c>
      <c r="BO187" s="2897">
        <f t="shared" si="139"/>
        <v>0</v>
      </c>
      <c r="BP187" s="2897">
        <f t="shared" si="140"/>
        <v>0</v>
      </c>
      <c r="BQ187" s="2897">
        <f t="shared" si="141"/>
        <v>0</v>
      </c>
      <c r="BR187" s="2897">
        <f t="shared" si="142"/>
        <v>0</v>
      </c>
      <c r="BS187" s="2897">
        <f t="shared" si="143"/>
        <v>0</v>
      </c>
      <c r="BT187" s="2971">
        <f t="shared" si="144"/>
        <v>0</v>
      </c>
    </row>
    <row r="188" spans="1:72">
      <c r="A188" s="2894"/>
      <c r="B188" s="2895"/>
      <c r="C188" s="2895"/>
      <c r="D188" s="2907"/>
      <c r="E188" s="2897">
        <f t="shared" si="145"/>
        <v>0</v>
      </c>
      <c r="F188" s="2898"/>
      <c r="G188" s="2899">
        <f t="shared" si="120"/>
        <v>0</v>
      </c>
      <c r="H188" s="2900">
        <f t="shared" si="121"/>
        <v>0</v>
      </c>
      <c r="I188" s="2918"/>
      <c r="J188" s="2918"/>
      <c r="K188" s="2918"/>
      <c r="L188" s="2918"/>
      <c r="M188" s="2918"/>
      <c r="N188" s="2918"/>
      <c r="O188" s="2918"/>
      <c r="P188" s="2918"/>
      <c r="Q188" s="2918"/>
      <c r="R188" s="2918"/>
      <c r="S188" s="2918"/>
      <c r="T188" s="2918"/>
      <c r="U188" s="2918"/>
      <c r="V188" s="2918"/>
      <c r="W188" s="2918"/>
      <c r="X188" s="2918"/>
      <c r="Y188" s="2918"/>
      <c r="Z188" s="2918"/>
      <c r="AA188" s="2918"/>
      <c r="AB188" s="2918"/>
      <c r="AC188" s="2897">
        <f t="shared" si="122"/>
        <v>0</v>
      </c>
      <c r="AD188" s="2929"/>
      <c r="AE188" s="2929"/>
      <c r="AF188" s="2929"/>
      <c r="AG188" s="2929"/>
      <c r="AH188" s="2929"/>
      <c r="AI188" s="2929"/>
      <c r="AJ188" s="2929"/>
      <c r="AK188" s="2929"/>
      <c r="AL188" s="2929"/>
      <c r="AM188" s="2929"/>
      <c r="AN188" s="2929"/>
      <c r="AO188" s="2929"/>
      <c r="AP188" s="2929"/>
      <c r="AQ188" s="2929"/>
      <c r="AR188" s="2929"/>
      <c r="AS188" s="2929"/>
      <c r="AT188" s="2949"/>
      <c r="AU188" s="2950"/>
      <c r="AV188" s="454">
        <f t="shared" si="146"/>
        <v>0</v>
      </c>
      <c r="AW188" s="454">
        <f t="shared" si="147"/>
        <v>0</v>
      </c>
      <c r="AX188" s="454">
        <f t="shared" si="148"/>
        <v>0</v>
      </c>
      <c r="AY188" s="2966">
        <f t="shared" si="123"/>
        <v>0</v>
      </c>
      <c r="AZ188" s="2897">
        <f t="shared" si="124"/>
        <v>0</v>
      </c>
      <c r="BA188" s="2897">
        <f t="shared" si="125"/>
        <v>0</v>
      </c>
      <c r="BB188" s="2897">
        <f t="shared" si="126"/>
        <v>0</v>
      </c>
      <c r="BC188" s="2897">
        <f t="shared" si="127"/>
        <v>0</v>
      </c>
      <c r="BD188" s="2897">
        <f t="shared" si="128"/>
        <v>0</v>
      </c>
      <c r="BE188" s="2897">
        <f t="shared" si="129"/>
        <v>0</v>
      </c>
      <c r="BF188" s="2897">
        <f t="shared" si="130"/>
        <v>0</v>
      </c>
      <c r="BG188" s="2897">
        <f t="shared" si="131"/>
        <v>0</v>
      </c>
      <c r="BH188" s="2897">
        <f t="shared" si="132"/>
        <v>0</v>
      </c>
      <c r="BI188" s="2897">
        <f t="shared" si="133"/>
        <v>0</v>
      </c>
      <c r="BJ188" s="2897">
        <f t="shared" si="134"/>
        <v>0</v>
      </c>
      <c r="BK188" s="2897">
        <f t="shared" si="135"/>
        <v>0</v>
      </c>
      <c r="BL188" s="2897">
        <f t="shared" si="136"/>
        <v>0</v>
      </c>
      <c r="BM188" s="2897">
        <f t="shared" si="137"/>
        <v>0</v>
      </c>
      <c r="BN188" s="2897">
        <f t="shared" si="138"/>
        <v>0</v>
      </c>
      <c r="BO188" s="2897">
        <f t="shared" si="139"/>
        <v>0</v>
      </c>
      <c r="BP188" s="2897">
        <f t="shared" si="140"/>
        <v>0</v>
      </c>
      <c r="BQ188" s="2897">
        <f t="shared" si="141"/>
        <v>0</v>
      </c>
      <c r="BR188" s="2897">
        <f t="shared" si="142"/>
        <v>0</v>
      </c>
      <c r="BS188" s="2897">
        <f t="shared" si="143"/>
        <v>0</v>
      </c>
      <c r="BT188" s="2971">
        <f t="shared" si="144"/>
        <v>0</v>
      </c>
    </row>
    <row r="189" spans="1:72">
      <c r="A189" s="2894"/>
      <c r="B189" s="2895"/>
      <c r="C189" s="2895"/>
      <c r="D189" s="2907"/>
      <c r="E189" s="2897">
        <f t="shared" si="145"/>
        <v>0</v>
      </c>
      <c r="F189" s="2898"/>
      <c r="G189" s="2899">
        <f t="shared" si="120"/>
        <v>0</v>
      </c>
      <c r="H189" s="2900">
        <f t="shared" si="121"/>
        <v>0</v>
      </c>
      <c r="I189" s="2918"/>
      <c r="J189" s="2918"/>
      <c r="K189" s="2918"/>
      <c r="L189" s="2918"/>
      <c r="M189" s="2918"/>
      <c r="N189" s="2918"/>
      <c r="O189" s="2918"/>
      <c r="P189" s="2918"/>
      <c r="Q189" s="2918"/>
      <c r="R189" s="2918"/>
      <c r="S189" s="2918"/>
      <c r="T189" s="2918"/>
      <c r="U189" s="2918"/>
      <c r="V189" s="2918"/>
      <c r="W189" s="2918"/>
      <c r="X189" s="2918"/>
      <c r="Y189" s="2918"/>
      <c r="Z189" s="2918"/>
      <c r="AA189" s="2918"/>
      <c r="AB189" s="2918"/>
      <c r="AC189" s="2897">
        <f t="shared" si="122"/>
        <v>0</v>
      </c>
      <c r="AD189" s="2929"/>
      <c r="AE189" s="2929"/>
      <c r="AF189" s="2929"/>
      <c r="AG189" s="2929"/>
      <c r="AH189" s="2929"/>
      <c r="AI189" s="2929"/>
      <c r="AJ189" s="2929"/>
      <c r="AK189" s="2929"/>
      <c r="AL189" s="2929"/>
      <c r="AM189" s="2929"/>
      <c r="AN189" s="2929"/>
      <c r="AO189" s="2929"/>
      <c r="AP189" s="2929"/>
      <c r="AQ189" s="2929"/>
      <c r="AR189" s="2929"/>
      <c r="AS189" s="2929"/>
      <c r="AT189" s="2949"/>
      <c r="AU189" s="2950"/>
      <c r="AV189" s="454">
        <f t="shared" si="146"/>
        <v>0</v>
      </c>
      <c r="AW189" s="454">
        <f t="shared" si="147"/>
        <v>0</v>
      </c>
      <c r="AX189" s="454">
        <f t="shared" si="148"/>
        <v>0</v>
      </c>
      <c r="AY189" s="2966">
        <f t="shared" si="123"/>
        <v>0</v>
      </c>
      <c r="AZ189" s="2897">
        <f t="shared" si="124"/>
        <v>0</v>
      </c>
      <c r="BA189" s="2897">
        <f t="shared" si="125"/>
        <v>0</v>
      </c>
      <c r="BB189" s="2897">
        <f t="shared" si="126"/>
        <v>0</v>
      </c>
      <c r="BC189" s="2897">
        <f t="shared" si="127"/>
        <v>0</v>
      </c>
      <c r="BD189" s="2897">
        <f t="shared" si="128"/>
        <v>0</v>
      </c>
      <c r="BE189" s="2897">
        <f t="shared" si="129"/>
        <v>0</v>
      </c>
      <c r="BF189" s="2897">
        <f t="shared" si="130"/>
        <v>0</v>
      </c>
      <c r="BG189" s="2897">
        <f t="shared" si="131"/>
        <v>0</v>
      </c>
      <c r="BH189" s="2897">
        <f t="shared" si="132"/>
        <v>0</v>
      </c>
      <c r="BI189" s="2897">
        <f t="shared" si="133"/>
        <v>0</v>
      </c>
      <c r="BJ189" s="2897">
        <f t="shared" si="134"/>
        <v>0</v>
      </c>
      <c r="BK189" s="2897">
        <f t="shared" si="135"/>
        <v>0</v>
      </c>
      <c r="BL189" s="2897">
        <f t="shared" si="136"/>
        <v>0</v>
      </c>
      <c r="BM189" s="2897">
        <f t="shared" si="137"/>
        <v>0</v>
      </c>
      <c r="BN189" s="2897">
        <f t="shared" si="138"/>
        <v>0</v>
      </c>
      <c r="BO189" s="2897">
        <f t="shared" si="139"/>
        <v>0</v>
      </c>
      <c r="BP189" s="2897">
        <f t="shared" si="140"/>
        <v>0</v>
      </c>
      <c r="BQ189" s="2897">
        <f t="shared" si="141"/>
        <v>0</v>
      </c>
      <c r="BR189" s="2897">
        <f t="shared" si="142"/>
        <v>0</v>
      </c>
      <c r="BS189" s="2897">
        <f t="shared" si="143"/>
        <v>0</v>
      </c>
      <c r="BT189" s="2971">
        <f t="shared" si="144"/>
        <v>0</v>
      </c>
    </row>
    <row r="190" spans="1:72">
      <c r="A190" s="2894"/>
      <c r="B190" s="2895"/>
      <c r="C190" s="2895"/>
      <c r="D190" s="2907"/>
      <c r="E190" s="2897">
        <f t="shared" si="145"/>
        <v>0</v>
      </c>
      <c r="F190" s="2898"/>
      <c r="G190" s="2899">
        <f t="shared" si="120"/>
        <v>0</v>
      </c>
      <c r="H190" s="2900">
        <f t="shared" si="121"/>
        <v>0</v>
      </c>
      <c r="I190" s="2918"/>
      <c r="J190" s="2918"/>
      <c r="K190" s="2918"/>
      <c r="L190" s="2918"/>
      <c r="M190" s="2918"/>
      <c r="N190" s="2918"/>
      <c r="O190" s="2918"/>
      <c r="P190" s="2918"/>
      <c r="Q190" s="2918"/>
      <c r="R190" s="2918"/>
      <c r="S190" s="2918"/>
      <c r="T190" s="2918"/>
      <c r="U190" s="2918"/>
      <c r="V190" s="2918"/>
      <c r="W190" s="2918"/>
      <c r="X190" s="2918"/>
      <c r="Y190" s="2918"/>
      <c r="Z190" s="2918"/>
      <c r="AA190" s="2918"/>
      <c r="AB190" s="2918"/>
      <c r="AC190" s="2897">
        <f t="shared" si="122"/>
        <v>0</v>
      </c>
      <c r="AD190" s="2929"/>
      <c r="AE190" s="2929"/>
      <c r="AF190" s="2929"/>
      <c r="AG190" s="2929"/>
      <c r="AH190" s="2929"/>
      <c r="AI190" s="2929"/>
      <c r="AJ190" s="2929"/>
      <c r="AK190" s="2929"/>
      <c r="AL190" s="2929"/>
      <c r="AM190" s="2929"/>
      <c r="AN190" s="2929"/>
      <c r="AO190" s="2929"/>
      <c r="AP190" s="2929"/>
      <c r="AQ190" s="2929"/>
      <c r="AR190" s="2929"/>
      <c r="AS190" s="2929"/>
      <c r="AT190" s="2949"/>
      <c r="AU190" s="2950"/>
      <c r="AV190" s="454">
        <f t="shared" si="146"/>
        <v>0</v>
      </c>
      <c r="AW190" s="454">
        <f t="shared" si="147"/>
        <v>0</v>
      </c>
      <c r="AX190" s="454">
        <f t="shared" si="148"/>
        <v>0</v>
      </c>
      <c r="AY190" s="2966">
        <f t="shared" si="123"/>
        <v>0</v>
      </c>
      <c r="AZ190" s="2897">
        <f t="shared" si="124"/>
        <v>0</v>
      </c>
      <c r="BA190" s="2897">
        <f t="shared" si="125"/>
        <v>0</v>
      </c>
      <c r="BB190" s="2897">
        <f t="shared" si="126"/>
        <v>0</v>
      </c>
      <c r="BC190" s="2897">
        <f t="shared" si="127"/>
        <v>0</v>
      </c>
      <c r="BD190" s="2897">
        <f t="shared" si="128"/>
        <v>0</v>
      </c>
      <c r="BE190" s="2897">
        <f t="shared" si="129"/>
        <v>0</v>
      </c>
      <c r="BF190" s="2897">
        <f t="shared" si="130"/>
        <v>0</v>
      </c>
      <c r="BG190" s="2897">
        <f t="shared" si="131"/>
        <v>0</v>
      </c>
      <c r="BH190" s="2897">
        <f t="shared" si="132"/>
        <v>0</v>
      </c>
      <c r="BI190" s="2897">
        <f t="shared" si="133"/>
        <v>0</v>
      </c>
      <c r="BJ190" s="2897">
        <f t="shared" si="134"/>
        <v>0</v>
      </c>
      <c r="BK190" s="2897">
        <f t="shared" si="135"/>
        <v>0</v>
      </c>
      <c r="BL190" s="2897">
        <f t="shared" si="136"/>
        <v>0</v>
      </c>
      <c r="BM190" s="2897">
        <f t="shared" si="137"/>
        <v>0</v>
      </c>
      <c r="BN190" s="2897">
        <f t="shared" si="138"/>
        <v>0</v>
      </c>
      <c r="BO190" s="2897">
        <f t="shared" si="139"/>
        <v>0</v>
      </c>
      <c r="BP190" s="2897">
        <f t="shared" si="140"/>
        <v>0</v>
      </c>
      <c r="BQ190" s="2897">
        <f t="shared" si="141"/>
        <v>0</v>
      </c>
      <c r="BR190" s="2897">
        <f t="shared" si="142"/>
        <v>0</v>
      </c>
      <c r="BS190" s="2897">
        <f t="shared" si="143"/>
        <v>0</v>
      </c>
      <c r="BT190" s="2971">
        <f t="shared" si="144"/>
        <v>0</v>
      </c>
    </row>
    <row r="191" spans="1:72">
      <c r="A191" s="2894"/>
      <c r="B191" s="2895"/>
      <c r="C191" s="2895"/>
      <c r="D191" s="2907"/>
      <c r="E191" s="2897">
        <f t="shared" si="145"/>
        <v>0</v>
      </c>
      <c r="F191" s="2898"/>
      <c r="G191" s="2899">
        <f t="shared" si="120"/>
        <v>0</v>
      </c>
      <c r="H191" s="2900">
        <f t="shared" si="121"/>
        <v>0</v>
      </c>
      <c r="I191" s="2918"/>
      <c r="J191" s="2918"/>
      <c r="K191" s="2918"/>
      <c r="L191" s="2918"/>
      <c r="M191" s="2918"/>
      <c r="N191" s="2918"/>
      <c r="O191" s="2918"/>
      <c r="P191" s="2918"/>
      <c r="Q191" s="2918"/>
      <c r="R191" s="2918"/>
      <c r="S191" s="2918"/>
      <c r="T191" s="2918"/>
      <c r="U191" s="2918"/>
      <c r="V191" s="2918"/>
      <c r="W191" s="2918"/>
      <c r="X191" s="2918"/>
      <c r="Y191" s="2918"/>
      <c r="Z191" s="2918"/>
      <c r="AA191" s="2918"/>
      <c r="AB191" s="2918"/>
      <c r="AC191" s="2897">
        <f t="shared" si="122"/>
        <v>0</v>
      </c>
      <c r="AD191" s="2929"/>
      <c r="AE191" s="2929"/>
      <c r="AF191" s="2929"/>
      <c r="AG191" s="2929"/>
      <c r="AH191" s="2929"/>
      <c r="AI191" s="2929"/>
      <c r="AJ191" s="2929"/>
      <c r="AK191" s="2929"/>
      <c r="AL191" s="2929"/>
      <c r="AM191" s="2929"/>
      <c r="AN191" s="2929"/>
      <c r="AO191" s="2929"/>
      <c r="AP191" s="2929"/>
      <c r="AQ191" s="2929"/>
      <c r="AR191" s="2929"/>
      <c r="AS191" s="2929"/>
      <c r="AT191" s="2949"/>
      <c r="AU191" s="2950"/>
      <c r="AV191" s="454">
        <f t="shared" si="146"/>
        <v>0</v>
      </c>
      <c r="AW191" s="454">
        <f t="shared" si="147"/>
        <v>0</v>
      </c>
      <c r="AX191" s="454">
        <f t="shared" si="148"/>
        <v>0</v>
      </c>
      <c r="AY191" s="2966">
        <f t="shared" si="123"/>
        <v>0</v>
      </c>
      <c r="AZ191" s="2897">
        <f t="shared" si="124"/>
        <v>0</v>
      </c>
      <c r="BA191" s="2897">
        <f t="shared" si="125"/>
        <v>0</v>
      </c>
      <c r="BB191" s="2897">
        <f t="shared" si="126"/>
        <v>0</v>
      </c>
      <c r="BC191" s="2897">
        <f t="shared" si="127"/>
        <v>0</v>
      </c>
      <c r="BD191" s="2897">
        <f t="shared" si="128"/>
        <v>0</v>
      </c>
      <c r="BE191" s="2897">
        <f t="shared" si="129"/>
        <v>0</v>
      </c>
      <c r="BF191" s="2897">
        <f t="shared" si="130"/>
        <v>0</v>
      </c>
      <c r="BG191" s="2897">
        <f t="shared" si="131"/>
        <v>0</v>
      </c>
      <c r="BH191" s="2897">
        <f t="shared" si="132"/>
        <v>0</v>
      </c>
      <c r="BI191" s="2897">
        <f t="shared" si="133"/>
        <v>0</v>
      </c>
      <c r="BJ191" s="2897">
        <f t="shared" si="134"/>
        <v>0</v>
      </c>
      <c r="BK191" s="2897">
        <f t="shared" si="135"/>
        <v>0</v>
      </c>
      <c r="BL191" s="2897">
        <f t="shared" si="136"/>
        <v>0</v>
      </c>
      <c r="BM191" s="2897">
        <f t="shared" si="137"/>
        <v>0</v>
      </c>
      <c r="BN191" s="2897">
        <f t="shared" si="138"/>
        <v>0</v>
      </c>
      <c r="BO191" s="2897">
        <f t="shared" si="139"/>
        <v>0</v>
      </c>
      <c r="BP191" s="2897">
        <f t="shared" si="140"/>
        <v>0</v>
      </c>
      <c r="BQ191" s="2897">
        <f t="shared" si="141"/>
        <v>0</v>
      </c>
      <c r="BR191" s="2897">
        <f t="shared" si="142"/>
        <v>0</v>
      </c>
      <c r="BS191" s="2897">
        <f t="shared" si="143"/>
        <v>0</v>
      </c>
      <c r="BT191" s="2971">
        <f t="shared" si="144"/>
        <v>0</v>
      </c>
    </row>
    <row r="192" spans="1:72">
      <c r="A192" s="2894"/>
      <c r="B192" s="2895"/>
      <c r="C192" s="2895"/>
      <c r="D192" s="2907"/>
      <c r="E192" s="2897">
        <f t="shared" si="145"/>
        <v>0</v>
      </c>
      <c r="F192" s="2898"/>
      <c r="G192" s="2899">
        <f t="shared" si="120"/>
        <v>0</v>
      </c>
      <c r="H192" s="2900">
        <f t="shared" si="121"/>
        <v>0</v>
      </c>
      <c r="I192" s="2918"/>
      <c r="J192" s="2918"/>
      <c r="K192" s="2918"/>
      <c r="L192" s="2918"/>
      <c r="M192" s="2918"/>
      <c r="N192" s="2918"/>
      <c r="O192" s="2918"/>
      <c r="P192" s="2918"/>
      <c r="Q192" s="2918"/>
      <c r="R192" s="2918"/>
      <c r="S192" s="2918"/>
      <c r="T192" s="2918"/>
      <c r="U192" s="2918"/>
      <c r="V192" s="2918"/>
      <c r="W192" s="2918"/>
      <c r="X192" s="2918"/>
      <c r="Y192" s="2918"/>
      <c r="Z192" s="2918"/>
      <c r="AA192" s="2918"/>
      <c r="AB192" s="2918"/>
      <c r="AC192" s="2897">
        <f t="shared" si="122"/>
        <v>0</v>
      </c>
      <c r="AD192" s="2929"/>
      <c r="AE192" s="2929"/>
      <c r="AF192" s="2929"/>
      <c r="AG192" s="2929"/>
      <c r="AH192" s="2929"/>
      <c r="AI192" s="2929"/>
      <c r="AJ192" s="2929"/>
      <c r="AK192" s="2929"/>
      <c r="AL192" s="2929"/>
      <c r="AM192" s="2929"/>
      <c r="AN192" s="2929"/>
      <c r="AO192" s="2929"/>
      <c r="AP192" s="2929"/>
      <c r="AQ192" s="2929"/>
      <c r="AR192" s="2929"/>
      <c r="AS192" s="2929"/>
      <c r="AT192" s="2949"/>
      <c r="AU192" s="2950"/>
      <c r="AV192" s="454">
        <f t="shared" si="146"/>
        <v>0</v>
      </c>
      <c r="AW192" s="454">
        <f t="shared" si="147"/>
        <v>0</v>
      </c>
      <c r="AX192" s="454">
        <f t="shared" si="148"/>
        <v>0</v>
      </c>
      <c r="AY192" s="2966">
        <f t="shared" si="123"/>
        <v>0</v>
      </c>
      <c r="AZ192" s="2897">
        <f t="shared" si="124"/>
        <v>0</v>
      </c>
      <c r="BA192" s="2897">
        <f t="shared" si="125"/>
        <v>0</v>
      </c>
      <c r="BB192" s="2897">
        <f t="shared" si="126"/>
        <v>0</v>
      </c>
      <c r="BC192" s="2897">
        <f t="shared" si="127"/>
        <v>0</v>
      </c>
      <c r="BD192" s="2897">
        <f t="shared" si="128"/>
        <v>0</v>
      </c>
      <c r="BE192" s="2897">
        <f t="shared" si="129"/>
        <v>0</v>
      </c>
      <c r="BF192" s="2897">
        <f t="shared" si="130"/>
        <v>0</v>
      </c>
      <c r="BG192" s="2897">
        <f t="shared" si="131"/>
        <v>0</v>
      </c>
      <c r="BH192" s="2897">
        <f t="shared" si="132"/>
        <v>0</v>
      </c>
      <c r="BI192" s="2897">
        <f t="shared" si="133"/>
        <v>0</v>
      </c>
      <c r="BJ192" s="2897">
        <f t="shared" si="134"/>
        <v>0</v>
      </c>
      <c r="BK192" s="2897">
        <f t="shared" si="135"/>
        <v>0</v>
      </c>
      <c r="BL192" s="2897">
        <f t="shared" si="136"/>
        <v>0</v>
      </c>
      <c r="BM192" s="2897">
        <f t="shared" si="137"/>
        <v>0</v>
      </c>
      <c r="BN192" s="2897">
        <f t="shared" si="138"/>
        <v>0</v>
      </c>
      <c r="BO192" s="2897">
        <f t="shared" si="139"/>
        <v>0</v>
      </c>
      <c r="BP192" s="2897">
        <f t="shared" si="140"/>
        <v>0</v>
      </c>
      <c r="BQ192" s="2897">
        <f t="shared" si="141"/>
        <v>0</v>
      </c>
      <c r="BR192" s="2897">
        <f t="shared" si="142"/>
        <v>0</v>
      </c>
      <c r="BS192" s="2897">
        <f t="shared" si="143"/>
        <v>0</v>
      </c>
      <c r="BT192" s="2971">
        <f t="shared" si="144"/>
        <v>0</v>
      </c>
    </row>
    <row r="193" spans="1:72">
      <c r="A193" s="2894"/>
      <c r="B193" s="2895"/>
      <c r="C193" s="2895"/>
      <c r="D193" s="2907"/>
      <c r="E193" s="2897">
        <f t="shared" si="145"/>
        <v>0</v>
      </c>
      <c r="F193" s="2898"/>
      <c r="G193" s="2899">
        <f t="shared" si="120"/>
        <v>0</v>
      </c>
      <c r="H193" s="2900">
        <f t="shared" si="121"/>
        <v>0</v>
      </c>
      <c r="I193" s="2918"/>
      <c r="J193" s="2918"/>
      <c r="K193" s="2918"/>
      <c r="L193" s="2918"/>
      <c r="M193" s="2918"/>
      <c r="N193" s="2918"/>
      <c r="O193" s="2918"/>
      <c r="P193" s="2918"/>
      <c r="Q193" s="2918"/>
      <c r="R193" s="2918"/>
      <c r="S193" s="2918"/>
      <c r="T193" s="2918"/>
      <c r="U193" s="2918"/>
      <c r="V193" s="2918"/>
      <c r="W193" s="2918"/>
      <c r="X193" s="2918"/>
      <c r="Y193" s="2918"/>
      <c r="Z193" s="2918"/>
      <c r="AA193" s="2918"/>
      <c r="AB193" s="2918"/>
      <c r="AC193" s="2897">
        <f t="shared" si="122"/>
        <v>0</v>
      </c>
      <c r="AD193" s="2929"/>
      <c r="AE193" s="2929"/>
      <c r="AF193" s="2929"/>
      <c r="AG193" s="2929"/>
      <c r="AH193" s="2929"/>
      <c r="AI193" s="2929"/>
      <c r="AJ193" s="2929"/>
      <c r="AK193" s="2929"/>
      <c r="AL193" s="2929"/>
      <c r="AM193" s="2929"/>
      <c r="AN193" s="2929"/>
      <c r="AO193" s="2929"/>
      <c r="AP193" s="2929"/>
      <c r="AQ193" s="2929"/>
      <c r="AR193" s="2929"/>
      <c r="AS193" s="2929"/>
      <c r="AT193" s="2949"/>
      <c r="AU193" s="2950"/>
      <c r="AV193" s="454">
        <f t="shared" si="146"/>
        <v>0</v>
      </c>
      <c r="AW193" s="454">
        <f t="shared" si="147"/>
        <v>0</v>
      </c>
      <c r="AX193" s="454">
        <f t="shared" si="148"/>
        <v>0</v>
      </c>
      <c r="AY193" s="2966">
        <f t="shared" si="123"/>
        <v>0</v>
      </c>
      <c r="AZ193" s="2897">
        <f t="shared" si="124"/>
        <v>0</v>
      </c>
      <c r="BA193" s="2897">
        <f t="shared" si="125"/>
        <v>0</v>
      </c>
      <c r="BB193" s="2897">
        <f t="shared" si="126"/>
        <v>0</v>
      </c>
      <c r="BC193" s="2897">
        <f t="shared" si="127"/>
        <v>0</v>
      </c>
      <c r="BD193" s="2897">
        <f t="shared" si="128"/>
        <v>0</v>
      </c>
      <c r="BE193" s="2897">
        <f t="shared" si="129"/>
        <v>0</v>
      </c>
      <c r="BF193" s="2897">
        <f t="shared" si="130"/>
        <v>0</v>
      </c>
      <c r="BG193" s="2897">
        <f t="shared" si="131"/>
        <v>0</v>
      </c>
      <c r="BH193" s="2897">
        <f t="shared" si="132"/>
        <v>0</v>
      </c>
      <c r="BI193" s="2897">
        <f t="shared" si="133"/>
        <v>0</v>
      </c>
      <c r="BJ193" s="2897">
        <f t="shared" si="134"/>
        <v>0</v>
      </c>
      <c r="BK193" s="2897">
        <f t="shared" si="135"/>
        <v>0</v>
      </c>
      <c r="BL193" s="2897">
        <f t="shared" si="136"/>
        <v>0</v>
      </c>
      <c r="BM193" s="2897">
        <f t="shared" si="137"/>
        <v>0</v>
      </c>
      <c r="BN193" s="2897">
        <f t="shared" si="138"/>
        <v>0</v>
      </c>
      <c r="BO193" s="2897">
        <f t="shared" si="139"/>
        <v>0</v>
      </c>
      <c r="BP193" s="2897">
        <f t="shared" si="140"/>
        <v>0</v>
      </c>
      <c r="BQ193" s="2897">
        <f t="shared" si="141"/>
        <v>0</v>
      </c>
      <c r="BR193" s="2897">
        <f t="shared" si="142"/>
        <v>0</v>
      </c>
      <c r="BS193" s="2897">
        <f t="shared" si="143"/>
        <v>0</v>
      </c>
      <c r="BT193" s="2971">
        <f t="shared" si="144"/>
        <v>0</v>
      </c>
    </row>
    <row r="194" spans="1:72">
      <c r="A194" s="2894"/>
      <c r="B194" s="2895"/>
      <c r="C194" s="2895"/>
      <c r="D194" s="2907"/>
      <c r="E194" s="2897">
        <f t="shared" si="145"/>
        <v>0</v>
      </c>
      <c r="F194" s="2898"/>
      <c r="G194" s="2899">
        <f t="shared" si="120"/>
        <v>0</v>
      </c>
      <c r="H194" s="2900">
        <f t="shared" si="121"/>
        <v>0</v>
      </c>
      <c r="I194" s="2918"/>
      <c r="J194" s="2918"/>
      <c r="K194" s="2918"/>
      <c r="L194" s="2918"/>
      <c r="M194" s="2918"/>
      <c r="N194" s="2918"/>
      <c r="O194" s="2918"/>
      <c r="P194" s="2918"/>
      <c r="Q194" s="2918"/>
      <c r="R194" s="2918"/>
      <c r="S194" s="2918"/>
      <c r="T194" s="2918"/>
      <c r="U194" s="2918"/>
      <c r="V194" s="2918"/>
      <c r="W194" s="2918"/>
      <c r="X194" s="2918"/>
      <c r="Y194" s="2918"/>
      <c r="Z194" s="2918"/>
      <c r="AA194" s="2918"/>
      <c r="AB194" s="2918"/>
      <c r="AC194" s="2897">
        <f t="shared" si="122"/>
        <v>0</v>
      </c>
      <c r="AD194" s="2929"/>
      <c r="AE194" s="2929"/>
      <c r="AF194" s="2929"/>
      <c r="AG194" s="2929"/>
      <c r="AH194" s="2929"/>
      <c r="AI194" s="2929"/>
      <c r="AJ194" s="2929"/>
      <c r="AK194" s="2929"/>
      <c r="AL194" s="2929"/>
      <c r="AM194" s="2929"/>
      <c r="AN194" s="2929"/>
      <c r="AO194" s="2929"/>
      <c r="AP194" s="2929"/>
      <c r="AQ194" s="2929"/>
      <c r="AR194" s="2929"/>
      <c r="AS194" s="2929"/>
      <c r="AT194" s="2949"/>
      <c r="AU194" s="2950"/>
      <c r="AV194" s="454">
        <f t="shared" si="146"/>
        <v>0</v>
      </c>
      <c r="AW194" s="454">
        <f t="shared" si="147"/>
        <v>0</v>
      </c>
      <c r="AX194" s="454">
        <f t="shared" si="148"/>
        <v>0</v>
      </c>
      <c r="AY194" s="2966">
        <f t="shared" si="123"/>
        <v>0</v>
      </c>
      <c r="AZ194" s="2897">
        <f t="shared" si="124"/>
        <v>0</v>
      </c>
      <c r="BA194" s="2897">
        <f t="shared" si="125"/>
        <v>0</v>
      </c>
      <c r="BB194" s="2897">
        <f t="shared" si="126"/>
        <v>0</v>
      </c>
      <c r="BC194" s="2897">
        <f t="shared" si="127"/>
        <v>0</v>
      </c>
      <c r="BD194" s="2897">
        <f t="shared" si="128"/>
        <v>0</v>
      </c>
      <c r="BE194" s="2897">
        <f t="shared" si="129"/>
        <v>0</v>
      </c>
      <c r="BF194" s="2897">
        <f t="shared" si="130"/>
        <v>0</v>
      </c>
      <c r="BG194" s="2897">
        <f t="shared" si="131"/>
        <v>0</v>
      </c>
      <c r="BH194" s="2897">
        <f t="shared" si="132"/>
        <v>0</v>
      </c>
      <c r="BI194" s="2897">
        <f t="shared" si="133"/>
        <v>0</v>
      </c>
      <c r="BJ194" s="2897">
        <f t="shared" si="134"/>
        <v>0</v>
      </c>
      <c r="BK194" s="2897">
        <f t="shared" si="135"/>
        <v>0</v>
      </c>
      <c r="BL194" s="2897">
        <f t="shared" si="136"/>
        <v>0</v>
      </c>
      <c r="BM194" s="2897">
        <f t="shared" si="137"/>
        <v>0</v>
      </c>
      <c r="BN194" s="2897">
        <f t="shared" si="138"/>
        <v>0</v>
      </c>
      <c r="BO194" s="2897">
        <f t="shared" si="139"/>
        <v>0</v>
      </c>
      <c r="BP194" s="2897">
        <f t="shared" si="140"/>
        <v>0</v>
      </c>
      <c r="BQ194" s="2897">
        <f t="shared" si="141"/>
        <v>0</v>
      </c>
      <c r="BR194" s="2897">
        <f t="shared" si="142"/>
        <v>0</v>
      </c>
      <c r="BS194" s="2897">
        <f t="shared" si="143"/>
        <v>0</v>
      </c>
      <c r="BT194" s="2971">
        <f t="shared" si="144"/>
        <v>0</v>
      </c>
    </row>
    <row r="195" spans="1:72">
      <c r="A195" s="2894"/>
      <c r="B195" s="2895"/>
      <c r="C195" s="2895"/>
      <c r="D195" s="2907"/>
      <c r="E195" s="2897">
        <f t="shared" si="145"/>
        <v>0</v>
      </c>
      <c r="F195" s="2898"/>
      <c r="G195" s="2899">
        <f t="shared" si="120"/>
        <v>0</v>
      </c>
      <c r="H195" s="2900">
        <f t="shared" si="121"/>
        <v>0</v>
      </c>
      <c r="I195" s="2918"/>
      <c r="J195" s="2918"/>
      <c r="K195" s="2918"/>
      <c r="L195" s="2918"/>
      <c r="M195" s="2918"/>
      <c r="N195" s="2918"/>
      <c r="O195" s="2918"/>
      <c r="P195" s="2918"/>
      <c r="Q195" s="2918"/>
      <c r="R195" s="2918"/>
      <c r="S195" s="2918"/>
      <c r="T195" s="2918"/>
      <c r="U195" s="2918"/>
      <c r="V195" s="2918"/>
      <c r="W195" s="2918"/>
      <c r="X195" s="2918"/>
      <c r="Y195" s="2918"/>
      <c r="Z195" s="2918"/>
      <c r="AA195" s="2918"/>
      <c r="AB195" s="2918"/>
      <c r="AC195" s="2897">
        <f t="shared" si="122"/>
        <v>0</v>
      </c>
      <c r="AD195" s="2929"/>
      <c r="AE195" s="2929"/>
      <c r="AF195" s="2929"/>
      <c r="AG195" s="2929"/>
      <c r="AH195" s="2929"/>
      <c r="AI195" s="2929"/>
      <c r="AJ195" s="2929"/>
      <c r="AK195" s="2929"/>
      <c r="AL195" s="2929"/>
      <c r="AM195" s="2929"/>
      <c r="AN195" s="2929"/>
      <c r="AO195" s="2929"/>
      <c r="AP195" s="2929"/>
      <c r="AQ195" s="2929"/>
      <c r="AR195" s="2929"/>
      <c r="AS195" s="2929"/>
      <c r="AT195" s="2949"/>
      <c r="AU195" s="2950"/>
      <c r="AV195" s="454">
        <f t="shared" si="146"/>
        <v>0</v>
      </c>
      <c r="AW195" s="454">
        <f t="shared" si="147"/>
        <v>0</v>
      </c>
      <c r="AX195" s="454">
        <f t="shared" si="148"/>
        <v>0</v>
      </c>
      <c r="AY195" s="2966">
        <f t="shared" si="123"/>
        <v>0</v>
      </c>
      <c r="AZ195" s="2897">
        <f t="shared" si="124"/>
        <v>0</v>
      </c>
      <c r="BA195" s="2897">
        <f t="shared" si="125"/>
        <v>0</v>
      </c>
      <c r="BB195" s="2897">
        <f t="shared" si="126"/>
        <v>0</v>
      </c>
      <c r="BC195" s="2897">
        <f t="shared" si="127"/>
        <v>0</v>
      </c>
      <c r="BD195" s="2897">
        <f t="shared" si="128"/>
        <v>0</v>
      </c>
      <c r="BE195" s="2897">
        <f t="shared" si="129"/>
        <v>0</v>
      </c>
      <c r="BF195" s="2897">
        <f t="shared" si="130"/>
        <v>0</v>
      </c>
      <c r="BG195" s="2897">
        <f t="shared" si="131"/>
        <v>0</v>
      </c>
      <c r="BH195" s="2897">
        <f t="shared" si="132"/>
        <v>0</v>
      </c>
      <c r="BI195" s="2897">
        <f t="shared" si="133"/>
        <v>0</v>
      </c>
      <c r="BJ195" s="2897">
        <f t="shared" si="134"/>
        <v>0</v>
      </c>
      <c r="BK195" s="2897">
        <f t="shared" si="135"/>
        <v>0</v>
      </c>
      <c r="BL195" s="2897">
        <f t="shared" si="136"/>
        <v>0</v>
      </c>
      <c r="BM195" s="2897">
        <f t="shared" si="137"/>
        <v>0</v>
      </c>
      <c r="BN195" s="2897">
        <f t="shared" si="138"/>
        <v>0</v>
      </c>
      <c r="BO195" s="2897">
        <f t="shared" si="139"/>
        <v>0</v>
      </c>
      <c r="BP195" s="2897">
        <f t="shared" si="140"/>
        <v>0</v>
      </c>
      <c r="BQ195" s="2897">
        <f t="shared" si="141"/>
        <v>0</v>
      </c>
      <c r="BR195" s="2897">
        <f t="shared" si="142"/>
        <v>0</v>
      </c>
      <c r="BS195" s="2897">
        <f t="shared" si="143"/>
        <v>0</v>
      </c>
      <c r="BT195" s="2971">
        <f t="shared" si="144"/>
        <v>0</v>
      </c>
    </row>
    <row r="196" spans="1:72">
      <c r="A196" s="2894"/>
      <c r="B196" s="2895"/>
      <c r="C196" s="2895"/>
      <c r="D196" s="2907"/>
      <c r="E196" s="2897">
        <f t="shared" si="145"/>
        <v>0</v>
      </c>
      <c r="F196" s="2898"/>
      <c r="G196" s="2899">
        <f t="shared" si="120"/>
        <v>0</v>
      </c>
      <c r="H196" s="2900">
        <f t="shared" si="121"/>
        <v>0</v>
      </c>
      <c r="I196" s="2918"/>
      <c r="J196" s="2918"/>
      <c r="K196" s="2918"/>
      <c r="L196" s="2918"/>
      <c r="M196" s="2918"/>
      <c r="N196" s="2918"/>
      <c r="O196" s="2918"/>
      <c r="P196" s="2918"/>
      <c r="Q196" s="2918"/>
      <c r="R196" s="2918"/>
      <c r="S196" s="2918"/>
      <c r="T196" s="2918"/>
      <c r="U196" s="2918"/>
      <c r="V196" s="2918"/>
      <c r="W196" s="2918"/>
      <c r="X196" s="2918"/>
      <c r="Y196" s="2918"/>
      <c r="Z196" s="2918"/>
      <c r="AA196" s="2918"/>
      <c r="AB196" s="2918"/>
      <c r="AC196" s="2897">
        <f t="shared" si="122"/>
        <v>0</v>
      </c>
      <c r="AD196" s="2929"/>
      <c r="AE196" s="2929"/>
      <c r="AF196" s="2929"/>
      <c r="AG196" s="2929"/>
      <c r="AH196" s="2929"/>
      <c r="AI196" s="2929"/>
      <c r="AJ196" s="2929"/>
      <c r="AK196" s="2929"/>
      <c r="AL196" s="2929"/>
      <c r="AM196" s="2929"/>
      <c r="AN196" s="2929"/>
      <c r="AO196" s="2929"/>
      <c r="AP196" s="2929"/>
      <c r="AQ196" s="2929"/>
      <c r="AR196" s="2929"/>
      <c r="AS196" s="2929"/>
      <c r="AT196" s="2949"/>
      <c r="AU196" s="2950"/>
      <c r="AV196" s="454">
        <f t="shared" si="146"/>
        <v>0</v>
      </c>
      <c r="AW196" s="454">
        <f t="shared" si="147"/>
        <v>0</v>
      </c>
      <c r="AX196" s="454">
        <f t="shared" si="148"/>
        <v>0</v>
      </c>
      <c r="AY196" s="2966">
        <f t="shared" si="123"/>
        <v>0</v>
      </c>
      <c r="AZ196" s="2897">
        <f t="shared" si="124"/>
        <v>0</v>
      </c>
      <c r="BA196" s="2897">
        <f t="shared" si="125"/>
        <v>0</v>
      </c>
      <c r="BB196" s="2897">
        <f t="shared" si="126"/>
        <v>0</v>
      </c>
      <c r="BC196" s="2897">
        <f t="shared" si="127"/>
        <v>0</v>
      </c>
      <c r="BD196" s="2897">
        <f t="shared" si="128"/>
        <v>0</v>
      </c>
      <c r="BE196" s="2897">
        <f t="shared" si="129"/>
        <v>0</v>
      </c>
      <c r="BF196" s="2897">
        <f t="shared" si="130"/>
        <v>0</v>
      </c>
      <c r="BG196" s="2897">
        <f t="shared" si="131"/>
        <v>0</v>
      </c>
      <c r="BH196" s="2897">
        <f t="shared" si="132"/>
        <v>0</v>
      </c>
      <c r="BI196" s="2897">
        <f t="shared" si="133"/>
        <v>0</v>
      </c>
      <c r="BJ196" s="2897">
        <f t="shared" si="134"/>
        <v>0</v>
      </c>
      <c r="BK196" s="2897">
        <f t="shared" si="135"/>
        <v>0</v>
      </c>
      <c r="BL196" s="2897">
        <f t="shared" si="136"/>
        <v>0</v>
      </c>
      <c r="BM196" s="2897">
        <f t="shared" si="137"/>
        <v>0</v>
      </c>
      <c r="BN196" s="2897">
        <f t="shared" si="138"/>
        <v>0</v>
      </c>
      <c r="BO196" s="2897">
        <f t="shared" si="139"/>
        <v>0</v>
      </c>
      <c r="BP196" s="2897">
        <f t="shared" si="140"/>
        <v>0</v>
      </c>
      <c r="BQ196" s="2897">
        <f t="shared" si="141"/>
        <v>0</v>
      </c>
      <c r="BR196" s="2897">
        <f t="shared" si="142"/>
        <v>0</v>
      </c>
      <c r="BS196" s="2897">
        <f t="shared" si="143"/>
        <v>0</v>
      </c>
      <c r="BT196" s="2971">
        <f t="shared" si="144"/>
        <v>0</v>
      </c>
    </row>
    <row r="197" spans="1:72">
      <c r="A197" s="2894"/>
      <c r="B197" s="2895"/>
      <c r="C197" s="2895"/>
      <c r="D197" s="2907"/>
      <c r="E197" s="2897">
        <f t="shared" si="145"/>
        <v>0</v>
      </c>
      <c r="F197" s="2898"/>
      <c r="G197" s="2899">
        <f t="shared" si="120"/>
        <v>0</v>
      </c>
      <c r="H197" s="2900">
        <f t="shared" si="121"/>
        <v>0</v>
      </c>
      <c r="I197" s="2918"/>
      <c r="J197" s="2918"/>
      <c r="K197" s="2918"/>
      <c r="L197" s="2918"/>
      <c r="M197" s="2918"/>
      <c r="N197" s="2918"/>
      <c r="O197" s="2918"/>
      <c r="P197" s="2918"/>
      <c r="Q197" s="2918"/>
      <c r="R197" s="2918"/>
      <c r="S197" s="2918"/>
      <c r="T197" s="2918"/>
      <c r="U197" s="2918"/>
      <c r="V197" s="2918"/>
      <c r="W197" s="2918"/>
      <c r="X197" s="2918"/>
      <c r="Y197" s="2918"/>
      <c r="Z197" s="2918"/>
      <c r="AA197" s="2918"/>
      <c r="AB197" s="2918"/>
      <c r="AC197" s="2897">
        <f t="shared" si="122"/>
        <v>0</v>
      </c>
      <c r="AD197" s="2929"/>
      <c r="AE197" s="2929"/>
      <c r="AF197" s="2929"/>
      <c r="AG197" s="2929"/>
      <c r="AH197" s="2929"/>
      <c r="AI197" s="2929"/>
      <c r="AJ197" s="2929"/>
      <c r="AK197" s="2929"/>
      <c r="AL197" s="2929"/>
      <c r="AM197" s="2929"/>
      <c r="AN197" s="2929"/>
      <c r="AO197" s="2929"/>
      <c r="AP197" s="2929"/>
      <c r="AQ197" s="2929"/>
      <c r="AR197" s="2929"/>
      <c r="AS197" s="2929"/>
      <c r="AT197" s="2949"/>
      <c r="AU197" s="2950"/>
      <c r="AV197" s="454">
        <f t="shared" si="146"/>
        <v>0</v>
      </c>
      <c r="AW197" s="454">
        <f t="shared" si="147"/>
        <v>0</v>
      </c>
      <c r="AX197" s="454">
        <f t="shared" si="148"/>
        <v>0</v>
      </c>
      <c r="AY197" s="2966">
        <f t="shared" si="123"/>
        <v>0</v>
      </c>
      <c r="AZ197" s="2897">
        <f t="shared" si="124"/>
        <v>0</v>
      </c>
      <c r="BA197" s="2897">
        <f t="shared" si="125"/>
        <v>0</v>
      </c>
      <c r="BB197" s="2897">
        <f t="shared" si="126"/>
        <v>0</v>
      </c>
      <c r="BC197" s="2897">
        <f t="shared" si="127"/>
        <v>0</v>
      </c>
      <c r="BD197" s="2897">
        <f t="shared" si="128"/>
        <v>0</v>
      </c>
      <c r="BE197" s="2897">
        <f t="shared" si="129"/>
        <v>0</v>
      </c>
      <c r="BF197" s="2897">
        <f t="shared" si="130"/>
        <v>0</v>
      </c>
      <c r="BG197" s="2897">
        <f t="shared" si="131"/>
        <v>0</v>
      </c>
      <c r="BH197" s="2897">
        <f t="shared" si="132"/>
        <v>0</v>
      </c>
      <c r="BI197" s="2897">
        <f t="shared" si="133"/>
        <v>0</v>
      </c>
      <c r="BJ197" s="2897">
        <f t="shared" si="134"/>
        <v>0</v>
      </c>
      <c r="BK197" s="2897">
        <f t="shared" si="135"/>
        <v>0</v>
      </c>
      <c r="BL197" s="2897">
        <f t="shared" si="136"/>
        <v>0</v>
      </c>
      <c r="BM197" s="2897">
        <f t="shared" si="137"/>
        <v>0</v>
      </c>
      <c r="BN197" s="2897">
        <f t="shared" si="138"/>
        <v>0</v>
      </c>
      <c r="BO197" s="2897">
        <f t="shared" si="139"/>
        <v>0</v>
      </c>
      <c r="BP197" s="2897">
        <f t="shared" si="140"/>
        <v>0</v>
      </c>
      <c r="BQ197" s="2897">
        <f t="shared" si="141"/>
        <v>0</v>
      </c>
      <c r="BR197" s="2897">
        <f t="shared" si="142"/>
        <v>0</v>
      </c>
      <c r="BS197" s="2897">
        <f t="shared" si="143"/>
        <v>0</v>
      </c>
      <c r="BT197" s="2971">
        <f t="shared" si="144"/>
        <v>0</v>
      </c>
    </row>
    <row r="198" spans="1:72">
      <c r="A198" s="2894"/>
      <c r="B198" s="2895"/>
      <c r="C198" s="2895"/>
      <c r="D198" s="2907"/>
      <c r="E198" s="2897">
        <f t="shared" si="145"/>
        <v>0</v>
      </c>
      <c r="F198" s="2898"/>
      <c r="G198" s="2899">
        <f t="shared" si="120"/>
        <v>0</v>
      </c>
      <c r="H198" s="2900">
        <f t="shared" si="121"/>
        <v>0</v>
      </c>
      <c r="I198" s="2918"/>
      <c r="J198" s="2918"/>
      <c r="K198" s="2918"/>
      <c r="L198" s="2918"/>
      <c r="M198" s="2918"/>
      <c r="N198" s="2918"/>
      <c r="O198" s="2918"/>
      <c r="P198" s="2918"/>
      <c r="Q198" s="2918"/>
      <c r="R198" s="2918"/>
      <c r="S198" s="2918"/>
      <c r="T198" s="2918"/>
      <c r="U198" s="2918"/>
      <c r="V198" s="2918"/>
      <c r="W198" s="2918"/>
      <c r="X198" s="2918"/>
      <c r="Y198" s="2918"/>
      <c r="Z198" s="2918"/>
      <c r="AA198" s="2918"/>
      <c r="AB198" s="2918"/>
      <c r="AC198" s="2897">
        <f t="shared" si="122"/>
        <v>0</v>
      </c>
      <c r="AD198" s="2929"/>
      <c r="AE198" s="2929"/>
      <c r="AF198" s="2929"/>
      <c r="AG198" s="2929"/>
      <c r="AH198" s="2929"/>
      <c r="AI198" s="2929"/>
      <c r="AJ198" s="2929"/>
      <c r="AK198" s="2929"/>
      <c r="AL198" s="2929"/>
      <c r="AM198" s="2929"/>
      <c r="AN198" s="2929"/>
      <c r="AO198" s="2929"/>
      <c r="AP198" s="2929"/>
      <c r="AQ198" s="2929"/>
      <c r="AR198" s="2929"/>
      <c r="AS198" s="2929"/>
      <c r="AT198" s="2949"/>
      <c r="AU198" s="2950"/>
      <c r="AV198" s="454">
        <f t="shared" si="146"/>
        <v>0</v>
      </c>
      <c r="AW198" s="454">
        <f t="shared" si="147"/>
        <v>0</v>
      </c>
      <c r="AX198" s="454">
        <f t="shared" si="148"/>
        <v>0</v>
      </c>
      <c r="AY198" s="2966">
        <f t="shared" si="123"/>
        <v>0</v>
      </c>
      <c r="AZ198" s="2897">
        <f t="shared" si="124"/>
        <v>0</v>
      </c>
      <c r="BA198" s="2897">
        <f t="shared" si="125"/>
        <v>0</v>
      </c>
      <c r="BB198" s="2897">
        <f t="shared" si="126"/>
        <v>0</v>
      </c>
      <c r="BC198" s="2897">
        <f t="shared" si="127"/>
        <v>0</v>
      </c>
      <c r="BD198" s="2897">
        <f t="shared" si="128"/>
        <v>0</v>
      </c>
      <c r="BE198" s="2897">
        <f t="shared" si="129"/>
        <v>0</v>
      </c>
      <c r="BF198" s="2897">
        <f t="shared" si="130"/>
        <v>0</v>
      </c>
      <c r="BG198" s="2897">
        <f t="shared" si="131"/>
        <v>0</v>
      </c>
      <c r="BH198" s="2897">
        <f t="shared" si="132"/>
        <v>0</v>
      </c>
      <c r="BI198" s="2897">
        <f t="shared" si="133"/>
        <v>0</v>
      </c>
      <c r="BJ198" s="2897">
        <f t="shared" si="134"/>
        <v>0</v>
      </c>
      <c r="BK198" s="2897">
        <f t="shared" si="135"/>
        <v>0</v>
      </c>
      <c r="BL198" s="2897">
        <f t="shared" si="136"/>
        <v>0</v>
      </c>
      <c r="BM198" s="2897">
        <f t="shared" si="137"/>
        <v>0</v>
      </c>
      <c r="BN198" s="2897">
        <f t="shared" si="138"/>
        <v>0</v>
      </c>
      <c r="BO198" s="2897">
        <f t="shared" si="139"/>
        <v>0</v>
      </c>
      <c r="BP198" s="2897">
        <f t="shared" si="140"/>
        <v>0</v>
      </c>
      <c r="BQ198" s="2897">
        <f t="shared" si="141"/>
        <v>0</v>
      </c>
      <c r="BR198" s="2897">
        <f t="shared" si="142"/>
        <v>0</v>
      </c>
      <c r="BS198" s="2897">
        <f t="shared" si="143"/>
        <v>0</v>
      </c>
      <c r="BT198" s="2971">
        <f t="shared" si="144"/>
        <v>0</v>
      </c>
    </row>
    <row r="199" spans="1:72">
      <c r="A199" s="2894"/>
      <c r="B199" s="2895"/>
      <c r="C199" s="2895"/>
      <c r="D199" s="2907"/>
      <c r="E199" s="2897">
        <f t="shared" si="145"/>
        <v>0</v>
      </c>
      <c r="F199" s="2898"/>
      <c r="G199" s="2899">
        <f t="shared" si="120"/>
        <v>0</v>
      </c>
      <c r="H199" s="2900">
        <f t="shared" si="121"/>
        <v>0</v>
      </c>
      <c r="I199" s="2918"/>
      <c r="J199" s="2918"/>
      <c r="K199" s="2918"/>
      <c r="L199" s="2918"/>
      <c r="M199" s="2918"/>
      <c r="N199" s="2918"/>
      <c r="O199" s="2918"/>
      <c r="P199" s="2918"/>
      <c r="Q199" s="2918"/>
      <c r="R199" s="2918"/>
      <c r="S199" s="2918"/>
      <c r="T199" s="2918"/>
      <c r="U199" s="2918"/>
      <c r="V199" s="2918"/>
      <c r="W199" s="2918"/>
      <c r="X199" s="2918"/>
      <c r="Y199" s="2918"/>
      <c r="Z199" s="2918"/>
      <c r="AA199" s="2918"/>
      <c r="AB199" s="2918"/>
      <c r="AC199" s="2897">
        <f t="shared" si="122"/>
        <v>0</v>
      </c>
      <c r="AD199" s="2929"/>
      <c r="AE199" s="2929"/>
      <c r="AF199" s="2929"/>
      <c r="AG199" s="2929"/>
      <c r="AH199" s="2929"/>
      <c r="AI199" s="2929"/>
      <c r="AJ199" s="2929"/>
      <c r="AK199" s="2929"/>
      <c r="AL199" s="2929"/>
      <c r="AM199" s="2929"/>
      <c r="AN199" s="2929"/>
      <c r="AO199" s="2929"/>
      <c r="AP199" s="2929"/>
      <c r="AQ199" s="2929"/>
      <c r="AR199" s="2929"/>
      <c r="AS199" s="2929"/>
      <c r="AT199" s="2949"/>
      <c r="AU199" s="2950"/>
      <c r="AV199" s="454">
        <f t="shared" si="146"/>
        <v>0</v>
      </c>
      <c r="AW199" s="454">
        <f t="shared" si="147"/>
        <v>0</v>
      </c>
      <c r="AX199" s="454">
        <f t="shared" si="148"/>
        <v>0</v>
      </c>
      <c r="AY199" s="2966">
        <f t="shared" si="123"/>
        <v>0</v>
      </c>
      <c r="AZ199" s="2897">
        <f t="shared" si="124"/>
        <v>0</v>
      </c>
      <c r="BA199" s="2897">
        <f t="shared" si="125"/>
        <v>0</v>
      </c>
      <c r="BB199" s="2897">
        <f t="shared" si="126"/>
        <v>0</v>
      </c>
      <c r="BC199" s="2897">
        <f t="shared" si="127"/>
        <v>0</v>
      </c>
      <c r="BD199" s="2897">
        <f t="shared" si="128"/>
        <v>0</v>
      </c>
      <c r="BE199" s="2897">
        <f t="shared" si="129"/>
        <v>0</v>
      </c>
      <c r="BF199" s="2897">
        <f t="shared" si="130"/>
        <v>0</v>
      </c>
      <c r="BG199" s="2897">
        <f t="shared" si="131"/>
        <v>0</v>
      </c>
      <c r="BH199" s="2897">
        <f t="shared" si="132"/>
        <v>0</v>
      </c>
      <c r="BI199" s="2897">
        <f t="shared" si="133"/>
        <v>0</v>
      </c>
      <c r="BJ199" s="2897">
        <f t="shared" si="134"/>
        <v>0</v>
      </c>
      <c r="BK199" s="2897">
        <f t="shared" si="135"/>
        <v>0</v>
      </c>
      <c r="BL199" s="2897">
        <f t="shared" si="136"/>
        <v>0</v>
      </c>
      <c r="BM199" s="2897">
        <f t="shared" si="137"/>
        <v>0</v>
      </c>
      <c r="BN199" s="2897">
        <f t="shared" si="138"/>
        <v>0</v>
      </c>
      <c r="BO199" s="2897">
        <f t="shared" si="139"/>
        <v>0</v>
      </c>
      <c r="BP199" s="2897">
        <f t="shared" si="140"/>
        <v>0</v>
      </c>
      <c r="BQ199" s="2897">
        <f t="shared" si="141"/>
        <v>0</v>
      </c>
      <c r="BR199" s="2897">
        <f t="shared" si="142"/>
        <v>0</v>
      </c>
      <c r="BS199" s="2897">
        <f t="shared" si="143"/>
        <v>0</v>
      </c>
      <c r="BT199" s="2971">
        <f t="shared" si="144"/>
        <v>0</v>
      </c>
    </row>
    <row r="200" spans="1:72">
      <c r="A200" s="2894"/>
      <c r="B200" s="2895"/>
      <c r="C200" s="2895"/>
      <c r="D200" s="2907"/>
      <c r="E200" s="2897">
        <f t="shared" si="145"/>
        <v>0</v>
      </c>
      <c r="F200" s="2898"/>
      <c r="G200" s="2899">
        <f t="shared" si="120"/>
        <v>0</v>
      </c>
      <c r="H200" s="2900">
        <f t="shared" si="121"/>
        <v>0</v>
      </c>
      <c r="I200" s="2918"/>
      <c r="J200" s="2918"/>
      <c r="K200" s="2918"/>
      <c r="L200" s="2918"/>
      <c r="M200" s="2918"/>
      <c r="N200" s="2918"/>
      <c r="O200" s="2918"/>
      <c r="P200" s="2918"/>
      <c r="Q200" s="2918"/>
      <c r="R200" s="2918"/>
      <c r="S200" s="2918"/>
      <c r="T200" s="2918"/>
      <c r="U200" s="2918"/>
      <c r="V200" s="2918"/>
      <c r="W200" s="2918"/>
      <c r="X200" s="2918"/>
      <c r="Y200" s="2918"/>
      <c r="Z200" s="2918"/>
      <c r="AA200" s="2918"/>
      <c r="AB200" s="2918"/>
      <c r="AC200" s="2897">
        <f t="shared" si="122"/>
        <v>0</v>
      </c>
      <c r="AD200" s="2929"/>
      <c r="AE200" s="2929"/>
      <c r="AF200" s="2929"/>
      <c r="AG200" s="2929"/>
      <c r="AH200" s="2929"/>
      <c r="AI200" s="2929"/>
      <c r="AJ200" s="2929"/>
      <c r="AK200" s="2929"/>
      <c r="AL200" s="2929"/>
      <c r="AM200" s="2929"/>
      <c r="AN200" s="2929"/>
      <c r="AO200" s="2929"/>
      <c r="AP200" s="2929"/>
      <c r="AQ200" s="2929"/>
      <c r="AR200" s="2929"/>
      <c r="AS200" s="2929"/>
      <c r="AT200" s="2949"/>
      <c r="AU200" s="2950"/>
      <c r="AV200" s="454">
        <f t="shared" si="146"/>
        <v>0</v>
      </c>
      <c r="AW200" s="454">
        <f t="shared" si="147"/>
        <v>0</v>
      </c>
      <c r="AX200" s="454">
        <f t="shared" si="148"/>
        <v>0</v>
      </c>
      <c r="AY200" s="2966">
        <f t="shared" si="123"/>
        <v>0</v>
      </c>
      <c r="AZ200" s="2897">
        <f t="shared" si="124"/>
        <v>0</v>
      </c>
      <c r="BA200" s="2897">
        <f t="shared" si="125"/>
        <v>0</v>
      </c>
      <c r="BB200" s="2897">
        <f t="shared" si="126"/>
        <v>0</v>
      </c>
      <c r="BC200" s="2897">
        <f t="shared" si="127"/>
        <v>0</v>
      </c>
      <c r="BD200" s="2897">
        <f t="shared" si="128"/>
        <v>0</v>
      </c>
      <c r="BE200" s="2897">
        <f t="shared" si="129"/>
        <v>0</v>
      </c>
      <c r="BF200" s="2897">
        <f t="shared" si="130"/>
        <v>0</v>
      </c>
      <c r="BG200" s="2897">
        <f t="shared" si="131"/>
        <v>0</v>
      </c>
      <c r="BH200" s="2897">
        <f t="shared" si="132"/>
        <v>0</v>
      </c>
      <c r="BI200" s="2897">
        <f t="shared" si="133"/>
        <v>0</v>
      </c>
      <c r="BJ200" s="2897">
        <f t="shared" si="134"/>
        <v>0</v>
      </c>
      <c r="BK200" s="2897">
        <f t="shared" si="135"/>
        <v>0</v>
      </c>
      <c r="BL200" s="2897">
        <f t="shared" si="136"/>
        <v>0</v>
      </c>
      <c r="BM200" s="2897">
        <f t="shared" si="137"/>
        <v>0</v>
      </c>
      <c r="BN200" s="2897">
        <f t="shared" si="138"/>
        <v>0</v>
      </c>
      <c r="BO200" s="2897">
        <f t="shared" si="139"/>
        <v>0</v>
      </c>
      <c r="BP200" s="2897">
        <f t="shared" si="140"/>
        <v>0</v>
      </c>
      <c r="BQ200" s="2897">
        <f t="shared" si="141"/>
        <v>0</v>
      </c>
      <c r="BR200" s="2897">
        <f t="shared" si="142"/>
        <v>0</v>
      </c>
      <c r="BS200" s="2897">
        <f t="shared" si="143"/>
        <v>0</v>
      </c>
      <c r="BT200" s="2971">
        <f t="shared" si="144"/>
        <v>0</v>
      </c>
    </row>
    <row r="201" spans="1:72">
      <c r="A201" s="2894"/>
      <c r="B201" s="2895"/>
      <c r="C201" s="2895"/>
      <c r="D201" s="2907"/>
      <c r="E201" s="2897">
        <f t="shared" si="145"/>
        <v>0</v>
      </c>
      <c r="F201" s="2898"/>
      <c r="G201" s="2899">
        <f t="shared" si="120"/>
        <v>0</v>
      </c>
      <c r="H201" s="2900">
        <f t="shared" si="121"/>
        <v>0</v>
      </c>
      <c r="I201" s="2918"/>
      <c r="J201" s="2918"/>
      <c r="K201" s="2918"/>
      <c r="L201" s="2918"/>
      <c r="M201" s="2918"/>
      <c r="N201" s="2918"/>
      <c r="O201" s="2918"/>
      <c r="P201" s="2918"/>
      <c r="Q201" s="2918"/>
      <c r="R201" s="2918"/>
      <c r="S201" s="2918"/>
      <c r="T201" s="2918"/>
      <c r="U201" s="2918"/>
      <c r="V201" s="2918"/>
      <c r="W201" s="2918"/>
      <c r="X201" s="2918"/>
      <c r="Y201" s="2918"/>
      <c r="Z201" s="2918"/>
      <c r="AA201" s="2918"/>
      <c r="AB201" s="2918"/>
      <c r="AC201" s="2897">
        <f t="shared" si="122"/>
        <v>0</v>
      </c>
      <c r="AD201" s="2929"/>
      <c r="AE201" s="2929"/>
      <c r="AF201" s="2929"/>
      <c r="AG201" s="2929"/>
      <c r="AH201" s="2929"/>
      <c r="AI201" s="2929"/>
      <c r="AJ201" s="2929"/>
      <c r="AK201" s="2929"/>
      <c r="AL201" s="2929"/>
      <c r="AM201" s="2929"/>
      <c r="AN201" s="2929"/>
      <c r="AO201" s="2929"/>
      <c r="AP201" s="2929"/>
      <c r="AQ201" s="2929"/>
      <c r="AR201" s="2929"/>
      <c r="AS201" s="2929"/>
      <c r="AT201" s="2949"/>
      <c r="AU201" s="2950"/>
      <c r="AV201" s="454">
        <f t="shared" si="146"/>
        <v>0</v>
      </c>
      <c r="AW201" s="454">
        <f t="shared" si="147"/>
        <v>0</v>
      </c>
      <c r="AX201" s="454">
        <f t="shared" si="148"/>
        <v>0</v>
      </c>
      <c r="AY201" s="2966">
        <f t="shared" si="123"/>
        <v>0</v>
      </c>
      <c r="AZ201" s="2897">
        <f t="shared" si="124"/>
        <v>0</v>
      </c>
      <c r="BA201" s="2897">
        <f t="shared" si="125"/>
        <v>0</v>
      </c>
      <c r="BB201" s="2897">
        <f t="shared" si="126"/>
        <v>0</v>
      </c>
      <c r="BC201" s="2897">
        <f t="shared" si="127"/>
        <v>0</v>
      </c>
      <c r="BD201" s="2897">
        <f t="shared" si="128"/>
        <v>0</v>
      </c>
      <c r="BE201" s="2897">
        <f t="shared" si="129"/>
        <v>0</v>
      </c>
      <c r="BF201" s="2897">
        <f t="shared" si="130"/>
        <v>0</v>
      </c>
      <c r="BG201" s="2897">
        <f t="shared" si="131"/>
        <v>0</v>
      </c>
      <c r="BH201" s="2897">
        <f t="shared" si="132"/>
        <v>0</v>
      </c>
      <c r="BI201" s="2897">
        <f t="shared" si="133"/>
        <v>0</v>
      </c>
      <c r="BJ201" s="2897">
        <f t="shared" si="134"/>
        <v>0</v>
      </c>
      <c r="BK201" s="2897">
        <f t="shared" si="135"/>
        <v>0</v>
      </c>
      <c r="BL201" s="2897">
        <f t="shared" si="136"/>
        <v>0</v>
      </c>
      <c r="BM201" s="2897">
        <f t="shared" si="137"/>
        <v>0</v>
      </c>
      <c r="BN201" s="2897">
        <f t="shared" si="138"/>
        <v>0</v>
      </c>
      <c r="BO201" s="2897">
        <f t="shared" si="139"/>
        <v>0</v>
      </c>
      <c r="BP201" s="2897">
        <f t="shared" si="140"/>
        <v>0</v>
      </c>
      <c r="BQ201" s="2897">
        <f t="shared" si="141"/>
        <v>0</v>
      </c>
      <c r="BR201" s="2897">
        <f t="shared" si="142"/>
        <v>0</v>
      </c>
      <c r="BS201" s="2897">
        <f t="shared" si="143"/>
        <v>0</v>
      </c>
      <c r="BT201" s="2971">
        <f t="shared" si="144"/>
        <v>0</v>
      </c>
    </row>
    <row r="202" spans="1:72">
      <c r="A202" s="2894"/>
      <c r="B202" s="2894"/>
      <c r="C202" s="2894"/>
      <c r="D202" s="2907"/>
      <c r="E202" s="2897">
        <f t="shared" si="145"/>
        <v>0</v>
      </c>
      <c r="F202" s="2972"/>
      <c r="G202" s="2899">
        <f t="shared" si="120"/>
        <v>0</v>
      </c>
      <c r="H202" s="2900">
        <f t="shared" si="121"/>
        <v>0</v>
      </c>
      <c r="I202" s="2973"/>
      <c r="J202" s="2973"/>
      <c r="K202" s="2918"/>
      <c r="L202" s="2918"/>
      <c r="M202" s="2918"/>
      <c r="N202" s="2918"/>
      <c r="O202" s="2918"/>
      <c r="P202" s="2918"/>
      <c r="Q202" s="2918"/>
      <c r="R202" s="2918"/>
      <c r="S202" s="2918"/>
      <c r="T202" s="2918"/>
      <c r="U202" s="2918"/>
      <c r="V202" s="2918"/>
      <c r="W202" s="2918"/>
      <c r="X202" s="2918"/>
      <c r="Y202" s="2918"/>
      <c r="Z202" s="2918"/>
      <c r="AA202" s="2918"/>
      <c r="AB202" s="2918"/>
      <c r="AC202" s="2897">
        <f t="shared" si="122"/>
        <v>0</v>
      </c>
      <c r="AD202" s="2929"/>
      <c r="AE202" s="2929"/>
      <c r="AF202" s="2929"/>
      <c r="AG202" s="2929"/>
      <c r="AH202" s="2929"/>
      <c r="AI202" s="2929"/>
      <c r="AJ202" s="2929"/>
      <c r="AK202" s="2929"/>
      <c r="AL202" s="2929"/>
      <c r="AM202" s="2929"/>
      <c r="AN202" s="2929"/>
      <c r="AO202" s="2929"/>
      <c r="AP202" s="2929"/>
      <c r="AQ202" s="2929"/>
      <c r="AR202" s="2929"/>
      <c r="AS202" s="2929"/>
      <c r="AT202" s="2929"/>
      <c r="AU202" s="2974"/>
      <c r="AV202" s="454">
        <f t="shared" si="146"/>
        <v>0</v>
      </c>
      <c r="AW202" s="454">
        <f t="shared" si="147"/>
        <v>0</v>
      </c>
      <c r="AX202" s="454">
        <f t="shared" si="148"/>
        <v>0</v>
      </c>
      <c r="AY202" s="2966">
        <f t="shared" si="123"/>
        <v>0</v>
      </c>
      <c r="AZ202" s="2897">
        <f t="shared" si="124"/>
        <v>0</v>
      </c>
      <c r="BA202" s="2897">
        <f t="shared" si="125"/>
        <v>0</v>
      </c>
      <c r="BB202" s="2897">
        <f t="shared" si="126"/>
        <v>0</v>
      </c>
      <c r="BC202" s="2897">
        <f t="shared" si="127"/>
        <v>0</v>
      </c>
      <c r="BD202" s="2897">
        <f t="shared" si="128"/>
        <v>0</v>
      </c>
      <c r="BE202" s="2897">
        <f t="shared" si="129"/>
        <v>0</v>
      </c>
      <c r="BF202" s="2897">
        <f t="shared" si="130"/>
        <v>0</v>
      </c>
      <c r="BG202" s="2897">
        <f t="shared" si="131"/>
        <v>0</v>
      </c>
      <c r="BH202" s="2897">
        <f t="shared" si="132"/>
        <v>0</v>
      </c>
      <c r="BI202" s="2897">
        <f t="shared" si="133"/>
        <v>0</v>
      </c>
      <c r="BJ202" s="2897">
        <f t="shared" si="134"/>
        <v>0</v>
      </c>
      <c r="BK202" s="2897">
        <f t="shared" si="135"/>
        <v>0</v>
      </c>
      <c r="BL202" s="2897">
        <f t="shared" si="136"/>
        <v>0</v>
      </c>
      <c r="BM202" s="2897">
        <f t="shared" si="137"/>
        <v>0</v>
      </c>
      <c r="BN202" s="2897">
        <f t="shared" si="138"/>
        <v>0</v>
      </c>
      <c r="BO202" s="2897">
        <f t="shared" si="139"/>
        <v>0</v>
      </c>
      <c r="BP202" s="2897">
        <f t="shared" si="140"/>
        <v>0</v>
      </c>
      <c r="BQ202" s="2897">
        <f t="shared" si="141"/>
        <v>0</v>
      </c>
      <c r="BR202" s="2897">
        <f t="shared" si="142"/>
        <v>0</v>
      </c>
      <c r="BS202" s="2897">
        <f t="shared" si="143"/>
        <v>0</v>
      </c>
      <c r="BT202" s="2971">
        <f t="shared" si="144"/>
        <v>0</v>
      </c>
    </row>
    <row r="203" spans="1:72">
      <c r="A203" s="2894"/>
      <c r="B203" s="2894"/>
      <c r="C203" s="2894"/>
      <c r="D203" s="2907"/>
      <c r="E203" s="2897">
        <f t="shared" si="145"/>
        <v>0</v>
      </c>
      <c r="F203" s="2972"/>
      <c r="G203" s="2899">
        <f t="shared" si="120"/>
        <v>0</v>
      </c>
      <c r="H203" s="2900">
        <f t="shared" si="121"/>
        <v>0</v>
      </c>
      <c r="I203" s="2918"/>
      <c r="J203" s="2918"/>
      <c r="K203" s="2918"/>
      <c r="L203" s="2918"/>
      <c r="M203" s="2918"/>
      <c r="N203" s="2918"/>
      <c r="O203" s="2918"/>
      <c r="P203" s="2918"/>
      <c r="Q203" s="2918"/>
      <c r="R203" s="2918"/>
      <c r="S203" s="2918"/>
      <c r="T203" s="2918"/>
      <c r="U203" s="2918"/>
      <c r="V203" s="2918"/>
      <c r="W203" s="2918"/>
      <c r="X203" s="2918"/>
      <c r="Y203" s="2918"/>
      <c r="Z203" s="2918"/>
      <c r="AA203" s="2918"/>
      <c r="AB203" s="2918"/>
      <c r="AC203" s="2897">
        <f t="shared" si="122"/>
        <v>0</v>
      </c>
      <c r="AD203" s="2929"/>
      <c r="AE203" s="2929"/>
      <c r="AF203" s="2929"/>
      <c r="AG203" s="2929"/>
      <c r="AH203" s="2929"/>
      <c r="AI203" s="2929"/>
      <c r="AJ203" s="2929"/>
      <c r="AK203" s="2929"/>
      <c r="AL203" s="2929"/>
      <c r="AM203" s="2929"/>
      <c r="AN203" s="2929"/>
      <c r="AO203" s="2929"/>
      <c r="AP203" s="2929"/>
      <c r="AQ203" s="2929"/>
      <c r="AR203" s="2929"/>
      <c r="AS203" s="2929"/>
      <c r="AT203" s="2929"/>
      <c r="AU203" s="2974"/>
      <c r="AV203" s="454">
        <f t="shared" si="146"/>
        <v>0</v>
      </c>
      <c r="AW203" s="454">
        <f t="shared" si="147"/>
        <v>0</v>
      </c>
      <c r="AX203" s="454">
        <f t="shared" si="148"/>
        <v>0</v>
      </c>
      <c r="AY203" s="2966">
        <f t="shared" si="123"/>
        <v>0</v>
      </c>
      <c r="AZ203" s="2897">
        <f t="shared" si="124"/>
        <v>0</v>
      </c>
      <c r="BA203" s="2897">
        <f t="shared" si="125"/>
        <v>0</v>
      </c>
      <c r="BB203" s="2897">
        <f t="shared" si="126"/>
        <v>0</v>
      </c>
      <c r="BC203" s="2897">
        <f t="shared" si="127"/>
        <v>0</v>
      </c>
      <c r="BD203" s="2897">
        <f t="shared" si="128"/>
        <v>0</v>
      </c>
      <c r="BE203" s="2897">
        <f t="shared" si="129"/>
        <v>0</v>
      </c>
      <c r="BF203" s="2897">
        <f t="shared" si="130"/>
        <v>0</v>
      </c>
      <c r="BG203" s="2897">
        <f t="shared" si="131"/>
        <v>0</v>
      </c>
      <c r="BH203" s="2897">
        <f t="shared" si="132"/>
        <v>0</v>
      </c>
      <c r="BI203" s="2897">
        <f t="shared" si="133"/>
        <v>0</v>
      </c>
      <c r="BJ203" s="2897">
        <f t="shared" si="134"/>
        <v>0</v>
      </c>
      <c r="BK203" s="2897">
        <f t="shared" si="135"/>
        <v>0</v>
      </c>
      <c r="BL203" s="2897">
        <f t="shared" si="136"/>
        <v>0</v>
      </c>
      <c r="BM203" s="2897">
        <f t="shared" si="137"/>
        <v>0</v>
      </c>
      <c r="BN203" s="2897">
        <f t="shared" si="138"/>
        <v>0</v>
      </c>
      <c r="BO203" s="2897">
        <f t="shared" si="139"/>
        <v>0</v>
      </c>
      <c r="BP203" s="2897">
        <f t="shared" si="140"/>
        <v>0</v>
      </c>
      <c r="BQ203" s="2897">
        <f t="shared" si="141"/>
        <v>0</v>
      </c>
      <c r="BR203" s="2897">
        <f t="shared" si="142"/>
        <v>0</v>
      </c>
      <c r="BS203" s="2897">
        <f t="shared" si="143"/>
        <v>0</v>
      </c>
      <c r="BT203" s="2971">
        <f t="shared" si="144"/>
        <v>0</v>
      </c>
    </row>
    <row r="204" spans="1:72">
      <c r="A204" s="2894"/>
      <c r="B204" s="2894"/>
      <c r="C204" s="2894"/>
      <c r="D204" s="2907"/>
      <c r="E204" s="2897">
        <f t="shared" si="145"/>
        <v>0</v>
      </c>
      <c r="F204" s="2972"/>
      <c r="G204" s="2899">
        <f t="shared" si="120"/>
        <v>0</v>
      </c>
      <c r="H204" s="2900">
        <f t="shared" si="121"/>
        <v>0</v>
      </c>
      <c r="I204" s="2918"/>
      <c r="J204" s="2918"/>
      <c r="K204" s="2918"/>
      <c r="L204" s="2918"/>
      <c r="M204" s="2918"/>
      <c r="N204" s="2918"/>
      <c r="O204" s="2918"/>
      <c r="P204" s="2918"/>
      <c r="Q204" s="2918"/>
      <c r="R204" s="2918"/>
      <c r="S204" s="2918"/>
      <c r="T204" s="2918"/>
      <c r="U204" s="2918"/>
      <c r="V204" s="2918"/>
      <c r="W204" s="2918"/>
      <c r="X204" s="2918"/>
      <c r="Y204" s="2918"/>
      <c r="Z204" s="2918"/>
      <c r="AA204" s="2918"/>
      <c r="AB204" s="2918"/>
      <c r="AC204" s="2897">
        <f t="shared" si="122"/>
        <v>0</v>
      </c>
      <c r="AD204" s="2929"/>
      <c r="AE204" s="2929"/>
      <c r="AF204" s="2929"/>
      <c r="AG204" s="2929"/>
      <c r="AH204" s="2929"/>
      <c r="AI204" s="2929"/>
      <c r="AJ204" s="2929"/>
      <c r="AK204" s="2929"/>
      <c r="AL204" s="2929"/>
      <c r="AM204" s="2929"/>
      <c r="AN204" s="2929"/>
      <c r="AO204" s="2929"/>
      <c r="AP204" s="2929"/>
      <c r="AQ204" s="2929"/>
      <c r="AR204" s="2929"/>
      <c r="AS204" s="2929"/>
      <c r="AT204" s="2929"/>
      <c r="AU204" s="2974"/>
      <c r="AV204" s="454">
        <f t="shared" si="146"/>
        <v>0</v>
      </c>
      <c r="AW204" s="454">
        <f t="shared" si="147"/>
        <v>0</v>
      </c>
      <c r="AX204" s="454">
        <f t="shared" si="148"/>
        <v>0</v>
      </c>
      <c r="AY204" s="2966">
        <f t="shared" si="123"/>
        <v>0</v>
      </c>
      <c r="AZ204" s="2897">
        <f t="shared" si="124"/>
        <v>0</v>
      </c>
      <c r="BA204" s="2897">
        <f t="shared" si="125"/>
        <v>0</v>
      </c>
      <c r="BB204" s="2897">
        <f t="shared" si="126"/>
        <v>0</v>
      </c>
      <c r="BC204" s="2897">
        <f t="shared" si="127"/>
        <v>0</v>
      </c>
      <c r="BD204" s="2897">
        <f t="shared" si="128"/>
        <v>0</v>
      </c>
      <c r="BE204" s="2897">
        <f t="shared" si="129"/>
        <v>0</v>
      </c>
      <c r="BF204" s="2897">
        <f t="shared" si="130"/>
        <v>0</v>
      </c>
      <c r="BG204" s="2897">
        <f t="shared" si="131"/>
        <v>0</v>
      </c>
      <c r="BH204" s="2897">
        <f t="shared" si="132"/>
        <v>0</v>
      </c>
      <c r="BI204" s="2897">
        <f t="shared" si="133"/>
        <v>0</v>
      </c>
      <c r="BJ204" s="2897">
        <f t="shared" si="134"/>
        <v>0</v>
      </c>
      <c r="BK204" s="2897">
        <f t="shared" si="135"/>
        <v>0</v>
      </c>
      <c r="BL204" s="2897">
        <f t="shared" si="136"/>
        <v>0</v>
      </c>
      <c r="BM204" s="2897">
        <f t="shared" si="137"/>
        <v>0</v>
      </c>
      <c r="BN204" s="2897">
        <f t="shared" si="138"/>
        <v>0</v>
      </c>
      <c r="BO204" s="2897">
        <f t="shared" si="139"/>
        <v>0</v>
      </c>
      <c r="BP204" s="2897">
        <f t="shared" si="140"/>
        <v>0</v>
      </c>
      <c r="BQ204" s="2897">
        <f t="shared" si="141"/>
        <v>0</v>
      </c>
      <c r="BR204" s="2897">
        <f t="shared" si="142"/>
        <v>0</v>
      </c>
      <c r="BS204" s="2897">
        <f t="shared" si="143"/>
        <v>0</v>
      </c>
      <c r="BT204" s="2971">
        <f t="shared" si="144"/>
        <v>0</v>
      </c>
    </row>
    <row r="205" spans="1:72">
      <c r="A205" s="2894"/>
      <c r="B205" s="2904"/>
      <c r="C205" s="2902"/>
      <c r="D205" s="2903"/>
      <c r="E205" s="2897">
        <f t="shared" ref="E205:E296" si="149">IF($C$3="是",ROUND($A$3*G205/$B$3,2),ROUND($A$3*(G205-AT205)/$B$3,2))</f>
        <v>0</v>
      </c>
      <c r="F205" s="2898"/>
      <c r="G205" s="2899">
        <f t="shared" ref="G205:G293" si="150">H205+AC205+AT205</f>
        <v>0</v>
      </c>
      <c r="H205" s="2900">
        <f t="shared" ref="H205:H293" si="151">SUMIF(I$12:AB$12,"总值",I205:AB205)</f>
        <v>0</v>
      </c>
      <c r="I205" s="2906"/>
      <c r="J205" s="2918"/>
      <c r="K205" s="2906"/>
      <c r="L205" s="2918"/>
      <c r="M205" s="2918"/>
      <c r="N205" s="2918"/>
      <c r="O205" s="2918"/>
      <c r="P205" s="2918"/>
      <c r="Q205" s="2918"/>
      <c r="R205" s="2918"/>
      <c r="S205" s="2918"/>
      <c r="T205" s="2918"/>
      <c r="U205" s="2918"/>
      <c r="V205" s="2918"/>
      <c r="W205" s="2918"/>
      <c r="X205" s="2918"/>
      <c r="Y205" s="2918"/>
      <c r="Z205" s="2918"/>
      <c r="AA205" s="2918"/>
      <c r="AB205" s="2918"/>
      <c r="AC205" s="2897">
        <f t="shared" ref="AC205:AC293" si="152">SUMIF(AD$12:AS$12,"总值",AD205:AS205)</f>
        <v>0</v>
      </c>
      <c r="AD205" s="2929"/>
      <c r="AE205" s="2929"/>
      <c r="AF205" s="2930"/>
      <c r="AG205" s="2929"/>
      <c r="AH205" s="2929"/>
      <c r="AI205" s="2929"/>
      <c r="AJ205" s="2929"/>
      <c r="AK205" s="2929"/>
      <c r="AL205" s="2929"/>
      <c r="AM205" s="2929"/>
      <c r="AN205" s="2919"/>
      <c r="AO205" s="2929"/>
      <c r="AP205" s="2929"/>
      <c r="AQ205" s="2929"/>
      <c r="AR205" s="2929"/>
      <c r="AS205" s="2929"/>
      <c r="AT205" s="2949"/>
      <c r="AU205" s="2950"/>
      <c r="AV205" s="454">
        <f t="shared" ref="AV205:AV296" si="153">A205</f>
        <v>0</v>
      </c>
      <c r="AW205" s="454">
        <f t="shared" ref="AW205:AW296" si="154">B205</f>
        <v>0</v>
      </c>
      <c r="AX205" s="454">
        <f t="shared" ref="AX205:AX296" si="155">C205</f>
        <v>0</v>
      </c>
      <c r="AY205" s="2966">
        <f t="shared" ref="AY205:AY293" si="156">ROUND($AY$6*AZ205/$AZ$5,2)</f>
        <v>0</v>
      </c>
      <c r="AZ205" s="2897">
        <f t="shared" ref="AZ205:AZ293" si="157">BA205+BL205</f>
        <v>0</v>
      </c>
      <c r="BA205" s="2897">
        <f t="shared" ref="BA205:BA293" si="158">SUM(BB205:BK205)</f>
        <v>0</v>
      </c>
      <c r="BB205" s="2897">
        <f t="shared" ref="BB205:BB293" si="159">IF($D205="是",I205-J205,0)</f>
        <v>0</v>
      </c>
      <c r="BC205" s="2897">
        <f t="shared" ref="BC205:BC293" si="160">IF($D205="是",K205-L205,0)</f>
        <v>0</v>
      </c>
      <c r="BD205" s="2897">
        <f t="shared" ref="BD205:BD293" si="161">IF($D205="是",M205-N205,0)</f>
        <v>0</v>
      </c>
      <c r="BE205" s="2897">
        <f t="shared" ref="BE205:BE293" si="162">IF($D205="是",O205-P205,0)</f>
        <v>0</v>
      </c>
      <c r="BF205" s="2897">
        <f t="shared" ref="BF205:BF293" si="163">IF($D205="是",Q205-R205,0)</f>
        <v>0</v>
      </c>
      <c r="BG205" s="2897">
        <f t="shared" ref="BG205:BG293" si="164">IF($D205="是",S205-T205,0)</f>
        <v>0</v>
      </c>
      <c r="BH205" s="2897">
        <f t="shared" ref="BH205:BH293" si="165">IF($D205="是",U205-V205,0)</f>
        <v>0</v>
      </c>
      <c r="BI205" s="2897">
        <f t="shared" ref="BI205:BI293" si="166">IF($D205="是",W205-X205,0)</f>
        <v>0</v>
      </c>
      <c r="BJ205" s="2897">
        <f t="shared" ref="BJ205:BJ293" si="167">IF($D205="是",Y205-Z205,0)</f>
        <v>0</v>
      </c>
      <c r="BK205" s="2897">
        <f t="shared" ref="BK205:BK293" si="168">IF($D205="是",AA205-AB205,0)</f>
        <v>0</v>
      </c>
      <c r="BL205" s="2897">
        <f t="shared" ref="BL205:BL293" si="169">SUM(BM205:BT205)</f>
        <v>0</v>
      </c>
      <c r="BM205" s="2897">
        <f t="shared" ref="BM205:BM293" si="170">IF($D205="是",AD205-AE205,0)</f>
        <v>0</v>
      </c>
      <c r="BN205" s="2897">
        <f t="shared" ref="BN205:BN293" si="171">IF($D205="是",AF205-AG205,0)</f>
        <v>0</v>
      </c>
      <c r="BO205" s="2897">
        <f t="shared" ref="BO205:BO293" si="172">IF($D205="是",AH205-AI205,0)</f>
        <v>0</v>
      </c>
      <c r="BP205" s="2897">
        <f t="shared" ref="BP205:BP293" si="173">IF($D205="是",AJ205-AK205,0)</f>
        <v>0</v>
      </c>
      <c r="BQ205" s="2897">
        <f t="shared" ref="BQ205:BQ293" si="174">IF($D205="是",AL205-AM205,0)</f>
        <v>0</v>
      </c>
      <c r="BR205" s="2897">
        <f t="shared" ref="BR205:BR293" si="175">IF($D205="是",AN205-AO205,0)</f>
        <v>0</v>
      </c>
      <c r="BS205" s="2897">
        <f t="shared" ref="BS205:BS293" si="176">IF($D205="是",AP205-AQ205,0)</f>
        <v>0</v>
      </c>
      <c r="BT205" s="2971">
        <f t="shared" ref="BT205:BT293" si="177">IF($D205="是",AR205-AS205,0)</f>
        <v>0</v>
      </c>
    </row>
    <row r="206" spans="1:72">
      <c r="A206" s="2894"/>
      <c r="B206" s="2904"/>
      <c r="C206" s="2902"/>
      <c r="D206" s="2903"/>
      <c r="E206" s="2897">
        <f t="shared" si="149"/>
        <v>0</v>
      </c>
      <c r="F206" s="2898"/>
      <c r="G206" s="2899">
        <f t="shared" si="150"/>
        <v>0</v>
      </c>
      <c r="H206" s="2900">
        <f t="shared" si="151"/>
        <v>0</v>
      </c>
      <c r="I206" s="2906"/>
      <c r="J206" s="2918"/>
      <c r="K206" s="2906"/>
      <c r="L206" s="2918"/>
      <c r="M206" s="2919"/>
      <c r="N206" s="2918"/>
      <c r="O206" s="2918"/>
      <c r="P206" s="2918"/>
      <c r="Q206" s="2918"/>
      <c r="R206" s="2918"/>
      <c r="S206" s="2918"/>
      <c r="T206" s="2918"/>
      <c r="U206" s="2918"/>
      <c r="V206" s="2918"/>
      <c r="W206" s="2918"/>
      <c r="X206" s="2918"/>
      <c r="Y206" s="2918"/>
      <c r="Z206" s="2918"/>
      <c r="AA206" s="2918"/>
      <c r="AB206" s="2918"/>
      <c r="AC206" s="2897">
        <f t="shared" si="152"/>
        <v>0</v>
      </c>
      <c r="AD206" s="2919"/>
      <c r="AE206" s="2929"/>
      <c r="AF206" s="2930"/>
      <c r="AG206" s="2929"/>
      <c r="AH206" s="2929"/>
      <c r="AI206" s="2929"/>
      <c r="AJ206" s="2929"/>
      <c r="AK206" s="2929"/>
      <c r="AL206" s="2919"/>
      <c r="AM206" s="2929"/>
      <c r="AN206" s="2919"/>
      <c r="AO206" s="2929"/>
      <c r="AP206" s="2929"/>
      <c r="AQ206" s="2929"/>
      <c r="AR206" s="2929"/>
      <c r="AS206" s="2929"/>
      <c r="AT206" s="2949"/>
      <c r="AU206" s="2950"/>
      <c r="AV206" s="454">
        <f t="shared" si="153"/>
        <v>0</v>
      </c>
      <c r="AW206" s="454">
        <f t="shared" si="154"/>
        <v>0</v>
      </c>
      <c r="AX206" s="454">
        <f t="shared" si="155"/>
        <v>0</v>
      </c>
      <c r="AY206" s="2966">
        <f t="shared" si="156"/>
        <v>0</v>
      </c>
      <c r="AZ206" s="2897">
        <f t="shared" si="157"/>
        <v>0</v>
      </c>
      <c r="BA206" s="2897">
        <f t="shared" si="158"/>
        <v>0</v>
      </c>
      <c r="BB206" s="2897">
        <f t="shared" si="159"/>
        <v>0</v>
      </c>
      <c r="BC206" s="2897">
        <f t="shared" si="160"/>
        <v>0</v>
      </c>
      <c r="BD206" s="2897">
        <f t="shared" si="161"/>
        <v>0</v>
      </c>
      <c r="BE206" s="2897">
        <f t="shared" si="162"/>
        <v>0</v>
      </c>
      <c r="BF206" s="2897">
        <f t="shared" si="163"/>
        <v>0</v>
      </c>
      <c r="BG206" s="2897">
        <f t="shared" si="164"/>
        <v>0</v>
      </c>
      <c r="BH206" s="2897">
        <f t="shared" si="165"/>
        <v>0</v>
      </c>
      <c r="BI206" s="2897">
        <f t="shared" si="166"/>
        <v>0</v>
      </c>
      <c r="BJ206" s="2897">
        <f t="shared" si="167"/>
        <v>0</v>
      </c>
      <c r="BK206" s="2897">
        <f t="shared" si="168"/>
        <v>0</v>
      </c>
      <c r="BL206" s="2897">
        <f t="shared" si="169"/>
        <v>0</v>
      </c>
      <c r="BM206" s="2897">
        <f t="shared" si="170"/>
        <v>0</v>
      </c>
      <c r="BN206" s="2897">
        <f t="shared" si="171"/>
        <v>0</v>
      </c>
      <c r="BO206" s="2897">
        <f t="shared" si="172"/>
        <v>0</v>
      </c>
      <c r="BP206" s="2897">
        <f t="shared" si="173"/>
        <v>0</v>
      </c>
      <c r="BQ206" s="2897">
        <f t="shared" si="174"/>
        <v>0</v>
      </c>
      <c r="BR206" s="2897">
        <f t="shared" si="175"/>
        <v>0</v>
      </c>
      <c r="BS206" s="2897">
        <f t="shared" si="176"/>
        <v>0</v>
      </c>
      <c r="BT206" s="2971">
        <f t="shared" si="177"/>
        <v>0</v>
      </c>
    </row>
    <row r="207" spans="1:72">
      <c r="A207" s="2894"/>
      <c r="B207" s="2904"/>
      <c r="C207" s="2902"/>
      <c r="D207" s="2903"/>
      <c r="E207" s="2897">
        <f t="shared" si="149"/>
        <v>0</v>
      </c>
      <c r="F207" s="2898"/>
      <c r="G207" s="2899">
        <f t="shared" si="150"/>
        <v>0</v>
      </c>
      <c r="H207" s="2900">
        <f t="shared" si="151"/>
        <v>0</v>
      </c>
      <c r="I207" s="2906"/>
      <c r="J207" s="2918"/>
      <c r="K207" s="2906"/>
      <c r="L207" s="2918"/>
      <c r="M207" s="2919"/>
      <c r="N207" s="2918"/>
      <c r="O207" s="2918"/>
      <c r="P207" s="2918"/>
      <c r="Q207" s="2918"/>
      <c r="R207" s="2918"/>
      <c r="S207" s="2918"/>
      <c r="T207" s="2918"/>
      <c r="U207" s="2918"/>
      <c r="V207" s="2918"/>
      <c r="W207" s="2918"/>
      <c r="X207" s="2918"/>
      <c r="Y207" s="2918"/>
      <c r="Z207" s="2918"/>
      <c r="AA207" s="2918"/>
      <c r="AB207" s="2918"/>
      <c r="AC207" s="2897">
        <f t="shared" si="152"/>
        <v>0</v>
      </c>
      <c r="AD207" s="2929"/>
      <c r="AE207" s="2929"/>
      <c r="AF207" s="2930"/>
      <c r="AG207" s="2929"/>
      <c r="AH207" s="2929"/>
      <c r="AI207" s="2929"/>
      <c r="AJ207" s="2929"/>
      <c r="AK207" s="2929"/>
      <c r="AL207" s="2919"/>
      <c r="AM207" s="2929"/>
      <c r="AN207" s="2919"/>
      <c r="AO207" s="2929"/>
      <c r="AP207" s="2929"/>
      <c r="AQ207" s="2929"/>
      <c r="AR207" s="2929"/>
      <c r="AS207" s="2929"/>
      <c r="AT207" s="2949"/>
      <c r="AU207" s="2950"/>
      <c r="AV207" s="454">
        <f t="shared" si="153"/>
        <v>0</v>
      </c>
      <c r="AW207" s="454">
        <f t="shared" si="154"/>
        <v>0</v>
      </c>
      <c r="AX207" s="454">
        <f t="shared" si="155"/>
        <v>0</v>
      </c>
      <c r="AY207" s="2966">
        <f t="shared" si="156"/>
        <v>0</v>
      </c>
      <c r="AZ207" s="2897">
        <f t="shared" si="157"/>
        <v>0</v>
      </c>
      <c r="BA207" s="2897">
        <f t="shared" si="158"/>
        <v>0</v>
      </c>
      <c r="BB207" s="2897">
        <f t="shared" si="159"/>
        <v>0</v>
      </c>
      <c r="BC207" s="2897">
        <f t="shared" si="160"/>
        <v>0</v>
      </c>
      <c r="BD207" s="2897">
        <f t="shared" si="161"/>
        <v>0</v>
      </c>
      <c r="BE207" s="2897">
        <f t="shared" si="162"/>
        <v>0</v>
      </c>
      <c r="BF207" s="2897">
        <f t="shared" si="163"/>
        <v>0</v>
      </c>
      <c r="BG207" s="2897">
        <f t="shared" si="164"/>
        <v>0</v>
      </c>
      <c r="BH207" s="2897">
        <f t="shared" si="165"/>
        <v>0</v>
      </c>
      <c r="BI207" s="2897">
        <f t="shared" si="166"/>
        <v>0</v>
      </c>
      <c r="BJ207" s="2897">
        <f t="shared" si="167"/>
        <v>0</v>
      </c>
      <c r="BK207" s="2897">
        <f t="shared" si="168"/>
        <v>0</v>
      </c>
      <c r="BL207" s="2897">
        <f t="shared" si="169"/>
        <v>0</v>
      </c>
      <c r="BM207" s="2897">
        <f t="shared" si="170"/>
        <v>0</v>
      </c>
      <c r="BN207" s="2897">
        <f t="shared" si="171"/>
        <v>0</v>
      </c>
      <c r="BO207" s="2897">
        <f t="shared" si="172"/>
        <v>0</v>
      </c>
      <c r="BP207" s="2897">
        <f t="shared" si="173"/>
        <v>0</v>
      </c>
      <c r="BQ207" s="2897">
        <f t="shared" si="174"/>
        <v>0</v>
      </c>
      <c r="BR207" s="2897">
        <f t="shared" si="175"/>
        <v>0</v>
      </c>
      <c r="BS207" s="2897">
        <f t="shared" si="176"/>
        <v>0</v>
      </c>
      <c r="BT207" s="2971">
        <f t="shared" si="177"/>
        <v>0</v>
      </c>
    </row>
    <row r="208" spans="1:72">
      <c r="A208" s="2894"/>
      <c r="B208" s="2904"/>
      <c r="C208" s="2902"/>
      <c r="D208" s="2903"/>
      <c r="E208" s="2897">
        <f t="shared" si="149"/>
        <v>0</v>
      </c>
      <c r="F208" s="2898"/>
      <c r="G208" s="2899">
        <f t="shared" si="150"/>
        <v>0</v>
      </c>
      <c r="H208" s="2900">
        <f t="shared" si="151"/>
        <v>0</v>
      </c>
      <c r="I208" s="2906"/>
      <c r="J208" s="2918"/>
      <c r="K208" s="2906"/>
      <c r="L208" s="2918"/>
      <c r="M208" s="2918"/>
      <c r="N208" s="2918"/>
      <c r="O208" s="2919"/>
      <c r="P208" s="2918"/>
      <c r="Q208" s="2918"/>
      <c r="R208" s="2918"/>
      <c r="S208" s="2918"/>
      <c r="T208" s="2918"/>
      <c r="U208" s="2918"/>
      <c r="V208" s="2918"/>
      <c r="W208" s="2918"/>
      <c r="X208" s="2918"/>
      <c r="Y208" s="2918"/>
      <c r="Z208" s="2918"/>
      <c r="AA208" s="2918"/>
      <c r="AB208" s="2918"/>
      <c r="AC208" s="2897">
        <f t="shared" si="152"/>
        <v>0</v>
      </c>
      <c r="AD208" s="2929"/>
      <c r="AE208" s="2929"/>
      <c r="AF208" s="2930"/>
      <c r="AG208" s="2929"/>
      <c r="AH208" s="2929"/>
      <c r="AI208" s="2929"/>
      <c r="AJ208" s="2929"/>
      <c r="AK208" s="2929"/>
      <c r="AL208" s="2929"/>
      <c r="AM208" s="2929"/>
      <c r="AN208" s="2919"/>
      <c r="AO208" s="2929"/>
      <c r="AP208" s="2929"/>
      <c r="AQ208" s="2929"/>
      <c r="AR208" s="2929"/>
      <c r="AS208" s="2929"/>
      <c r="AT208" s="2949"/>
      <c r="AU208" s="2950"/>
      <c r="AV208" s="454">
        <f t="shared" si="153"/>
        <v>0</v>
      </c>
      <c r="AW208" s="454">
        <f t="shared" si="154"/>
        <v>0</v>
      </c>
      <c r="AX208" s="454">
        <f t="shared" si="155"/>
        <v>0</v>
      </c>
      <c r="AY208" s="2966">
        <f t="shared" si="156"/>
        <v>0</v>
      </c>
      <c r="AZ208" s="2897">
        <f t="shared" si="157"/>
        <v>0</v>
      </c>
      <c r="BA208" s="2897">
        <f t="shared" si="158"/>
        <v>0</v>
      </c>
      <c r="BB208" s="2897">
        <f t="shared" si="159"/>
        <v>0</v>
      </c>
      <c r="BC208" s="2897">
        <f t="shared" si="160"/>
        <v>0</v>
      </c>
      <c r="BD208" s="2897">
        <f t="shared" si="161"/>
        <v>0</v>
      </c>
      <c r="BE208" s="2897">
        <f t="shared" si="162"/>
        <v>0</v>
      </c>
      <c r="BF208" s="2897">
        <f t="shared" si="163"/>
        <v>0</v>
      </c>
      <c r="BG208" s="2897">
        <f t="shared" si="164"/>
        <v>0</v>
      </c>
      <c r="BH208" s="2897">
        <f t="shared" si="165"/>
        <v>0</v>
      </c>
      <c r="BI208" s="2897">
        <f t="shared" si="166"/>
        <v>0</v>
      </c>
      <c r="BJ208" s="2897">
        <f t="shared" si="167"/>
        <v>0</v>
      </c>
      <c r="BK208" s="2897">
        <f t="shared" si="168"/>
        <v>0</v>
      </c>
      <c r="BL208" s="2897">
        <f t="shared" si="169"/>
        <v>0</v>
      </c>
      <c r="BM208" s="2897">
        <f t="shared" si="170"/>
        <v>0</v>
      </c>
      <c r="BN208" s="2897">
        <f t="shared" si="171"/>
        <v>0</v>
      </c>
      <c r="BO208" s="2897">
        <f t="shared" si="172"/>
        <v>0</v>
      </c>
      <c r="BP208" s="2897">
        <f t="shared" si="173"/>
        <v>0</v>
      </c>
      <c r="BQ208" s="2897">
        <f t="shared" si="174"/>
        <v>0</v>
      </c>
      <c r="BR208" s="2897">
        <f t="shared" si="175"/>
        <v>0</v>
      </c>
      <c r="BS208" s="2897">
        <f t="shared" si="176"/>
        <v>0</v>
      </c>
      <c r="BT208" s="2971">
        <f t="shared" si="177"/>
        <v>0</v>
      </c>
    </row>
    <row r="209" spans="1:72">
      <c r="A209" s="2894"/>
      <c r="B209" s="2904"/>
      <c r="C209" s="2902"/>
      <c r="D209" s="2903"/>
      <c r="E209" s="2897">
        <f t="shared" si="149"/>
        <v>0</v>
      </c>
      <c r="F209" s="2898"/>
      <c r="G209" s="2899">
        <f t="shared" si="150"/>
        <v>0</v>
      </c>
      <c r="H209" s="2900">
        <f t="shared" si="151"/>
        <v>0</v>
      </c>
      <c r="I209" s="2906"/>
      <c r="J209" s="2918"/>
      <c r="K209" s="2906"/>
      <c r="L209" s="2918"/>
      <c r="M209" s="2918"/>
      <c r="N209" s="2918"/>
      <c r="O209" s="2918"/>
      <c r="P209" s="2918"/>
      <c r="Q209" s="2918"/>
      <c r="R209" s="2918"/>
      <c r="S209" s="2918"/>
      <c r="T209" s="2918"/>
      <c r="U209" s="2918"/>
      <c r="V209" s="2918"/>
      <c r="W209" s="2918"/>
      <c r="X209" s="2918"/>
      <c r="Y209" s="2918"/>
      <c r="Z209" s="2918"/>
      <c r="AA209" s="2918"/>
      <c r="AB209" s="2918"/>
      <c r="AC209" s="2897">
        <f t="shared" si="152"/>
        <v>0</v>
      </c>
      <c r="AD209" s="2929"/>
      <c r="AE209" s="2929"/>
      <c r="AF209" s="2930"/>
      <c r="AG209" s="2929"/>
      <c r="AH209" s="2929"/>
      <c r="AI209" s="2929"/>
      <c r="AJ209" s="2929"/>
      <c r="AK209" s="2929"/>
      <c r="AL209" s="2929"/>
      <c r="AM209" s="2929"/>
      <c r="AN209" s="2929"/>
      <c r="AO209" s="2929"/>
      <c r="AP209" s="2929"/>
      <c r="AQ209" s="2929"/>
      <c r="AR209" s="2929"/>
      <c r="AS209" s="2929"/>
      <c r="AT209" s="2949"/>
      <c r="AU209" s="2950"/>
      <c r="AV209" s="454">
        <f t="shared" si="153"/>
        <v>0</v>
      </c>
      <c r="AW209" s="454">
        <f t="shared" si="154"/>
        <v>0</v>
      </c>
      <c r="AX209" s="454">
        <f t="shared" si="155"/>
        <v>0</v>
      </c>
      <c r="AY209" s="2966">
        <f t="shared" si="156"/>
        <v>0</v>
      </c>
      <c r="AZ209" s="2897">
        <f t="shared" si="157"/>
        <v>0</v>
      </c>
      <c r="BA209" s="2897">
        <f t="shared" si="158"/>
        <v>0</v>
      </c>
      <c r="BB209" s="2897">
        <f t="shared" si="159"/>
        <v>0</v>
      </c>
      <c r="BC209" s="2897">
        <f t="shared" si="160"/>
        <v>0</v>
      </c>
      <c r="BD209" s="2897">
        <f t="shared" si="161"/>
        <v>0</v>
      </c>
      <c r="BE209" s="2897">
        <f t="shared" si="162"/>
        <v>0</v>
      </c>
      <c r="BF209" s="2897">
        <f t="shared" si="163"/>
        <v>0</v>
      </c>
      <c r="BG209" s="2897">
        <f t="shared" si="164"/>
        <v>0</v>
      </c>
      <c r="BH209" s="2897">
        <f t="shared" si="165"/>
        <v>0</v>
      </c>
      <c r="BI209" s="2897">
        <f t="shared" si="166"/>
        <v>0</v>
      </c>
      <c r="BJ209" s="2897">
        <f t="shared" si="167"/>
        <v>0</v>
      </c>
      <c r="BK209" s="2897">
        <f t="shared" si="168"/>
        <v>0</v>
      </c>
      <c r="BL209" s="2897">
        <f t="shared" si="169"/>
        <v>0</v>
      </c>
      <c r="BM209" s="2897">
        <f t="shared" si="170"/>
        <v>0</v>
      </c>
      <c r="BN209" s="2897">
        <f t="shared" si="171"/>
        <v>0</v>
      </c>
      <c r="BO209" s="2897">
        <f t="shared" si="172"/>
        <v>0</v>
      </c>
      <c r="BP209" s="2897">
        <f t="shared" si="173"/>
        <v>0</v>
      </c>
      <c r="BQ209" s="2897">
        <f t="shared" si="174"/>
        <v>0</v>
      </c>
      <c r="BR209" s="2897">
        <f t="shared" si="175"/>
        <v>0</v>
      </c>
      <c r="BS209" s="2897">
        <f t="shared" si="176"/>
        <v>0</v>
      </c>
      <c r="BT209" s="2971">
        <f t="shared" si="177"/>
        <v>0</v>
      </c>
    </row>
    <row r="210" spans="1:72">
      <c r="A210" s="2894"/>
      <c r="B210" s="2904"/>
      <c r="C210" s="2902"/>
      <c r="D210" s="2903"/>
      <c r="E210" s="2897">
        <f t="shared" si="149"/>
        <v>0</v>
      </c>
      <c r="F210" s="2898"/>
      <c r="G210" s="2899">
        <f t="shared" si="150"/>
        <v>0</v>
      </c>
      <c r="H210" s="2900">
        <f t="shared" si="151"/>
        <v>0</v>
      </c>
      <c r="I210" s="2906"/>
      <c r="J210" s="2918"/>
      <c r="K210" s="2906"/>
      <c r="L210" s="2918"/>
      <c r="M210" s="2918"/>
      <c r="N210" s="2918"/>
      <c r="O210" s="2918"/>
      <c r="P210" s="2918"/>
      <c r="Q210" s="2918"/>
      <c r="R210" s="2918"/>
      <c r="S210" s="2918"/>
      <c r="T210" s="2918"/>
      <c r="U210" s="2918"/>
      <c r="V210" s="2918"/>
      <c r="W210" s="2918"/>
      <c r="X210" s="2918"/>
      <c r="Y210" s="2918"/>
      <c r="Z210" s="2918"/>
      <c r="AA210" s="2918"/>
      <c r="AB210" s="2918"/>
      <c r="AC210" s="2897">
        <f t="shared" si="152"/>
        <v>0</v>
      </c>
      <c r="AD210" s="2929"/>
      <c r="AE210" s="2929"/>
      <c r="AF210" s="2930"/>
      <c r="AG210" s="2929"/>
      <c r="AH210" s="2929"/>
      <c r="AI210" s="2929"/>
      <c r="AJ210" s="2929"/>
      <c r="AK210" s="2929"/>
      <c r="AL210" s="2929"/>
      <c r="AM210" s="2929"/>
      <c r="AN210" s="2929"/>
      <c r="AO210" s="2929"/>
      <c r="AP210" s="2929"/>
      <c r="AQ210" s="2929"/>
      <c r="AR210" s="2929"/>
      <c r="AS210" s="2929"/>
      <c r="AT210" s="2949"/>
      <c r="AU210" s="2950"/>
      <c r="AV210" s="454">
        <f t="shared" si="153"/>
        <v>0</v>
      </c>
      <c r="AW210" s="454">
        <f t="shared" si="154"/>
        <v>0</v>
      </c>
      <c r="AX210" s="454">
        <f t="shared" si="155"/>
        <v>0</v>
      </c>
      <c r="AY210" s="2966">
        <f t="shared" si="156"/>
        <v>0</v>
      </c>
      <c r="AZ210" s="2897">
        <f t="shared" si="157"/>
        <v>0</v>
      </c>
      <c r="BA210" s="2897">
        <f t="shared" si="158"/>
        <v>0</v>
      </c>
      <c r="BB210" s="2897">
        <f t="shared" si="159"/>
        <v>0</v>
      </c>
      <c r="BC210" s="2897">
        <f t="shared" si="160"/>
        <v>0</v>
      </c>
      <c r="BD210" s="2897">
        <f t="shared" si="161"/>
        <v>0</v>
      </c>
      <c r="BE210" s="2897">
        <f t="shared" si="162"/>
        <v>0</v>
      </c>
      <c r="BF210" s="2897">
        <f t="shared" si="163"/>
        <v>0</v>
      </c>
      <c r="BG210" s="2897">
        <f t="shared" si="164"/>
        <v>0</v>
      </c>
      <c r="BH210" s="2897">
        <f t="shared" si="165"/>
        <v>0</v>
      </c>
      <c r="BI210" s="2897">
        <f t="shared" si="166"/>
        <v>0</v>
      </c>
      <c r="BJ210" s="2897">
        <f t="shared" si="167"/>
        <v>0</v>
      </c>
      <c r="BK210" s="2897">
        <f t="shared" si="168"/>
        <v>0</v>
      </c>
      <c r="BL210" s="2897">
        <f t="shared" si="169"/>
        <v>0</v>
      </c>
      <c r="BM210" s="2897">
        <f t="shared" si="170"/>
        <v>0</v>
      </c>
      <c r="BN210" s="2897">
        <f t="shared" si="171"/>
        <v>0</v>
      </c>
      <c r="BO210" s="2897">
        <f t="shared" si="172"/>
        <v>0</v>
      </c>
      <c r="BP210" s="2897">
        <f t="shared" si="173"/>
        <v>0</v>
      </c>
      <c r="BQ210" s="2897">
        <f t="shared" si="174"/>
        <v>0</v>
      </c>
      <c r="BR210" s="2897">
        <f t="shared" si="175"/>
        <v>0</v>
      </c>
      <c r="BS210" s="2897">
        <f t="shared" si="176"/>
        <v>0</v>
      </c>
      <c r="BT210" s="2971">
        <f t="shared" si="177"/>
        <v>0</v>
      </c>
    </row>
    <row r="211" spans="1:72">
      <c r="A211" s="2894"/>
      <c r="B211" s="2904"/>
      <c r="C211" s="2902"/>
      <c r="D211" s="2903"/>
      <c r="E211" s="2897">
        <f t="shared" si="149"/>
        <v>0</v>
      </c>
      <c r="F211" s="2898"/>
      <c r="G211" s="2899">
        <f t="shared" si="150"/>
        <v>0</v>
      </c>
      <c r="H211" s="2900">
        <f t="shared" si="151"/>
        <v>0</v>
      </c>
      <c r="I211" s="2906"/>
      <c r="J211" s="2918"/>
      <c r="K211" s="2906"/>
      <c r="L211" s="2918"/>
      <c r="M211" s="2918"/>
      <c r="N211" s="2918"/>
      <c r="O211" s="2918"/>
      <c r="P211" s="2918"/>
      <c r="Q211" s="2918"/>
      <c r="R211" s="2918"/>
      <c r="S211" s="2918"/>
      <c r="T211" s="2918"/>
      <c r="U211" s="2918"/>
      <c r="V211" s="2918"/>
      <c r="W211" s="2918"/>
      <c r="X211" s="2918"/>
      <c r="Y211" s="2918"/>
      <c r="Z211" s="2918"/>
      <c r="AA211" s="2918"/>
      <c r="AB211" s="2918"/>
      <c r="AC211" s="2897">
        <f t="shared" si="152"/>
        <v>0</v>
      </c>
      <c r="AD211" s="2929"/>
      <c r="AE211" s="2929"/>
      <c r="AF211" s="2930"/>
      <c r="AG211" s="2929"/>
      <c r="AH211" s="2929"/>
      <c r="AI211" s="2929"/>
      <c r="AJ211" s="2929"/>
      <c r="AK211" s="2929"/>
      <c r="AL211" s="2929"/>
      <c r="AM211" s="2929"/>
      <c r="AN211" s="2929"/>
      <c r="AO211" s="2929"/>
      <c r="AP211" s="2929"/>
      <c r="AQ211" s="2929"/>
      <c r="AR211" s="2929"/>
      <c r="AS211" s="2929"/>
      <c r="AT211" s="2949"/>
      <c r="AU211" s="2950"/>
      <c r="AV211" s="454">
        <f t="shared" si="153"/>
        <v>0</v>
      </c>
      <c r="AW211" s="454">
        <f t="shared" si="154"/>
        <v>0</v>
      </c>
      <c r="AX211" s="454">
        <f t="shared" si="155"/>
        <v>0</v>
      </c>
      <c r="AY211" s="2966">
        <f t="shared" si="156"/>
        <v>0</v>
      </c>
      <c r="AZ211" s="2897">
        <f t="shared" si="157"/>
        <v>0</v>
      </c>
      <c r="BA211" s="2897">
        <f t="shared" si="158"/>
        <v>0</v>
      </c>
      <c r="BB211" s="2897">
        <f t="shared" si="159"/>
        <v>0</v>
      </c>
      <c r="BC211" s="2897">
        <f t="shared" si="160"/>
        <v>0</v>
      </c>
      <c r="BD211" s="2897">
        <f t="shared" si="161"/>
        <v>0</v>
      </c>
      <c r="BE211" s="2897">
        <f t="shared" si="162"/>
        <v>0</v>
      </c>
      <c r="BF211" s="2897">
        <f t="shared" si="163"/>
        <v>0</v>
      </c>
      <c r="BG211" s="2897">
        <f t="shared" si="164"/>
        <v>0</v>
      </c>
      <c r="BH211" s="2897">
        <f t="shared" si="165"/>
        <v>0</v>
      </c>
      <c r="BI211" s="2897">
        <f t="shared" si="166"/>
        <v>0</v>
      </c>
      <c r="BJ211" s="2897">
        <f t="shared" si="167"/>
        <v>0</v>
      </c>
      <c r="BK211" s="2897">
        <f t="shared" si="168"/>
        <v>0</v>
      </c>
      <c r="BL211" s="2897">
        <f t="shared" si="169"/>
        <v>0</v>
      </c>
      <c r="BM211" s="2897">
        <f t="shared" si="170"/>
        <v>0</v>
      </c>
      <c r="BN211" s="2897">
        <f t="shared" si="171"/>
        <v>0</v>
      </c>
      <c r="BO211" s="2897">
        <f t="shared" si="172"/>
        <v>0</v>
      </c>
      <c r="BP211" s="2897">
        <f t="shared" si="173"/>
        <v>0</v>
      </c>
      <c r="BQ211" s="2897">
        <f t="shared" si="174"/>
        <v>0</v>
      </c>
      <c r="BR211" s="2897">
        <f t="shared" si="175"/>
        <v>0</v>
      </c>
      <c r="BS211" s="2897">
        <f t="shared" si="176"/>
        <v>0</v>
      </c>
      <c r="BT211" s="2971">
        <f t="shared" si="177"/>
        <v>0</v>
      </c>
    </row>
    <row r="212" spans="1:72">
      <c r="A212" s="2894"/>
      <c r="B212" s="2904"/>
      <c r="C212" s="2902"/>
      <c r="D212" s="2903"/>
      <c r="E212" s="2897">
        <f t="shared" si="149"/>
        <v>0</v>
      </c>
      <c r="F212" s="2898"/>
      <c r="G212" s="2899">
        <f t="shared" si="150"/>
        <v>0</v>
      </c>
      <c r="H212" s="2900">
        <f t="shared" si="151"/>
        <v>0</v>
      </c>
      <c r="I212" s="2906"/>
      <c r="J212" s="2918"/>
      <c r="K212" s="2906"/>
      <c r="L212" s="2918"/>
      <c r="M212" s="2918"/>
      <c r="N212" s="2918"/>
      <c r="O212" s="2918"/>
      <c r="P212" s="2918"/>
      <c r="Q212" s="2918"/>
      <c r="R212" s="2918"/>
      <c r="S212" s="2918"/>
      <c r="T212" s="2918"/>
      <c r="U212" s="2918"/>
      <c r="V212" s="2918"/>
      <c r="W212" s="2918"/>
      <c r="X212" s="2918"/>
      <c r="Y212" s="2918"/>
      <c r="Z212" s="2918"/>
      <c r="AA212" s="2918"/>
      <c r="AB212" s="2918"/>
      <c r="AC212" s="2897">
        <f t="shared" si="152"/>
        <v>0</v>
      </c>
      <c r="AD212" s="2929"/>
      <c r="AE212" s="2929"/>
      <c r="AF212" s="2906"/>
      <c r="AG212" s="2929"/>
      <c r="AH212" s="2929"/>
      <c r="AI212" s="2929"/>
      <c r="AJ212" s="2929"/>
      <c r="AK212" s="2929"/>
      <c r="AL212" s="2929"/>
      <c r="AM212" s="2929"/>
      <c r="AN212" s="2929"/>
      <c r="AO212" s="2929"/>
      <c r="AP212" s="2929"/>
      <c r="AQ212" s="2929"/>
      <c r="AR212" s="2929"/>
      <c r="AS212" s="2929"/>
      <c r="AT212" s="2949"/>
      <c r="AU212" s="2950"/>
      <c r="AV212" s="454">
        <f t="shared" si="153"/>
        <v>0</v>
      </c>
      <c r="AW212" s="454">
        <f t="shared" si="154"/>
        <v>0</v>
      </c>
      <c r="AX212" s="454">
        <f t="shared" si="155"/>
        <v>0</v>
      </c>
      <c r="AY212" s="2966">
        <f t="shared" si="156"/>
        <v>0</v>
      </c>
      <c r="AZ212" s="2897">
        <f t="shared" si="157"/>
        <v>0</v>
      </c>
      <c r="BA212" s="2897">
        <f t="shared" si="158"/>
        <v>0</v>
      </c>
      <c r="BB212" s="2897">
        <f t="shared" si="159"/>
        <v>0</v>
      </c>
      <c r="BC212" s="2897">
        <f t="shared" si="160"/>
        <v>0</v>
      </c>
      <c r="BD212" s="2897">
        <f t="shared" si="161"/>
        <v>0</v>
      </c>
      <c r="BE212" s="2897">
        <f t="shared" si="162"/>
        <v>0</v>
      </c>
      <c r="BF212" s="2897">
        <f t="shared" si="163"/>
        <v>0</v>
      </c>
      <c r="BG212" s="2897">
        <f t="shared" si="164"/>
        <v>0</v>
      </c>
      <c r="BH212" s="2897">
        <f t="shared" si="165"/>
        <v>0</v>
      </c>
      <c r="BI212" s="2897">
        <f t="shared" si="166"/>
        <v>0</v>
      </c>
      <c r="BJ212" s="2897">
        <f t="shared" si="167"/>
        <v>0</v>
      </c>
      <c r="BK212" s="2897">
        <f t="shared" si="168"/>
        <v>0</v>
      </c>
      <c r="BL212" s="2897">
        <f t="shared" si="169"/>
        <v>0</v>
      </c>
      <c r="BM212" s="2897">
        <f t="shared" si="170"/>
        <v>0</v>
      </c>
      <c r="BN212" s="2897">
        <f t="shared" si="171"/>
        <v>0</v>
      </c>
      <c r="BO212" s="2897">
        <f t="shared" si="172"/>
        <v>0</v>
      </c>
      <c r="BP212" s="2897">
        <f t="shared" si="173"/>
        <v>0</v>
      </c>
      <c r="BQ212" s="2897">
        <f t="shared" si="174"/>
        <v>0</v>
      </c>
      <c r="BR212" s="2897">
        <f t="shared" si="175"/>
        <v>0</v>
      </c>
      <c r="BS212" s="2897">
        <f t="shared" si="176"/>
        <v>0</v>
      </c>
      <c r="BT212" s="2971">
        <f t="shared" si="177"/>
        <v>0</v>
      </c>
    </row>
    <row r="213" spans="1:72">
      <c r="A213" s="2894"/>
      <c r="B213" s="2905"/>
      <c r="C213" s="2906"/>
      <c r="D213" s="2903"/>
      <c r="E213" s="2897">
        <f t="shared" si="149"/>
        <v>0</v>
      </c>
      <c r="F213" s="2898"/>
      <c r="G213" s="2899">
        <f t="shared" si="150"/>
        <v>0</v>
      </c>
      <c r="H213" s="2900">
        <f t="shared" si="151"/>
        <v>0</v>
      </c>
      <c r="I213" s="2906"/>
      <c r="J213" s="2918"/>
      <c r="K213" s="2906"/>
      <c r="L213" s="2918"/>
      <c r="M213" s="2918"/>
      <c r="N213" s="2918"/>
      <c r="O213" s="2918"/>
      <c r="P213" s="2918"/>
      <c r="Q213" s="2918"/>
      <c r="R213" s="2918"/>
      <c r="S213" s="2918"/>
      <c r="T213" s="2918"/>
      <c r="U213" s="2918"/>
      <c r="V213" s="2918"/>
      <c r="W213" s="2918"/>
      <c r="X213" s="2918"/>
      <c r="Y213" s="2918"/>
      <c r="Z213" s="2918"/>
      <c r="AA213" s="2918"/>
      <c r="AB213" s="2918"/>
      <c r="AC213" s="2897">
        <f t="shared" si="152"/>
        <v>0</v>
      </c>
      <c r="AD213" s="2929"/>
      <c r="AE213" s="2929"/>
      <c r="AF213" s="2906"/>
      <c r="AG213" s="2929"/>
      <c r="AH213" s="2929"/>
      <c r="AI213" s="2929"/>
      <c r="AJ213" s="2929"/>
      <c r="AK213" s="2929"/>
      <c r="AL213" s="2929"/>
      <c r="AM213" s="2929"/>
      <c r="AN213" s="2929"/>
      <c r="AO213" s="2929"/>
      <c r="AP213" s="2929"/>
      <c r="AQ213" s="2929"/>
      <c r="AR213" s="2929"/>
      <c r="AS213" s="2929"/>
      <c r="AT213" s="2949"/>
      <c r="AU213" s="2950"/>
      <c r="AV213" s="454">
        <f t="shared" si="153"/>
        <v>0</v>
      </c>
      <c r="AW213" s="454">
        <f t="shared" si="154"/>
        <v>0</v>
      </c>
      <c r="AX213" s="454">
        <f t="shared" si="155"/>
        <v>0</v>
      </c>
      <c r="AY213" s="2966">
        <f t="shared" si="156"/>
        <v>0</v>
      </c>
      <c r="AZ213" s="2897">
        <f t="shared" si="157"/>
        <v>0</v>
      </c>
      <c r="BA213" s="2897">
        <f t="shared" si="158"/>
        <v>0</v>
      </c>
      <c r="BB213" s="2897">
        <f t="shared" si="159"/>
        <v>0</v>
      </c>
      <c r="BC213" s="2897">
        <f t="shared" si="160"/>
        <v>0</v>
      </c>
      <c r="BD213" s="2897">
        <f t="shared" si="161"/>
        <v>0</v>
      </c>
      <c r="BE213" s="2897">
        <f t="shared" si="162"/>
        <v>0</v>
      </c>
      <c r="BF213" s="2897">
        <f t="shared" si="163"/>
        <v>0</v>
      </c>
      <c r="BG213" s="2897">
        <f t="shared" si="164"/>
        <v>0</v>
      </c>
      <c r="BH213" s="2897">
        <f t="shared" si="165"/>
        <v>0</v>
      </c>
      <c r="BI213" s="2897">
        <f t="shared" si="166"/>
        <v>0</v>
      </c>
      <c r="BJ213" s="2897">
        <f t="shared" si="167"/>
        <v>0</v>
      </c>
      <c r="BK213" s="2897">
        <f t="shared" si="168"/>
        <v>0</v>
      </c>
      <c r="BL213" s="2897">
        <f t="shared" si="169"/>
        <v>0</v>
      </c>
      <c r="BM213" s="2897">
        <f t="shared" si="170"/>
        <v>0</v>
      </c>
      <c r="BN213" s="2897">
        <f t="shared" si="171"/>
        <v>0</v>
      </c>
      <c r="BO213" s="2897">
        <f t="shared" si="172"/>
        <v>0</v>
      </c>
      <c r="BP213" s="2897">
        <f t="shared" si="173"/>
        <v>0</v>
      </c>
      <c r="BQ213" s="2897">
        <f t="shared" si="174"/>
        <v>0</v>
      </c>
      <c r="BR213" s="2897">
        <f t="shared" si="175"/>
        <v>0</v>
      </c>
      <c r="BS213" s="2897">
        <f t="shared" si="176"/>
        <v>0</v>
      </c>
      <c r="BT213" s="2971">
        <f t="shared" si="177"/>
        <v>0</v>
      </c>
    </row>
    <row r="214" spans="1:72">
      <c r="A214" s="2894"/>
      <c r="B214" s="2904"/>
      <c r="C214" s="2902"/>
      <c r="D214" s="2903"/>
      <c r="E214" s="2897">
        <f t="shared" si="149"/>
        <v>0</v>
      </c>
      <c r="F214" s="2898"/>
      <c r="G214" s="2899">
        <f t="shared" si="150"/>
        <v>0</v>
      </c>
      <c r="H214" s="2900">
        <f t="shared" si="151"/>
        <v>0</v>
      </c>
      <c r="I214" s="2906"/>
      <c r="J214" s="2918"/>
      <c r="K214" s="2906"/>
      <c r="L214" s="2918"/>
      <c r="M214" s="2918"/>
      <c r="N214" s="2918"/>
      <c r="O214" s="2918"/>
      <c r="P214" s="2918"/>
      <c r="Q214" s="2918"/>
      <c r="R214" s="2918"/>
      <c r="S214" s="2918"/>
      <c r="T214" s="2918"/>
      <c r="U214" s="2918"/>
      <c r="V214" s="2918"/>
      <c r="W214" s="2918"/>
      <c r="X214" s="2918"/>
      <c r="Y214" s="2918"/>
      <c r="Z214" s="2918"/>
      <c r="AA214" s="2918"/>
      <c r="AB214" s="2918"/>
      <c r="AC214" s="2897">
        <f t="shared" si="152"/>
        <v>0</v>
      </c>
      <c r="AD214" s="2929"/>
      <c r="AE214" s="2929"/>
      <c r="AF214" s="2906"/>
      <c r="AG214" s="2929"/>
      <c r="AH214" s="2929"/>
      <c r="AI214" s="2929"/>
      <c r="AJ214" s="2929"/>
      <c r="AK214" s="2929"/>
      <c r="AL214" s="2929"/>
      <c r="AM214" s="2929"/>
      <c r="AN214" s="2929"/>
      <c r="AO214" s="2929"/>
      <c r="AP214" s="2929"/>
      <c r="AQ214" s="2929"/>
      <c r="AR214" s="2929"/>
      <c r="AS214" s="2929"/>
      <c r="AT214" s="2949"/>
      <c r="AU214" s="2950"/>
      <c r="AV214" s="454">
        <f t="shared" si="153"/>
        <v>0</v>
      </c>
      <c r="AW214" s="454">
        <f t="shared" si="154"/>
        <v>0</v>
      </c>
      <c r="AX214" s="454">
        <f t="shared" si="155"/>
        <v>0</v>
      </c>
      <c r="AY214" s="2966">
        <f t="shared" si="156"/>
        <v>0</v>
      </c>
      <c r="AZ214" s="2897">
        <f t="shared" si="157"/>
        <v>0</v>
      </c>
      <c r="BA214" s="2897">
        <f t="shared" si="158"/>
        <v>0</v>
      </c>
      <c r="BB214" s="2897">
        <f t="shared" si="159"/>
        <v>0</v>
      </c>
      <c r="BC214" s="2897">
        <f t="shared" si="160"/>
        <v>0</v>
      </c>
      <c r="BD214" s="2897">
        <f t="shared" si="161"/>
        <v>0</v>
      </c>
      <c r="BE214" s="2897">
        <f t="shared" si="162"/>
        <v>0</v>
      </c>
      <c r="BF214" s="2897">
        <f t="shared" si="163"/>
        <v>0</v>
      </c>
      <c r="BG214" s="2897">
        <f t="shared" si="164"/>
        <v>0</v>
      </c>
      <c r="BH214" s="2897">
        <f t="shared" si="165"/>
        <v>0</v>
      </c>
      <c r="BI214" s="2897">
        <f t="shared" si="166"/>
        <v>0</v>
      </c>
      <c r="BJ214" s="2897">
        <f t="shared" si="167"/>
        <v>0</v>
      </c>
      <c r="BK214" s="2897">
        <f t="shared" si="168"/>
        <v>0</v>
      </c>
      <c r="BL214" s="2897">
        <f t="shared" si="169"/>
        <v>0</v>
      </c>
      <c r="BM214" s="2897">
        <f t="shared" si="170"/>
        <v>0</v>
      </c>
      <c r="BN214" s="2897">
        <f t="shared" si="171"/>
        <v>0</v>
      </c>
      <c r="BO214" s="2897">
        <f t="shared" si="172"/>
        <v>0</v>
      </c>
      <c r="BP214" s="2897">
        <f t="shared" si="173"/>
        <v>0</v>
      </c>
      <c r="BQ214" s="2897">
        <f t="shared" si="174"/>
        <v>0</v>
      </c>
      <c r="BR214" s="2897">
        <f t="shared" si="175"/>
        <v>0</v>
      </c>
      <c r="BS214" s="2897">
        <f t="shared" si="176"/>
        <v>0</v>
      </c>
      <c r="BT214" s="2971">
        <f t="shared" si="177"/>
        <v>0</v>
      </c>
    </row>
    <row r="215" spans="1:72">
      <c r="A215" s="2894"/>
      <c r="B215" s="2904"/>
      <c r="C215" s="2902"/>
      <c r="D215" s="2903"/>
      <c r="E215" s="2897">
        <f t="shared" si="149"/>
        <v>0</v>
      </c>
      <c r="F215" s="2898"/>
      <c r="G215" s="2899">
        <f t="shared" si="150"/>
        <v>0</v>
      </c>
      <c r="H215" s="2900">
        <f t="shared" si="151"/>
        <v>0</v>
      </c>
      <c r="I215" s="2906"/>
      <c r="J215" s="2918"/>
      <c r="K215" s="2906"/>
      <c r="L215" s="2918"/>
      <c r="M215" s="2918"/>
      <c r="N215" s="2918"/>
      <c r="O215" s="2918"/>
      <c r="P215" s="2918"/>
      <c r="Q215" s="2918"/>
      <c r="R215" s="2918"/>
      <c r="S215" s="2918"/>
      <c r="T215" s="2918"/>
      <c r="U215" s="2918"/>
      <c r="V215" s="2918"/>
      <c r="W215" s="2918"/>
      <c r="X215" s="2918"/>
      <c r="Y215" s="2918"/>
      <c r="Z215" s="2918"/>
      <c r="AA215" s="2918"/>
      <c r="AB215" s="2918"/>
      <c r="AC215" s="2897">
        <f t="shared" si="152"/>
        <v>0</v>
      </c>
      <c r="AD215" s="2929"/>
      <c r="AE215" s="2929"/>
      <c r="AF215" s="2906"/>
      <c r="AG215" s="2929"/>
      <c r="AH215" s="2929"/>
      <c r="AI215" s="2929"/>
      <c r="AJ215" s="2929"/>
      <c r="AK215" s="2929"/>
      <c r="AL215" s="2929"/>
      <c r="AM215" s="2929"/>
      <c r="AN215" s="2929"/>
      <c r="AO215" s="2929"/>
      <c r="AP215" s="2929"/>
      <c r="AQ215" s="2929"/>
      <c r="AR215" s="2929"/>
      <c r="AS215" s="2929"/>
      <c r="AT215" s="2949"/>
      <c r="AU215" s="2950"/>
      <c r="AV215" s="454">
        <f t="shared" si="153"/>
        <v>0</v>
      </c>
      <c r="AW215" s="454">
        <f t="shared" si="154"/>
        <v>0</v>
      </c>
      <c r="AX215" s="454">
        <f t="shared" si="155"/>
        <v>0</v>
      </c>
      <c r="AY215" s="2966">
        <f t="shared" si="156"/>
        <v>0</v>
      </c>
      <c r="AZ215" s="2897">
        <f t="shared" si="157"/>
        <v>0</v>
      </c>
      <c r="BA215" s="2897">
        <f t="shared" si="158"/>
        <v>0</v>
      </c>
      <c r="BB215" s="2897">
        <f t="shared" si="159"/>
        <v>0</v>
      </c>
      <c r="BC215" s="2897">
        <f t="shared" si="160"/>
        <v>0</v>
      </c>
      <c r="BD215" s="2897">
        <f t="shared" si="161"/>
        <v>0</v>
      </c>
      <c r="BE215" s="2897">
        <f t="shared" si="162"/>
        <v>0</v>
      </c>
      <c r="BF215" s="2897">
        <f t="shared" si="163"/>
        <v>0</v>
      </c>
      <c r="BG215" s="2897">
        <f t="shared" si="164"/>
        <v>0</v>
      </c>
      <c r="BH215" s="2897">
        <f t="shared" si="165"/>
        <v>0</v>
      </c>
      <c r="BI215" s="2897">
        <f t="shared" si="166"/>
        <v>0</v>
      </c>
      <c r="BJ215" s="2897">
        <f t="shared" si="167"/>
        <v>0</v>
      </c>
      <c r="BK215" s="2897">
        <f t="shared" si="168"/>
        <v>0</v>
      </c>
      <c r="BL215" s="2897">
        <f t="shared" si="169"/>
        <v>0</v>
      </c>
      <c r="BM215" s="2897">
        <f t="shared" si="170"/>
        <v>0</v>
      </c>
      <c r="BN215" s="2897">
        <f t="shared" si="171"/>
        <v>0</v>
      </c>
      <c r="BO215" s="2897">
        <f t="shared" si="172"/>
        <v>0</v>
      </c>
      <c r="BP215" s="2897">
        <f t="shared" si="173"/>
        <v>0</v>
      </c>
      <c r="BQ215" s="2897">
        <f t="shared" si="174"/>
        <v>0</v>
      </c>
      <c r="BR215" s="2897">
        <f t="shared" si="175"/>
        <v>0</v>
      </c>
      <c r="BS215" s="2897">
        <f t="shared" si="176"/>
        <v>0</v>
      </c>
      <c r="BT215" s="2971">
        <f t="shared" si="177"/>
        <v>0</v>
      </c>
    </row>
    <row r="216" spans="1:72">
      <c r="A216" s="2894"/>
      <c r="B216" s="2904"/>
      <c r="C216" s="2902"/>
      <c r="D216" s="2903"/>
      <c r="E216" s="2897">
        <f t="shared" si="149"/>
        <v>0</v>
      </c>
      <c r="F216" s="2898"/>
      <c r="G216" s="2899">
        <f t="shared" si="150"/>
        <v>0</v>
      </c>
      <c r="H216" s="2900">
        <f t="shared" si="151"/>
        <v>0</v>
      </c>
      <c r="I216" s="2906"/>
      <c r="J216" s="2918"/>
      <c r="K216" s="2906"/>
      <c r="L216" s="2918"/>
      <c r="M216" s="2918"/>
      <c r="N216" s="2918"/>
      <c r="O216" s="2918"/>
      <c r="P216" s="2918"/>
      <c r="Q216" s="2918"/>
      <c r="R216" s="2918"/>
      <c r="S216" s="2918"/>
      <c r="T216" s="2918"/>
      <c r="U216" s="2918"/>
      <c r="V216" s="2918"/>
      <c r="W216" s="2918"/>
      <c r="X216" s="2918"/>
      <c r="Y216" s="2918"/>
      <c r="Z216" s="2918"/>
      <c r="AA216" s="2918"/>
      <c r="AB216" s="2918"/>
      <c r="AC216" s="2897">
        <f t="shared" si="152"/>
        <v>0</v>
      </c>
      <c r="AD216" s="2929"/>
      <c r="AE216" s="2929"/>
      <c r="AF216" s="2906"/>
      <c r="AG216" s="2929"/>
      <c r="AH216" s="2929"/>
      <c r="AI216" s="2929"/>
      <c r="AJ216" s="2929"/>
      <c r="AK216" s="2929"/>
      <c r="AL216" s="2929"/>
      <c r="AM216" s="2929"/>
      <c r="AN216" s="2929"/>
      <c r="AO216" s="2929"/>
      <c r="AP216" s="2929"/>
      <c r="AQ216" s="2929"/>
      <c r="AR216" s="2929"/>
      <c r="AS216" s="2929"/>
      <c r="AT216" s="2949"/>
      <c r="AU216" s="2950"/>
      <c r="AV216" s="454">
        <f t="shared" si="153"/>
        <v>0</v>
      </c>
      <c r="AW216" s="454">
        <f t="shared" si="154"/>
        <v>0</v>
      </c>
      <c r="AX216" s="454">
        <f t="shared" si="155"/>
        <v>0</v>
      </c>
      <c r="AY216" s="2966">
        <f t="shared" si="156"/>
        <v>0</v>
      </c>
      <c r="AZ216" s="2897">
        <f t="shared" si="157"/>
        <v>0</v>
      </c>
      <c r="BA216" s="2897">
        <f t="shared" si="158"/>
        <v>0</v>
      </c>
      <c r="BB216" s="2897">
        <f t="shared" si="159"/>
        <v>0</v>
      </c>
      <c r="BC216" s="2897">
        <f t="shared" si="160"/>
        <v>0</v>
      </c>
      <c r="BD216" s="2897">
        <f t="shared" si="161"/>
        <v>0</v>
      </c>
      <c r="BE216" s="2897">
        <f t="shared" si="162"/>
        <v>0</v>
      </c>
      <c r="BF216" s="2897">
        <f t="shared" si="163"/>
        <v>0</v>
      </c>
      <c r="BG216" s="2897">
        <f t="shared" si="164"/>
        <v>0</v>
      </c>
      <c r="BH216" s="2897">
        <f t="shared" si="165"/>
        <v>0</v>
      </c>
      <c r="BI216" s="2897">
        <f t="shared" si="166"/>
        <v>0</v>
      </c>
      <c r="BJ216" s="2897">
        <f t="shared" si="167"/>
        <v>0</v>
      </c>
      <c r="BK216" s="2897">
        <f t="shared" si="168"/>
        <v>0</v>
      </c>
      <c r="BL216" s="2897">
        <f t="shared" si="169"/>
        <v>0</v>
      </c>
      <c r="BM216" s="2897">
        <f t="shared" si="170"/>
        <v>0</v>
      </c>
      <c r="BN216" s="2897">
        <f t="shared" si="171"/>
        <v>0</v>
      </c>
      <c r="BO216" s="2897">
        <f t="shared" si="172"/>
        <v>0</v>
      </c>
      <c r="BP216" s="2897">
        <f t="shared" si="173"/>
        <v>0</v>
      </c>
      <c r="BQ216" s="2897">
        <f t="shared" si="174"/>
        <v>0</v>
      </c>
      <c r="BR216" s="2897">
        <f t="shared" si="175"/>
        <v>0</v>
      </c>
      <c r="BS216" s="2897">
        <f t="shared" si="176"/>
        <v>0</v>
      </c>
      <c r="BT216" s="2971">
        <f t="shared" si="177"/>
        <v>0</v>
      </c>
    </row>
    <row r="217" spans="1:72">
      <c r="A217" s="2894"/>
      <c r="B217" s="2904"/>
      <c r="C217" s="2902"/>
      <c r="D217" s="2903"/>
      <c r="E217" s="2897">
        <f t="shared" si="149"/>
        <v>0</v>
      </c>
      <c r="F217" s="2898"/>
      <c r="G217" s="2899">
        <f t="shared" si="150"/>
        <v>0</v>
      </c>
      <c r="H217" s="2900">
        <f t="shared" si="151"/>
        <v>0</v>
      </c>
      <c r="I217" s="2906"/>
      <c r="J217" s="2918"/>
      <c r="K217" s="2906"/>
      <c r="L217" s="2918"/>
      <c r="M217" s="2918"/>
      <c r="N217" s="2918"/>
      <c r="O217" s="2918"/>
      <c r="P217" s="2918"/>
      <c r="Q217" s="2918"/>
      <c r="R217" s="2918"/>
      <c r="S217" s="2918"/>
      <c r="T217" s="2918"/>
      <c r="U217" s="2918"/>
      <c r="V217" s="2918"/>
      <c r="W217" s="2918"/>
      <c r="X217" s="2918"/>
      <c r="Y217" s="2918"/>
      <c r="Z217" s="2918"/>
      <c r="AA217" s="2918"/>
      <c r="AB217" s="2918"/>
      <c r="AC217" s="2897">
        <f t="shared" si="152"/>
        <v>0</v>
      </c>
      <c r="AD217" s="2929"/>
      <c r="AE217" s="2929"/>
      <c r="AF217" s="2906"/>
      <c r="AG217" s="2929"/>
      <c r="AH217" s="2929"/>
      <c r="AI217" s="2929"/>
      <c r="AJ217" s="2929"/>
      <c r="AK217" s="2929"/>
      <c r="AL217" s="2929"/>
      <c r="AM217" s="2929"/>
      <c r="AN217" s="2929"/>
      <c r="AO217" s="2929"/>
      <c r="AP217" s="2929"/>
      <c r="AQ217" s="2929"/>
      <c r="AR217" s="2929"/>
      <c r="AS217" s="2929"/>
      <c r="AT217" s="2949"/>
      <c r="AU217" s="2950"/>
      <c r="AV217" s="454">
        <f t="shared" si="153"/>
        <v>0</v>
      </c>
      <c r="AW217" s="454">
        <f t="shared" si="154"/>
        <v>0</v>
      </c>
      <c r="AX217" s="454">
        <f t="shared" si="155"/>
        <v>0</v>
      </c>
      <c r="AY217" s="2966">
        <f t="shared" si="156"/>
        <v>0</v>
      </c>
      <c r="AZ217" s="2897">
        <f t="shared" si="157"/>
        <v>0</v>
      </c>
      <c r="BA217" s="2897">
        <f t="shared" si="158"/>
        <v>0</v>
      </c>
      <c r="BB217" s="2897">
        <f t="shared" si="159"/>
        <v>0</v>
      </c>
      <c r="BC217" s="2897">
        <f t="shared" si="160"/>
        <v>0</v>
      </c>
      <c r="BD217" s="2897">
        <f t="shared" si="161"/>
        <v>0</v>
      </c>
      <c r="BE217" s="2897">
        <f t="shared" si="162"/>
        <v>0</v>
      </c>
      <c r="BF217" s="2897">
        <f t="shared" si="163"/>
        <v>0</v>
      </c>
      <c r="BG217" s="2897">
        <f t="shared" si="164"/>
        <v>0</v>
      </c>
      <c r="BH217" s="2897">
        <f t="shared" si="165"/>
        <v>0</v>
      </c>
      <c r="BI217" s="2897">
        <f t="shared" si="166"/>
        <v>0</v>
      </c>
      <c r="BJ217" s="2897">
        <f t="shared" si="167"/>
        <v>0</v>
      </c>
      <c r="BK217" s="2897">
        <f t="shared" si="168"/>
        <v>0</v>
      </c>
      <c r="BL217" s="2897">
        <f t="shared" si="169"/>
        <v>0</v>
      </c>
      <c r="BM217" s="2897">
        <f t="shared" si="170"/>
        <v>0</v>
      </c>
      <c r="BN217" s="2897">
        <f t="shared" si="171"/>
        <v>0</v>
      </c>
      <c r="BO217" s="2897">
        <f t="shared" si="172"/>
        <v>0</v>
      </c>
      <c r="BP217" s="2897">
        <f t="shared" si="173"/>
        <v>0</v>
      </c>
      <c r="BQ217" s="2897">
        <f t="shared" si="174"/>
        <v>0</v>
      </c>
      <c r="BR217" s="2897">
        <f t="shared" si="175"/>
        <v>0</v>
      </c>
      <c r="BS217" s="2897">
        <f t="shared" si="176"/>
        <v>0</v>
      </c>
      <c r="BT217" s="2971">
        <f t="shared" si="177"/>
        <v>0</v>
      </c>
    </row>
    <row r="218" spans="1:72">
      <c r="A218" s="2894"/>
      <c r="B218" s="2904"/>
      <c r="C218" s="2902"/>
      <c r="D218" s="2903"/>
      <c r="E218" s="2897">
        <f t="shared" si="149"/>
        <v>0</v>
      </c>
      <c r="F218" s="2898"/>
      <c r="G218" s="2899">
        <f t="shared" si="150"/>
        <v>0</v>
      </c>
      <c r="H218" s="2900">
        <f t="shared" si="151"/>
        <v>0</v>
      </c>
      <c r="I218" s="2906"/>
      <c r="J218" s="2918"/>
      <c r="K218" s="2906"/>
      <c r="L218" s="2918"/>
      <c r="M218" s="2918"/>
      <c r="N218" s="2918"/>
      <c r="O218" s="2918"/>
      <c r="P218" s="2918"/>
      <c r="Q218" s="2918"/>
      <c r="R218" s="2918"/>
      <c r="S218" s="2918"/>
      <c r="T218" s="2918"/>
      <c r="U218" s="2918"/>
      <c r="V218" s="2918"/>
      <c r="W218" s="2918"/>
      <c r="X218" s="2918"/>
      <c r="Y218" s="2918"/>
      <c r="Z218" s="2918"/>
      <c r="AA218" s="2918"/>
      <c r="AB218" s="2918"/>
      <c r="AC218" s="2897">
        <f t="shared" si="152"/>
        <v>0</v>
      </c>
      <c r="AD218" s="2929"/>
      <c r="AE218" s="2929"/>
      <c r="AF218" s="2906"/>
      <c r="AG218" s="2929"/>
      <c r="AH218" s="2929"/>
      <c r="AI218" s="2929"/>
      <c r="AJ218" s="2929"/>
      <c r="AK218" s="2929"/>
      <c r="AL218" s="2929"/>
      <c r="AM218" s="2929"/>
      <c r="AN218" s="2929"/>
      <c r="AO218" s="2929"/>
      <c r="AP218" s="2929"/>
      <c r="AQ218" s="2929"/>
      <c r="AR218" s="2929"/>
      <c r="AS218" s="2929"/>
      <c r="AT218" s="2949"/>
      <c r="AU218" s="2950"/>
      <c r="AV218" s="454">
        <f t="shared" si="153"/>
        <v>0</v>
      </c>
      <c r="AW218" s="454">
        <f t="shared" si="154"/>
        <v>0</v>
      </c>
      <c r="AX218" s="454">
        <f t="shared" si="155"/>
        <v>0</v>
      </c>
      <c r="AY218" s="2966">
        <f t="shared" si="156"/>
        <v>0</v>
      </c>
      <c r="AZ218" s="2897">
        <f t="shared" si="157"/>
        <v>0</v>
      </c>
      <c r="BA218" s="2897">
        <f t="shared" si="158"/>
        <v>0</v>
      </c>
      <c r="BB218" s="2897">
        <f t="shared" si="159"/>
        <v>0</v>
      </c>
      <c r="BC218" s="2897">
        <f t="shared" si="160"/>
        <v>0</v>
      </c>
      <c r="BD218" s="2897">
        <f t="shared" si="161"/>
        <v>0</v>
      </c>
      <c r="BE218" s="2897">
        <f t="shared" si="162"/>
        <v>0</v>
      </c>
      <c r="BF218" s="2897">
        <f t="shared" si="163"/>
        <v>0</v>
      </c>
      <c r="BG218" s="2897">
        <f t="shared" si="164"/>
        <v>0</v>
      </c>
      <c r="BH218" s="2897">
        <f t="shared" si="165"/>
        <v>0</v>
      </c>
      <c r="BI218" s="2897">
        <f t="shared" si="166"/>
        <v>0</v>
      </c>
      <c r="BJ218" s="2897">
        <f t="shared" si="167"/>
        <v>0</v>
      </c>
      <c r="BK218" s="2897">
        <f t="shared" si="168"/>
        <v>0</v>
      </c>
      <c r="BL218" s="2897">
        <f t="shared" si="169"/>
        <v>0</v>
      </c>
      <c r="BM218" s="2897">
        <f t="shared" si="170"/>
        <v>0</v>
      </c>
      <c r="BN218" s="2897">
        <f t="shared" si="171"/>
        <v>0</v>
      </c>
      <c r="BO218" s="2897">
        <f t="shared" si="172"/>
        <v>0</v>
      </c>
      <c r="BP218" s="2897">
        <f t="shared" si="173"/>
        <v>0</v>
      </c>
      <c r="BQ218" s="2897">
        <f t="shared" si="174"/>
        <v>0</v>
      </c>
      <c r="BR218" s="2897">
        <f t="shared" si="175"/>
        <v>0</v>
      </c>
      <c r="BS218" s="2897">
        <f t="shared" si="176"/>
        <v>0</v>
      </c>
      <c r="BT218" s="2971">
        <f t="shared" si="177"/>
        <v>0</v>
      </c>
    </row>
    <row r="219" spans="1:72">
      <c r="A219" s="2894"/>
      <c r="B219" s="2904"/>
      <c r="C219" s="2902"/>
      <c r="D219" s="2903"/>
      <c r="E219" s="2897">
        <f t="shared" si="149"/>
        <v>0</v>
      </c>
      <c r="F219" s="2898"/>
      <c r="G219" s="2899">
        <f t="shared" si="150"/>
        <v>0</v>
      </c>
      <c r="H219" s="2900">
        <f t="shared" si="151"/>
        <v>0</v>
      </c>
      <c r="I219" s="2906"/>
      <c r="J219" s="2918"/>
      <c r="K219" s="2906"/>
      <c r="L219" s="2918"/>
      <c r="M219" s="2918"/>
      <c r="N219" s="2918"/>
      <c r="O219" s="2918"/>
      <c r="P219" s="2918"/>
      <c r="Q219" s="2918"/>
      <c r="R219" s="2918"/>
      <c r="S219" s="2918"/>
      <c r="T219" s="2918"/>
      <c r="U219" s="2918"/>
      <c r="V219" s="2918"/>
      <c r="W219" s="2918"/>
      <c r="X219" s="2918"/>
      <c r="Y219" s="2918"/>
      <c r="Z219" s="2918"/>
      <c r="AA219" s="2918"/>
      <c r="AB219" s="2918"/>
      <c r="AC219" s="2897">
        <f t="shared" si="152"/>
        <v>0</v>
      </c>
      <c r="AD219" s="2929"/>
      <c r="AE219" s="2929"/>
      <c r="AF219" s="2906"/>
      <c r="AG219" s="2929"/>
      <c r="AH219" s="2929"/>
      <c r="AI219" s="2929"/>
      <c r="AJ219" s="2929"/>
      <c r="AK219" s="2929"/>
      <c r="AL219" s="2929"/>
      <c r="AM219" s="2929"/>
      <c r="AN219" s="2929"/>
      <c r="AO219" s="2929"/>
      <c r="AP219" s="2929"/>
      <c r="AQ219" s="2929"/>
      <c r="AR219" s="2929"/>
      <c r="AS219" s="2929"/>
      <c r="AT219" s="2949"/>
      <c r="AU219" s="2950"/>
      <c r="AV219" s="454">
        <f t="shared" si="153"/>
        <v>0</v>
      </c>
      <c r="AW219" s="454">
        <f t="shared" si="154"/>
        <v>0</v>
      </c>
      <c r="AX219" s="454">
        <f t="shared" si="155"/>
        <v>0</v>
      </c>
      <c r="AY219" s="2966">
        <f t="shared" si="156"/>
        <v>0</v>
      </c>
      <c r="AZ219" s="2897">
        <f t="shared" si="157"/>
        <v>0</v>
      </c>
      <c r="BA219" s="2897">
        <f t="shared" si="158"/>
        <v>0</v>
      </c>
      <c r="BB219" s="2897">
        <f t="shared" si="159"/>
        <v>0</v>
      </c>
      <c r="BC219" s="2897">
        <f t="shared" si="160"/>
        <v>0</v>
      </c>
      <c r="BD219" s="2897">
        <f t="shared" si="161"/>
        <v>0</v>
      </c>
      <c r="BE219" s="2897">
        <f t="shared" si="162"/>
        <v>0</v>
      </c>
      <c r="BF219" s="2897">
        <f t="shared" si="163"/>
        <v>0</v>
      </c>
      <c r="BG219" s="2897">
        <f t="shared" si="164"/>
        <v>0</v>
      </c>
      <c r="BH219" s="2897">
        <f t="shared" si="165"/>
        <v>0</v>
      </c>
      <c r="BI219" s="2897">
        <f t="shared" si="166"/>
        <v>0</v>
      </c>
      <c r="BJ219" s="2897">
        <f t="shared" si="167"/>
        <v>0</v>
      </c>
      <c r="BK219" s="2897">
        <f t="shared" si="168"/>
        <v>0</v>
      </c>
      <c r="BL219" s="2897">
        <f t="shared" si="169"/>
        <v>0</v>
      </c>
      <c r="BM219" s="2897">
        <f t="shared" si="170"/>
        <v>0</v>
      </c>
      <c r="BN219" s="2897">
        <f t="shared" si="171"/>
        <v>0</v>
      </c>
      <c r="BO219" s="2897">
        <f t="shared" si="172"/>
        <v>0</v>
      </c>
      <c r="BP219" s="2897">
        <f t="shared" si="173"/>
        <v>0</v>
      </c>
      <c r="BQ219" s="2897">
        <f t="shared" si="174"/>
        <v>0</v>
      </c>
      <c r="BR219" s="2897">
        <f t="shared" si="175"/>
        <v>0</v>
      </c>
      <c r="BS219" s="2897">
        <f t="shared" si="176"/>
        <v>0</v>
      </c>
      <c r="BT219" s="2971">
        <f t="shared" si="177"/>
        <v>0</v>
      </c>
    </row>
    <row r="220" spans="1:72">
      <c r="A220" s="2894"/>
      <c r="B220" s="2904"/>
      <c r="C220" s="2902"/>
      <c r="D220" s="2903"/>
      <c r="E220" s="2897">
        <f t="shared" si="149"/>
        <v>0</v>
      </c>
      <c r="F220" s="2898"/>
      <c r="G220" s="2899">
        <f t="shared" si="150"/>
        <v>0</v>
      </c>
      <c r="H220" s="2900">
        <f t="shared" si="151"/>
        <v>0</v>
      </c>
      <c r="I220" s="2906"/>
      <c r="J220" s="2918"/>
      <c r="K220" s="2906"/>
      <c r="L220" s="2918"/>
      <c r="M220" s="2918"/>
      <c r="N220" s="2918"/>
      <c r="O220" s="2918"/>
      <c r="P220" s="2918"/>
      <c r="Q220" s="2918"/>
      <c r="R220" s="2918"/>
      <c r="S220" s="2918"/>
      <c r="T220" s="2918"/>
      <c r="U220" s="2918"/>
      <c r="V220" s="2918"/>
      <c r="W220" s="2918"/>
      <c r="X220" s="2918"/>
      <c r="Y220" s="2918"/>
      <c r="Z220" s="2918"/>
      <c r="AA220" s="2918"/>
      <c r="AB220" s="2918"/>
      <c r="AC220" s="2897">
        <f t="shared" si="152"/>
        <v>0</v>
      </c>
      <c r="AD220" s="2929"/>
      <c r="AE220" s="2929"/>
      <c r="AF220" s="2906"/>
      <c r="AG220" s="2929"/>
      <c r="AH220" s="2929"/>
      <c r="AI220" s="2929"/>
      <c r="AJ220" s="2929"/>
      <c r="AK220" s="2929"/>
      <c r="AL220" s="2929"/>
      <c r="AM220" s="2929"/>
      <c r="AN220" s="2929"/>
      <c r="AO220" s="2929"/>
      <c r="AP220" s="2929"/>
      <c r="AQ220" s="2929"/>
      <c r="AR220" s="2929"/>
      <c r="AS220" s="2929"/>
      <c r="AT220" s="2949"/>
      <c r="AU220" s="2950"/>
      <c r="AV220" s="454">
        <f t="shared" si="153"/>
        <v>0</v>
      </c>
      <c r="AW220" s="454">
        <f t="shared" si="154"/>
        <v>0</v>
      </c>
      <c r="AX220" s="454">
        <f t="shared" si="155"/>
        <v>0</v>
      </c>
      <c r="AY220" s="2966">
        <f t="shared" si="156"/>
        <v>0</v>
      </c>
      <c r="AZ220" s="2897">
        <f t="shared" si="157"/>
        <v>0</v>
      </c>
      <c r="BA220" s="2897">
        <f t="shared" si="158"/>
        <v>0</v>
      </c>
      <c r="BB220" s="2897">
        <f t="shared" si="159"/>
        <v>0</v>
      </c>
      <c r="BC220" s="2897">
        <f t="shared" si="160"/>
        <v>0</v>
      </c>
      <c r="BD220" s="2897">
        <f t="shared" si="161"/>
        <v>0</v>
      </c>
      <c r="BE220" s="2897">
        <f t="shared" si="162"/>
        <v>0</v>
      </c>
      <c r="BF220" s="2897">
        <f t="shared" si="163"/>
        <v>0</v>
      </c>
      <c r="BG220" s="2897">
        <f t="shared" si="164"/>
        <v>0</v>
      </c>
      <c r="BH220" s="2897">
        <f t="shared" si="165"/>
        <v>0</v>
      </c>
      <c r="BI220" s="2897">
        <f t="shared" si="166"/>
        <v>0</v>
      </c>
      <c r="BJ220" s="2897">
        <f t="shared" si="167"/>
        <v>0</v>
      </c>
      <c r="BK220" s="2897">
        <f t="shared" si="168"/>
        <v>0</v>
      </c>
      <c r="BL220" s="2897">
        <f t="shared" si="169"/>
        <v>0</v>
      </c>
      <c r="BM220" s="2897">
        <f t="shared" si="170"/>
        <v>0</v>
      </c>
      <c r="BN220" s="2897">
        <f t="shared" si="171"/>
        <v>0</v>
      </c>
      <c r="BO220" s="2897">
        <f t="shared" si="172"/>
        <v>0</v>
      </c>
      <c r="BP220" s="2897">
        <f t="shared" si="173"/>
        <v>0</v>
      </c>
      <c r="BQ220" s="2897">
        <f t="shared" si="174"/>
        <v>0</v>
      </c>
      <c r="BR220" s="2897">
        <f t="shared" si="175"/>
        <v>0</v>
      </c>
      <c r="BS220" s="2897">
        <f t="shared" si="176"/>
        <v>0</v>
      </c>
      <c r="BT220" s="2971">
        <f t="shared" si="177"/>
        <v>0</v>
      </c>
    </row>
    <row r="221" spans="1:72">
      <c r="A221" s="2894"/>
      <c r="B221" s="2904"/>
      <c r="C221" s="2902"/>
      <c r="D221" s="2903"/>
      <c r="E221" s="2897">
        <f t="shared" si="149"/>
        <v>0</v>
      </c>
      <c r="F221" s="2898"/>
      <c r="G221" s="2899">
        <f t="shared" si="150"/>
        <v>0</v>
      </c>
      <c r="H221" s="2900">
        <f t="shared" si="151"/>
        <v>0</v>
      </c>
      <c r="I221" s="2906"/>
      <c r="J221" s="2918"/>
      <c r="K221" s="2906"/>
      <c r="L221" s="2918"/>
      <c r="M221" s="2918"/>
      <c r="N221" s="2918"/>
      <c r="O221" s="2918"/>
      <c r="P221" s="2918"/>
      <c r="Q221" s="2918"/>
      <c r="R221" s="2918"/>
      <c r="S221" s="2918"/>
      <c r="T221" s="2918"/>
      <c r="U221" s="2918"/>
      <c r="V221" s="2918"/>
      <c r="W221" s="2918"/>
      <c r="X221" s="2918"/>
      <c r="Y221" s="2918"/>
      <c r="Z221" s="2918"/>
      <c r="AA221" s="2918"/>
      <c r="AB221" s="2918"/>
      <c r="AC221" s="2897">
        <f t="shared" si="152"/>
        <v>0</v>
      </c>
      <c r="AD221" s="2929"/>
      <c r="AE221" s="2929"/>
      <c r="AF221" s="2906"/>
      <c r="AG221" s="2929"/>
      <c r="AH221" s="2929"/>
      <c r="AI221" s="2929"/>
      <c r="AJ221" s="2929"/>
      <c r="AK221" s="2929"/>
      <c r="AL221" s="2929"/>
      <c r="AM221" s="2929"/>
      <c r="AN221" s="2929"/>
      <c r="AO221" s="2929"/>
      <c r="AP221" s="2929"/>
      <c r="AQ221" s="2929"/>
      <c r="AR221" s="2929"/>
      <c r="AS221" s="2929"/>
      <c r="AT221" s="2949"/>
      <c r="AU221" s="2950"/>
      <c r="AV221" s="454">
        <f t="shared" si="153"/>
        <v>0</v>
      </c>
      <c r="AW221" s="454">
        <f t="shared" si="154"/>
        <v>0</v>
      </c>
      <c r="AX221" s="454">
        <f t="shared" si="155"/>
        <v>0</v>
      </c>
      <c r="AY221" s="2966">
        <f t="shared" si="156"/>
        <v>0</v>
      </c>
      <c r="AZ221" s="2897">
        <f t="shared" si="157"/>
        <v>0</v>
      </c>
      <c r="BA221" s="2897">
        <f t="shared" si="158"/>
        <v>0</v>
      </c>
      <c r="BB221" s="2897">
        <f t="shared" si="159"/>
        <v>0</v>
      </c>
      <c r="BC221" s="2897">
        <f t="shared" si="160"/>
        <v>0</v>
      </c>
      <c r="BD221" s="2897">
        <f t="shared" si="161"/>
        <v>0</v>
      </c>
      <c r="BE221" s="2897">
        <f t="shared" si="162"/>
        <v>0</v>
      </c>
      <c r="BF221" s="2897">
        <f t="shared" si="163"/>
        <v>0</v>
      </c>
      <c r="BG221" s="2897">
        <f t="shared" si="164"/>
        <v>0</v>
      </c>
      <c r="BH221" s="2897">
        <f t="shared" si="165"/>
        <v>0</v>
      </c>
      <c r="BI221" s="2897">
        <f t="shared" si="166"/>
        <v>0</v>
      </c>
      <c r="BJ221" s="2897">
        <f t="shared" si="167"/>
        <v>0</v>
      </c>
      <c r="BK221" s="2897">
        <f t="shared" si="168"/>
        <v>0</v>
      </c>
      <c r="BL221" s="2897">
        <f t="shared" si="169"/>
        <v>0</v>
      </c>
      <c r="BM221" s="2897">
        <f t="shared" si="170"/>
        <v>0</v>
      </c>
      <c r="BN221" s="2897">
        <f t="shared" si="171"/>
        <v>0</v>
      </c>
      <c r="BO221" s="2897">
        <f t="shared" si="172"/>
        <v>0</v>
      </c>
      <c r="BP221" s="2897">
        <f t="shared" si="173"/>
        <v>0</v>
      </c>
      <c r="BQ221" s="2897">
        <f t="shared" si="174"/>
        <v>0</v>
      </c>
      <c r="BR221" s="2897">
        <f t="shared" si="175"/>
        <v>0</v>
      </c>
      <c r="BS221" s="2897">
        <f t="shared" si="176"/>
        <v>0</v>
      </c>
      <c r="BT221" s="2971">
        <f t="shared" si="177"/>
        <v>0</v>
      </c>
    </row>
    <row r="222" spans="1:72">
      <c r="A222" s="2894"/>
      <c r="B222" s="2904"/>
      <c r="C222" s="2902"/>
      <c r="D222" s="2903"/>
      <c r="E222" s="2897">
        <f t="shared" si="149"/>
        <v>0</v>
      </c>
      <c r="F222" s="2898"/>
      <c r="G222" s="2899">
        <f t="shared" si="150"/>
        <v>0</v>
      </c>
      <c r="H222" s="2900">
        <f t="shared" si="151"/>
        <v>0</v>
      </c>
      <c r="I222" s="2906"/>
      <c r="J222" s="2918"/>
      <c r="K222" s="2906"/>
      <c r="L222" s="2918"/>
      <c r="M222" s="2918"/>
      <c r="N222" s="2918"/>
      <c r="O222" s="2918"/>
      <c r="P222" s="2918"/>
      <c r="Q222" s="2918"/>
      <c r="R222" s="2918"/>
      <c r="S222" s="2918"/>
      <c r="T222" s="2918"/>
      <c r="U222" s="2918"/>
      <c r="V222" s="2918"/>
      <c r="W222" s="2918"/>
      <c r="X222" s="2918"/>
      <c r="Y222" s="2918"/>
      <c r="Z222" s="2918"/>
      <c r="AA222" s="2918"/>
      <c r="AB222" s="2918"/>
      <c r="AC222" s="2897">
        <f t="shared" si="152"/>
        <v>0</v>
      </c>
      <c r="AD222" s="2929"/>
      <c r="AE222" s="2929"/>
      <c r="AF222" s="2906"/>
      <c r="AG222" s="2929"/>
      <c r="AH222" s="2929"/>
      <c r="AI222" s="2929"/>
      <c r="AJ222" s="2929"/>
      <c r="AK222" s="2929"/>
      <c r="AL222" s="2929"/>
      <c r="AM222" s="2929"/>
      <c r="AN222" s="2929"/>
      <c r="AO222" s="2929"/>
      <c r="AP222" s="2929"/>
      <c r="AQ222" s="2929"/>
      <c r="AR222" s="2929"/>
      <c r="AS222" s="2929"/>
      <c r="AT222" s="2949"/>
      <c r="AU222" s="2950"/>
      <c r="AV222" s="454">
        <f t="shared" si="153"/>
        <v>0</v>
      </c>
      <c r="AW222" s="454">
        <f t="shared" si="154"/>
        <v>0</v>
      </c>
      <c r="AX222" s="454">
        <f t="shared" si="155"/>
        <v>0</v>
      </c>
      <c r="AY222" s="2966">
        <f t="shared" si="156"/>
        <v>0</v>
      </c>
      <c r="AZ222" s="2897">
        <f t="shared" si="157"/>
        <v>0</v>
      </c>
      <c r="BA222" s="2897">
        <f t="shared" si="158"/>
        <v>0</v>
      </c>
      <c r="BB222" s="2897">
        <f t="shared" si="159"/>
        <v>0</v>
      </c>
      <c r="BC222" s="2897">
        <f t="shared" si="160"/>
        <v>0</v>
      </c>
      <c r="BD222" s="2897">
        <f t="shared" si="161"/>
        <v>0</v>
      </c>
      <c r="BE222" s="2897">
        <f t="shared" si="162"/>
        <v>0</v>
      </c>
      <c r="BF222" s="2897">
        <f t="shared" si="163"/>
        <v>0</v>
      </c>
      <c r="BG222" s="2897">
        <f t="shared" si="164"/>
        <v>0</v>
      </c>
      <c r="BH222" s="2897">
        <f t="shared" si="165"/>
        <v>0</v>
      </c>
      <c r="BI222" s="2897">
        <f t="shared" si="166"/>
        <v>0</v>
      </c>
      <c r="BJ222" s="2897">
        <f t="shared" si="167"/>
        <v>0</v>
      </c>
      <c r="BK222" s="2897">
        <f t="shared" si="168"/>
        <v>0</v>
      </c>
      <c r="BL222" s="2897">
        <f t="shared" si="169"/>
        <v>0</v>
      </c>
      <c r="BM222" s="2897">
        <f t="shared" si="170"/>
        <v>0</v>
      </c>
      <c r="BN222" s="2897">
        <f t="shared" si="171"/>
        <v>0</v>
      </c>
      <c r="BO222" s="2897">
        <f t="shared" si="172"/>
        <v>0</v>
      </c>
      <c r="BP222" s="2897">
        <f t="shared" si="173"/>
        <v>0</v>
      </c>
      <c r="BQ222" s="2897">
        <f t="shared" si="174"/>
        <v>0</v>
      </c>
      <c r="BR222" s="2897">
        <f t="shared" si="175"/>
        <v>0</v>
      </c>
      <c r="BS222" s="2897">
        <f t="shared" si="176"/>
        <v>0</v>
      </c>
      <c r="BT222" s="2971">
        <f t="shared" si="177"/>
        <v>0</v>
      </c>
    </row>
    <row r="223" spans="1:72">
      <c r="A223" s="2894"/>
      <c r="B223" s="2904"/>
      <c r="C223" s="2902"/>
      <c r="D223" s="2903"/>
      <c r="E223" s="2897">
        <f t="shared" si="149"/>
        <v>0</v>
      </c>
      <c r="F223" s="2898"/>
      <c r="G223" s="2899">
        <f t="shared" si="150"/>
        <v>0</v>
      </c>
      <c r="H223" s="2900">
        <f t="shared" si="151"/>
        <v>0</v>
      </c>
      <c r="I223" s="2906"/>
      <c r="J223" s="2918"/>
      <c r="K223" s="2906"/>
      <c r="L223" s="2918"/>
      <c r="M223" s="2918"/>
      <c r="N223" s="2918"/>
      <c r="O223" s="2918"/>
      <c r="P223" s="2918"/>
      <c r="Q223" s="2918"/>
      <c r="R223" s="2918"/>
      <c r="S223" s="2918"/>
      <c r="T223" s="2918"/>
      <c r="U223" s="2918"/>
      <c r="V223" s="2918"/>
      <c r="W223" s="2918"/>
      <c r="X223" s="2918"/>
      <c r="Y223" s="2918"/>
      <c r="Z223" s="2918"/>
      <c r="AA223" s="2918"/>
      <c r="AB223" s="2918"/>
      <c r="AC223" s="2897">
        <f t="shared" si="152"/>
        <v>0</v>
      </c>
      <c r="AD223" s="2929"/>
      <c r="AE223" s="2929"/>
      <c r="AF223" s="2906"/>
      <c r="AG223" s="2929"/>
      <c r="AH223" s="2929"/>
      <c r="AI223" s="2929"/>
      <c r="AJ223" s="2929"/>
      <c r="AK223" s="2929"/>
      <c r="AL223" s="2929"/>
      <c r="AM223" s="2929"/>
      <c r="AN223" s="2929"/>
      <c r="AO223" s="2929"/>
      <c r="AP223" s="2929"/>
      <c r="AQ223" s="2929"/>
      <c r="AR223" s="2929"/>
      <c r="AS223" s="2929"/>
      <c r="AT223" s="2949"/>
      <c r="AU223" s="2950"/>
      <c r="AV223" s="454">
        <f t="shared" si="153"/>
        <v>0</v>
      </c>
      <c r="AW223" s="454">
        <f t="shared" si="154"/>
        <v>0</v>
      </c>
      <c r="AX223" s="454">
        <f t="shared" si="155"/>
        <v>0</v>
      </c>
      <c r="AY223" s="2966">
        <f t="shared" si="156"/>
        <v>0</v>
      </c>
      <c r="AZ223" s="2897">
        <f t="shared" si="157"/>
        <v>0</v>
      </c>
      <c r="BA223" s="2897">
        <f t="shared" si="158"/>
        <v>0</v>
      </c>
      <c r="BB223" s="2897">
        <f t="shared" si="159"/>
        <v>0</v>
      </c>
      <c r="BC223" s="2897">
        <f t="shared" si="160"/>
        <v>0</v>
      </c>
      <c r="BD223" s="2897">
        <f t="shared" si="161"/>
        <v>0</v>
      </c>
      <c r="BE223" s="2897">
        <f t="shared" si="162"/>
        <v>0</v>
      </c>
      <c r="BF223" s="2897">
        <f t="shared" si="163"/>
        <v>0</v>
      </c>
      <c r="BG223" s="2897">
        <f t="shared" si="164"/>
        <v>0</v>
      </c>
      <c r="BH223" s="2897">
        <f t="shared" si="165"/>
        <v>0</v>
      </c>
      <c r="BI223" s="2897">
        <f t="shared" si="166"/>
        <v>0</v>
      </c>
      <c r="BJ223" s="2897">
        <f t="shared" si="167"/>
        <v>0</v>
      </c>
      <c r="BK223" s="2897">
        <f t="shared" si="168"/>
        <v>0</v>
      </c>
      <c r="BL223" s="2897">
        <f t="shared" si="169"/>
        <v>0</v>
      </c>
      <c r="BM223" s="2897">
        <f t="shared" si="170"/>
        <v>0</v>
      </c>
      <c r="BN223" s="2897">
        <f t="shared" si="171"/>
        <v>0</v>
      </c>
      <c r="BO223" s="2897">
        <f t="shared" si="172"/>
        <v>0</v>
      </c>
      <c r="BP223" s="2897">
        <f t="shared" si="173"/>
        <v>0</v>
      </c>
      <c r="BQ223" s="2897">
        <f t="shared" si="174"/>
        <v>0</v>
      </c>
      <c r="BR223" s="2897">
        <f t="shared" si="175"/>
        <v>0</v>
      </c>
      <c r="BS223" s="2897">
        <f t="shared" si="176"/>
        <v>0</v>
      </c>
      <c r="BT223" s="2971">
        <f t="shared" si="177"/>
        <v>0</v>
      </c>
    </row>
    <row r="224" spans="1:72">
      <c r="A224" s="2894"/>
      <c r="B224" s="2904"/>
      <c r="C224" s="2902"/>
      <c r="D224" s="2903"/>
      <c r="E224" s="2897">
        <f t="shared" si="149"/>
        <v>0</v>
      </c>
      <c r="F224" s="2898"/>
      <c r="G224" s="2899">
        <f t="shared" si="150"/>
        <v>0</v>
      </c>
      <c r="H224" s="2900">
        <f t="shared" si="151"/>
        <v>0</v>
      </c>
      <c r="I224" s="2906"/>
      <c r="J224" s="2918"/>
      <c r="K224" s="2906"/>
      <c r="L224" s="2918"/>
      <c r="M224" s="2918"/>
      <c r="N224" s="2918"/>
      <c r="O224" s="2918"/>
      <c r="P224" s="2918"/>
      <c r="Q224" s="2918"/>
      <c r="R224" s="2918"/>
      <c r="S224" s="2918"/>
      <c r="T224" s="2918"/>
      <c r="U224" s="2918"/>
      <c r="V224" s="2918"/>
      <c r="W224" s="2918"/>
      <c r="X224" s="2918"/>
      <c r="Y224" s="2918"/>
      <c r="Z224" s="2918"/>
      <c r="AA224" s="2918"/>
      <c r="AB224" s="2918"/>
      <c r="AC224" s="2897">
        <f t="shared" si="152"/>
        <v>0</v>
      </c>
      <c r="AD224" s="2929"/>
      <c r="AE224" s="2929"/>
      <c r="AF224" s="2906"/>
      <c r="AG224" s="2929"/>
      <c r="AH224" s="2929"/>
      <c r="AI224" s="2929"/>
      <c r="AJ224" s="2929"/>
      <c r="AK224" s="2929"/>
      <c r="AL224" s="2929"/>
      <c r="AM224" s="2929"/>
      <c r="AN224" s="2929"/>
      <c r="AO224" s="2929"/>
      <c r="AP224" s="2929"/>
      <c r="AQ224" s="2929"/>
      <c r="AR224" s="2929"/>
      <c r="AS224" s="2929"/>
      <c r="AT224" s="2949"/>
      <c r="AU224" s="2950"/>
      <c r="AV224" s="454">
        <f t="shared" si="153"/>
        <v>0</v>
      </c>
      <c r="AW224" s="454">
        <f t="shared" si="154"/>
        <v>0</v>
      </c>
      <c r="AX224" s="454">
        <f t="shared" si="155"/>
        <v>0</v>
      </c>
      <c r="AY224" s="2966">
        <f t="shared" si="156"/>
        <v>0</v>
      </c>
      <c r="AZ224" s="2897">
        <f t="shared" si="157"/>
        <v>0</v>
      </c>
      <c r="BA224" s="2897">
        <f t="shared" si="158"/>
        <v>0</v>
      </c>
      <c r="BB224" s="2897">
        <f t="shared" si="159"/>
        <v>0</v>
      </c>
      <c r="BC224" s="2897">
        <f t="shared" si="160"/>
        <v>0</v>
      </c>
      <c r="BD224" s="2897">
        <f t="shared" si="161"/>
        <v>0</v>
      </c>
      <c r="BE224" s="2897">
        <f t="shared" si="162"/>
        <v>0</v>
      </c>
      <c r="BF224" s="2897">
        <f t="shared" si="163"/>
        <v>0</v>
      </c>
      <c r="BG224" s="2897">
        <f t="shared" si="164"/>
        <v>0</v>
      </c>
      <c r="BH224" s="2897">
        <f t="shared" si="165"/>
        <v>0</v>
      </c>
      <c r="BI224" s="2897">
        <f t="shared" si="166"/>
        <v>0</v>
      </c>
      <c r="BJ224" s="2897">
        <f t="shared" si="167"/>
        <v>0</v>
      </c>
      <c r="BK224" s="2897">
        <f t="shared" si="168"/>
        <v>0</v>
      </c>
      <c r="BL224" s="2897">
        <f t="shared" si="169"/>
        <v>0</v>
      </c>
      <c r="BM224" s="2897">
        <f t="shared" si="170"/>
        <v>0</v>
      </c>
      <c r="BN224" s="2897">
        <f t="shared" si="171"/>
        <v>0</v>
      </c>
      <c r="BO224" s="2897">
        <f t="shared" si="172"/>
        <v>0</v>
      </c>
      <c r="BP224" s="2897">
        <f t="shared" si="173"/>
        <v>0</v>
      </c>
      <c r="BQ224" s="2897">
        <f t="shared" si="174"/>
        <v>0</v>
      </c>
      <c r="BR224" s="2897">
        <f t="shared" si="175"/>
        <v>0</v>
      </c>
      <c r="BS224" s="2897">
        <f t="shared" si="176"/>
        <v>0</v>
      </c>
      <c r="BT224" s="2971">
        <f t="shared" si="177"/>
        <v>0</v>
      </c>
    </row>
    <row r="225" spans="1:72">
      <c r="A225" s="2894"/>
      <c r="B225" s="2904"/>
      <c r="C225" s="2902"/>
      <c r="D225" s="2903"/>
      <c r="E225" s="2897">
        <f t="shared" si="149"/>
        <v>0</v>
      </c>
      <c r="F225" s="2898"/>
      <c r="G225" s="2899">
        <f t="shared" si="150"/>
        <v>0</v>
      </c>
      <c r="H225" s="2900">
        <f t="shared" si="151"/>
        <v>0</v>
      </c>
      <c r="I225" s="2906"/>
      <c r="J225" s="2918"/>
      <c r="K225" s="2906"/>
      <c r="L225" s="2918"/>
      <c r="M225" s="2918"/>
      <c r="N225" s="2918"/>
      <c r="O225" s="2918"/>
      <c r="P225" s="2918"/>
      <c r="Q225" s="2918"/>
      <c r="R225" s="2918"/>
      <c r="S225" s="2918"/>
      <c r="T225" s="2918"/>
      <c r="U225" s="2918"/>
      <c r="V225" s="2918"/>
      <c r="W225" s="2918"/>
      <c r="X225" s="2918"/>
      <c r="Y225" s="2918"/>
      <c r="Z225" s="2918"/>
      <c r="AA225" s="2918"/>
      <c r="AB225" s="2918"/>
      <c r="AC225" s="2897">
        <f t="shared" si="152"/>
        <v>0</v>
      </c>
      <c r="AD225" s="2929"/>
      <c r="AE225" s="2929"/>
      <c r="AF225" s="2906"/>
      <c r="AG225" s="2929"/>
      <c r="AH225" s="2929"/>
      <c r="AI225" s="2929"/>
      <c r="AJ225" s="2929"/>
      <c r="AK225" s="2929"/>
      <c r="AL225" s="2929"/>
      <c r="AM225" s="2929"/>
      <c r="AN225" s="2929"/>
      <c r="AO225" s="2929"/>
      <c r="AP225" s="2929"/>
      <c r="AQ225" s="2929"/>
      <c r="AR225" s="2929"/>
      <c r="AS225" s="2929"/>
      <c r="AT225" s="2949"/>
      <c r="AU225" s="2950"/>
      <c r="AV225" s="454">
        <f t="shared" si="153"/>
        <v>0</v>
      </c>
      <c r="AW225" s="454">
        <f t="shared" si="154"/>
        <v>0</v>
      </c>
      <c r="AX225" s="454">
        <f t="shared" si="155"/>
        <v>0</v>
      </c>
      <c r="AY225" s="2966">
        <f t="shared" si="156"/>
        <v>0</v>
      </c>
      <c r="AZ225" s="2897">
        <f t="shared" si="157"/>
        <v>0</v>
      </c>
      <c r="BA225" s="2897">
        <f t="shared" si="158"/>
        <v>0</v>
      </c>
      <c r="BB225" s="2897">
        <f t="shared" si="159"/>
        <v>0</v>
      </c>
      <c r="BC225" s="2897">
        <f t="shared" si="160"/>
        <v>0</v>
      </c>
      <c r="BD225" s="2897">
        <f t="shared" si="161"/>
        <v>0</v>
      </c>
      <c r="BE225" s="2897">
        <f t="shared" si="162"/>
        <v>0</v>
      </c>
      <c r="BF225" s="2897">
        <f t="shared" si="163"/>
        <v>0</v>
      </c>
      <c r="BG225" s="2897">
        <f t="shared" si="164"/>
        <v>0</v>
      </c>
      <c r="BH225" s="2897">
        <f t="shared" si="165"/>
        <v>0</v>
      </c>
      <c r="BI225" s="2897">
        <f t="shared" si="166"/>
        <v>0</v>
      </c>
      <c r="BJ225" s="2897">
        <f t="shared" si="167"/>
        <v>0</v>
      </c>
      <c r="BK225" s="2897">
        <f t="shared" si="168"/>
        <v>0</v>
      </c>
      <c r="BL225" s="2897">
        <f t="shared" si="169"/>
        <v>0</v>
      </c>
      <c r="BM225" s="2897">
        <f t="shared" si="170"/>
        <v>0</v>
      </c>
      <c r="BN225" s="2897">
        <f t="shared" si="171"/>
        <v>0</v>
      </c>
      <c r="BO225" s="2897">
        <f t="shared" si="172"/>
        <v>0</v>
      </c>
      <c r="BP225" s="2897">
        <f t="shared" si="173"/>
        <v>0</v>
      </c>
      <c r="BQ225" s="2897">
        <f t="shared" si="174"/>
        <v>0</v>
      </c>
      <c r="BR225" s="2897">
        <f t="shared" si="175"/>
        <v>0</v>
      </c>
      <c r="BS225" s="2897">
        <f t="shared" si="176"/>
        <v>0</v>
      </c>
      <c r="BT225" s="2971">
        <f t="shared" si="177"/>
        <v>0</v>
      </c>
    </row>
    <row r="226" spans="1:72">
      <c r="A226" s="2894"/>
      <c r="B226" s="2904"/>
      <c r="C226" s="2902"/>
      <c r="D226" s="2903"/>
      <c r="E226" s="2897">
        <f t="shared" si="149"/>
        <v>0</v>
      </c>
      <c r="F226" s="2898"/>
      <c r="G226" s="2899">
        <f t="shared" si="150"/>
        <v>0</v>
      </c>
      <c r="H226" s="2900">
        <f t="shared" si="151"/>
        <v>0</v>
      </c>
      <c r="I226" s="2906"/>
      <c r="J226" s="2918"/>
      <c r="K226" s="2906"/>
      <c r="L226" s="2918"/>
      <c r="M226" s="2918"/>
      <c r="N226" s="2918"/>
      <c r="O226" s="2918"/>
      <c r="P226" s="2918"/>
      <c r="Q226" s="2918"/>
      <c r="R226" s="2918"/>
      <c r="S226" s="2918"/>
      <c r="T226" s="2918"/>
      <c r="U226" s="2918"/>
      <c r="V226" s="2918"/>
      <c r="W226" s="2918"/>
      <c r="X226" s="2918"/>
      <c r="Y226" s="2918"/>
      <c r="Z226" s="2918"/>
      <c r="AA226" s="2918"/>
      <c r="AB226" s="2918"/>
      <c r="AC226" s="2897">
        <f t="shared" si="152"/>
        <v>0</v>
      </c>
      <c r="AD226" s="2929"/>
      <c r="AE226" s="2929"/>
      <c r="AF226" s="2906"/>
      <c r="AG226" s="2929"/>
      <c r="AH226" s="2929"/>
      <c r="AI226" s="2929"/>
      <c r="AJ226" s="2929"/>
      <c r="AK226" s="2929"/>
      <c r="AL226" s="2929"/>
      <c r="AM226" s="2929"/>
      <c r="AN226" s="2929"/>
      <c r="AO226" s="2929"/>
      <c r="AP226" s="2929"/>
      <c r="AQ226" s="2929"/>
      <c r="AR226" s="2929"/>
      <c r="AS226" s="2929"/>
      <c r="AT226" s="2949"/>
      <c r="AU226" s="2950"/>
      <c r="AV226" s="454">
        <f t="shared" si="153"/>
        <v>0</v>
      </c>
      <c r="AW226" s="454">
        <f t="shared" si="154"/>
        <v>0</v>
      </c>
      <c r="AX226" s="454">
        <f t="shared" si="155"/>
        <v>0</v>
      </c>
      <c r="AY226" s="2966">
        <f t="shared" si="156"/>
        <v>0</v>
      </c>
      <c r="AZ226" s="2897">
        <f t="shared" si="157"/>
        <v>0</v>
      </c>
      <c r="BA226" s="2897">
        <f t="shared" si="158"/>
        <v>0</v>
      </c>
      <c r="BB226" s="2897">
        <f t="shared" si="159"/>
        <v>0</v>
      </c>
      <c r="BC226" s="2897">
        <f t="shared" si="160"/>
        <v>0</v>
      </c>
      <c r="BD226" s="2897">
        <f t="shared" si="161"/>
        <v>0</v>
      </c>
      <c r="BE226" s="2897">
        <f t="shared" si="162"/>
        <v>0</v>
      </c>
      <c r="BF226" s="2897">
        <f t="shared" si="163"/>
        <v>0</v>
      </c>
      <c r="BG226" s="2897">
        <f t="shared" si="164"/>
        <v>0</v>
      </c>
      <c r="BH226" s="2897">
        <f t="shared" si="165"/>
        <v>0</v>
      </c>
      <c r="BI226" s="2897">
        <f t="shared" si="166"/>
        <v>0</v>
      </c>
      <c r="BJ226" s="2897">
        <f t="shared" si="167"/>
        <v>0</v>
      </c>
      <c r="BK226" s="2897">
        <f t="shared" si="168"/>
        <v>0</v>
      </c>
      <c r="BL226" s="2897">
        <f t="shared" si="169"/>
        <v>0</v>
      </c>
      <c r="BM226" s="2897">
        <f t="shared" si="170"/>
        <v>0</v>
      </c>
      <c r="BN226" s="2897">
        <f t="shared" si="171"/>
        <v>0</v>
      </c>
      <c r="BO226" s="2897">
        <f t="shared" si="172"/>
        <v>0</v>
      </c>
      <c r="BP226" s="2897">
        <f t="shared" si="173"/>
        <v>0</v>
      </c>
      <c r="BQ226" s="2897">
        <f t="shared" si="174"/>
        <v>0</v>
      </c>
      <c r="BR226" s="2897">
        <f t="shared" si="175"/>
        <v>0</v>
      </c>
      <c r="BS226" s="2897">
        <f t="shared" si="176"/>
        <v>0</v>
      </c>
      <c r="BT226" s="2971">
        <f t="shared" si="177"/>
        <v>0</v>
      </c>
    </row>
    <row r="227" spans="1:72">
      <c r="A227" s="2894"/>
      <c r="B227" s="2904"/>
      <c r="C227" s="2902"/>
      <c r="D227" s="2903"/>
      <c r="E227" s="2897">
        <f t="shared" si="149"/>
        <v>0</v>
      </c>
      <c r="F227" s="2898"/>
      <c r="G227" s="2899">
        <f t="shared" si="150"/>
        <v>0</v>
      </c>
      <c r="H227" s="2900">
        <f t="shared" si="151"/>
        <v>0</v>
      </c>
      <c r="I227" s="2906"/>
      <c r="J227" s="2918"/>
      <c r="K227" s="2906"/>
      <c r="L227" s="2918"/>
      <c r="M227" s="2918"/>
      <c r="N227" s="2918"/>
      <c r="O227" s="2918"/>
      <c r="P227" s="2918"/>
      <c r="Q227" s="2918"/>
      <c r="R227" s="2918"/>
      <c r="S227" s="2918"/>
      <c r="T227" s="2918"/>
      <c r="U227" s="2918"/>
      <c r="V227" s="2918"/>
      <c r="W227" s="2918"/>
      <c r="X227" s="2918"/>
      <c r="Y227" s="2918"/>
      <c r="Z227" s="2918"/>
      <c r="AA227" s="2918"/>
      <c r="AB227" s="2918"/>
      <c r="AC227" s="2897">
        <f t="shared" si="152"/>
        <v>0</v>
      </c>
      <c r="AD227" s="2929"/>
      <c r="AE227" s="2929"/>
      <c r="AF227" s="2906"/>
      <c r="AG227" s="2929"/>
      <c r="AH227" s="2929"/>
      <c r="AI227" s="2929"/>
      <c r="AJ227" s="2929"/>
      <c r="AK227" s="2929"/>
      <c r="AL227" s="2929"/>
      <c r="AM227" s="2929"/>
      <c r="AN227" s="2929"/>
      <c r="AO227" s="2929"/>
      <c r="AP227" s="2929"/>
      <c r="AQ227" s="2929"/>
      <c r="AR227" s="2929"/>
      <c r="AS227" s="2929"/>
      <c r="AT227" s="2949"/>
      <c r="AU227" s="2950"/>
      <c r="AV227" s="454">
        <f t="shared" si="153"/>
        <v>0</v>
      </c>
      <c r="AW227" s="454">
        <f t="shared" si="154"/>
        <v>0</v>
      </c>
      <c r="AX227" s="454">
        <f t="shared" si="155"/>
        <v>0</v>
      </c>
      <c r="AY227" s="2966">
        <f t="shared" si="156"/>
        <v>0</v>
      </c>
      <c r="AZ227" s="2897">
        <f t="shared" si="157"/>
        <v>0</v>
      </c>
      <c r="BA227" s="2897">
        <f t="shared" si="158"/>
        <v>0</v>
      </c>
      <c r="BB227" s="2897">
        <f t="shared" si="159"/>
        <v>0</v>
      </c>
      <c r="BC227" s="2897">
        <f t="shared" si="160"/>
        <v>0</v>
      </c>
      <c r="BD227" s="2897">
        <f t="shared" si="161"/>
        <v>0</v>
      </c>
      <c r="BE227" s="2897">
        <f t="shared" si="162"/>
        <v>0</v>
      </c>
      <c r="BF227" s="2897">
        <f t="shared" si="163"/>
        <v>0</v>
      </c>
      <c r="BG227" s="2897">
        <f t="shared" si="164"/>
        <v>0</v>
      </c>
      <c r="BH227" s="2897">
        <f t="shared" si="165"/>
        <v>0</v>
      </c>
      <c r="BI227" s="2897">
        <f t="shared" si="166"/>
        <v>0</v>
      </c>
      <c r="BJ227" s="2897">
        <f t="shared" si="167"/>
        <v>0</v>
      </c>
      <c r="BK227" s="2897">
        <f t="shared" si="168"/>
        <v>0</v>
      </c>
      <c r="BL227" s="2897">
        <f t="shared" si="169"/>
        <v>0</v>
      </c>
      <c r="BM227" s="2897">
        <f t="shared" si="170"/>
        <v>0</v>
      </c>
      <c r="BN227" s="2897">
        <f t="shared" si="171"/>
        <v>0</v>
      </c>
      <c r="BO227" s="2897">
        <f t="shared" si="172"/>
        <v>0</v>
      </c>
      <c r="BP227" s="2897">
        <f t="shared" si="173"/>
        <v>0</v>
      </c>
      <c r="BQ227" s="2897">
        <f t="shared" si="174"/>
        <v>0</v>
      </c>
      <c r="BR227" s="2897">
        <f t="shared" si="175"/>
        <v>0</v>
      </c>
      <c r="BS227" s="2897">
        <f t="shared" si="176"/>
        <v>0</v>
      </c>
      <c r="BT227" s="2971">
        <f t="shared" si="177"/>
        <v>0</v>
      </c>
    </row>
    <row r="228" spans="1:72">
      <c r="A228" s="2894"/>
      <c r="B228" s="2904"/>
      <c r="C228" s="2902"/>
      <c r="D228" s="2903"/>
      <c r="E228" s="2897">
        <f t="shared" si="149"/>
        <v>0</v>
      </c>
      <c r="F228" s="2898"/>
      <c r="G228" s="2899">
        <f t="shared" si="150"/>
        <v>0</v>
      </c>
      <c r="H228" s="2900">
        <f t="shared" si="151"/>
        <v>0</v>
      </c>
      <c r="I228" s="2906"/>
      <c r="J228" s="2918"/>
      <c r="K228" s="2906"/>
      <c r="L228" s="2918"/>
      <c r="M228" s="2918"/>
      <c r="N228" s="2918"/>
      <c r="O228" s="2918"/>
      <c r="P228" s="2918"/>
      <c r="Q228" s="2918"/>
      <c r="R228" s="2918"/>
      <c r="S228" s="2918"/>
      <c r="T228" s="2918"/>
      <c r="U228" s="2918"/>
      <c r="V228" s="2918"/>
      <c r="W228" s="2918"/>
      <c r="X228" s="2918"/>
      <c r="Y228" s="2918"/>
      <c r="Z228" s="2918"/>
      <c r="AA228" s="2918"/>
      <c r="AB228" s="2918"/>
      <c r="AC228" s="2897">
        <f t="shared" si="152"/>
        <v>0</v>
      </c>
      <c r="AD228" s="2929"/>
      <c r="AE228" s="2929"/>
      <c r="AF228" s="2906"/>
      <c r="AG228" s="2929"/>
      <c r="AH228" s="2929"/>
      <c r="AI228" s="2929"/>
      <c r="AJ228" s="2929"/>
      <c r="AK228" s="2929"/>
      <c r="AL228" s="2929"/>
      <c r="AM228" s="2929"/>
      <c r="AN228" s="2929"/>
      <c r="AO228" s="2929"/>
      <c r="AP228" s="2929"/>
      <c r="AQ228" s="2929"/>
      <c r="AR228" s="2929"/>
      <c r="AS228" s="2929"/>
      <c r="AT228" s="2949"/>
      <c r="AU228" s="2950"/>
      <c r="AV228" s="454">
        <f t="shared" si="153"/>
        <v>0</v>
      </c>
      <c r="AW228" s="454">
        <f t="shared" si="154"/>
        <v>0</v>
      </c>
      <c r="AX228" s="454">
        <f t="shared" si="155"/>
        <v>0</v>
      </c>
      <c r="AY228" s="2966">
        <f t="shared" si="156"/>
        <v>0</v>
      </c>
      <c r="AZ228" s="2897">
        <f t="shared" si="157"/>
        <v>0</v>
      </c>
      <c r="BA228" s="2897">
        <f t="shared" si="158"/>
        <v>0</v>
      </c>
      <c r="BB228" s="2897">
        <f t="shared" si="159"/>
        <v>0</v>
      </c>
      <c r="BC228" s="2897">
        <f t="shared" si="160"/>
        <v>0</v>
      </c>
      <c r="BD228" s="2897">
        <f t="shared" si="161"/>
        <v>0</v>
      </c>
      <c r="BE228" s="2897">
        <f t="shared" si="162"/>
        <v>0</v>
      </c>
      <c r="BF228" s="2897">
        <f t="shared" si="163"/>
        <v>0</v>
      </c>
      <c r="BG228" s="2897">
        <f t="shared" si="164"/>
        <v>0</v>
      </c>
      <c r="BH228" s="2897">
        <f t="shared" si="165"/>
        <v>0</v>
      </c>
      <c r="BI228" s="2897">
        <f t="shared" si="166"/>
        <v>0</v>
      </c>
      <c r="BJ228" s="2897">
        <f t="shared" si="167"/>
        <v>0</v>
      </c>
      <c r="BK228" s="2897">
        <f t="shared" si="168"/>
        <v>0</v>
      </c>
      <c r="BL228" s="2897">
        <f t="shared" si="169"/>
        <v>0</v>
      </c>
      <c r="BM228" s="2897">
        <f t="shared" si="170"/>
        <v>0</v>
      </c>
      <c r="BN228" s="2897">
        <f t="shared" si="171"/>
        <v>0</v>
      </c>
      <c r="BO228" s="2897">
        <f t="shared" si="172"/>
        <v>0</v>
      </c>
      <c r="BP228" s="2897">
        <f t="shared" si="173"/>
        <v>0</v>
      </c>
      <c r="BQ228" s="2897">
        <f t="shared" si="174"/>
        <v>0</v>
      </c>
      <c r="BR228" s="2897">
        <f t="shared" si="175"/>
        <v>0</v>
      </c>
      <c r="BS228" s="2897">
        <f t="shared" si="176"/>
        <v>0</v>
      </c>
      <c r="BT228" s="2971">
        <f t="shared" si="177"/>
        <v>0</v>
      </c>
    </row>
    <row r="229" spans="1:72">
      <c r="A229" s="2894"/>
      <c r="B229" s="2904"/>
      <c r="C229" s="2902"/>
      <c r="D229" s="2903"/>
      <c r="E229" s="2897">
        <f t="shared" si="149"/>
        <v>0</v>
      </c>
      <c r="F229" s="2898"/>
      <c r="G229" s="2899">
        <f t="shared" si="150"/>
        <v>0</v>
      </c>
      <c r="H229" s="2900">
        <f t="shared" si="151"/>
        <v>0</v>
      </c>
      <c r="I229" s="2906"/>
      <c r="J229" s="2918"/>
      <c r="K229" s="2906"/>
      <c r="L229" s="2918"/>
      <c r="M229" s="2918"/>
      <c r="N229" s="2918"/>
      <c r="O229" s="2918"/>
      <c r="P229" s="2918"/>
      <c r="Q229" s="2918"/>
      <c r="R229" s="2918"/>
      <c r="S229" s="2918"/>
      <c r="T229" s="2918"/>
      <c r="U229" s="2918"/>
      <c r="V229" s="2918"/>
      <c r="W229" s="2918"/>
      <c r="X229" s="2918"/>
      <c r="Y229" s="2918"/>
      <c r="Z229" s="2918"/>
      <c r="AA229" s="2918"/>
      <c r="AB229" s="2918"/>
      <c r="AC229" s="2897">
        <f t="shared" si="152"/>
        <v>0</v>
      </c>
      <c r="AD229" s="2929"/>
      <c r="AE229" s="2929"/>
      <c r="AF229" s="2906"/>
      <c r="AG229" s="2929"/>
      <c r="AH229" s="2929"/>
      <c r="AI229" s="2929"/>
      <c r="AJ229" s="2929"/>
      <c r="AK229" s="2929"/>
      <c r="AL229" s="2929"/>
      <c r="AM229" s="2929"/>
      <c r="AN229" s="2929"/>
      <c r="AO229" s="2929"/>
      <c r="AP229" s="2929"/>
      <c r="AQ229" s="2929"/>
      <c r="AR229" s="2929"/>
      <c r="AS229" s="2929"/>
      <c r="AT229" s="2949"/>
      <c r="AU229" s="2950"/>
      <c r="AV229" s="454">
        <f t="shared" si="153"/>
        <v>0</v>
      </c>
      <c r="AW229" s="454">
        <f t="shared" si="154"/>
        <v>0</v>
      </c>
      <c r="AX229" s="454">
        <f t="shared" si="155"/>
        <v>0</v>
      </c>
      <c r="AY229" s="2966">
        <f t="shared" si="156"/>
        <v>0</v>
      </c>
      <c r="AZ229" s="2897">
        <f t="shared" si="157"/>
        <v>0</v>
      </c>
      <c r="BA229" s="2897">
        <f t="shared" si="158"/>
        <v>0</v>
      </c>
      <c r="BB229" s="2897">
        <f t="shared" si="159"/>
        <v>0</v>
      </c>
      <c r="BC229" s="2897">
        <f t="shared" si="160"/>
        <v>0</v>
      </c>
      <c r="BD229" s="2897">
        <f t="shared" si="161"/>
        <v>0</v>
      </c>
      <c r="BE229" s="2897">
        <f t="shared" si="162"/>
        <v>0</v>
      </c>
      <c r="BF229" s="2897">
        <f t="shared" si="163"/>
        <v>0</v>
      </c>
      <c r="BG229" s="2897">
        <f t="shared" si="164"/>
        <v>0</v>
      </c>
      <c r="BH229" s="2897">
        <f t="shared" si="165"/>
        <v>0</v>
      </c>
      <c r="BI229" s="2897">
        <f t="shared" si="166"/>
        <v>0</v>
      </c>
      <c r="BJ229" s="2897">
        <f t="shared" si="167"/>
        <v>0</v>
      </c>
      <c r="BK229" s="2897">
        <f t="shared" si="168"/>
        <v>0</v>
      </c>
      <c r="BL229" s="2897">
        <f t="shared" si="169"/>
        <v>0</v>
      </c>
      <c r="BM229" s="2897">
        <f t="shared" si="170"/>
        <v>0</v>
      </c>
      <c r="BN229" s="2897">
        <f t="shared" si="171"/>
        <v>0</v>
      </c>
      <c r="BO229" s="2897">
        <f t="shared" si="172"/>
        <v>0</v>
      </c>
      <c r="BP229" s="2897">
        <f t="shared" si="173"/>
        <v>0</v>
      </c>
      <c r="BQ229" s="2897">
        <f t="shared" si="174"/>
        <v>0</v>
      </c>
      <c r="BR229" s="2897">
        <f t="shared" si="175"/>
        <v>0</v>
      </c>
      <c r="BS229" s="2897">
        <f t="shared" si="176"/>
        <v>0</v>
      </c>
      <c r="BT229" s="2971">
        <f t="shared" si="177"/>
        <v>0</v>
      </c>
    </row>
    <row r="230" spans="1:72">
      <c r="A230" s="2894"/>
      <c r="B230" s="2904"/>
      <c r="C230" s="2902"/>
      <c r="D230" s="2903"/>
      <c r="E230" s="2897">
        <f t="shared" si="149"/>
        <v>0</v>
      </c>
      <c r="F230" s="2898"/>
      <c r="G230" s="2899">
        <f t="shared" si="150"/>
        <v>0</v>
      </c>
      <c r="H230" s="2900">
        <f t="shared" si="151"/>
        <v>0</v>
      </c>
      <c r="I230" s="2906"/>
      <c r="J230" s="2918"/>
      <c r="K230" s="2906"/>
      <c r="L230" s="2918"/>
      <c r="M230" s="2918"/>
      <c r="N230" s="2918"/>
      <c r="O230" s="2918"/>
      <c r="P230" s="2918"/>
      <c r="Q230" s="2918"/>
      <c r="R230" s="2918"/>
      <c r="S230" s="2918"/>
      <c r="T230" s="2918"/>
      <c r="U230" s="2918"/>
      <c r="V230" s="2918"/>
      <c r="W230" s="2918"/>
      <c r="X230" s="2918"/>
      <c r="Y230" s="2918"/>
      <c r="Z230" s="2918"/>
      <c r="AA230" s="2918"/>
      <c r="AB230" s="2918"/>
      <c r="AC230" s="2897">
        <f t="shared" si="152"/>
        <v>0</v>
      </c>
      <c r="AD230" s="2929"/>
      <c r="AE230" s="2929"/>
      <c r="AF230" s="2906"/>
      <c r="AG230" s="2929"/>
      <c r="AH230" s="2929"/>
      <c r="AI230" s="2929"/>
      <c r="AJ230" s="2929"/>
      <c r="AK230" s="2929"/>
      <c r="AL230" s="2929"/>
      <c r="AM230" s="2929"/>
      <c r="AN230" s="2929"/>
      <c r="AO230" s="2929"/>
      <c r="AP230" s="2929"/>
      <c r="AQ230" s="2929"/>
      <c r="AR230" s="2929"/>
      <c r="AS230" s="2929"/>
      <c r="AT230" s="2949"/>
      <c r="AU230" s="2950"/>
      <c r="AV230" s="454">
        <f t="shared" si="153"/>
        <v>0</v>
      </c>
      <c r="AW230" s="454">
        <f t="shared" si="154"/>
        <v>0</v>
      </c>
      <c r="AX230" s="454">
        <f t="shared" si="155"/>
        <v>0</v>
      </c>
      <c r="AY230" s="2966">
        <f t="shared" si="156"/>
        <v>0</v>
      </c>
      <c r="AZ230" s="2897">
        <f t="shared" si="157"/>
        <v>0</v>
      </c>
      <c r="BA230" s="2897">
        <f t="shared" si="158"/>
        <v>0</v>
      </c>
      <c r="BB230" s="2897">
        <f t="shared" si="159"/>
        <v>0</v>
      </c>
      <c r="BC230" s="2897">
        <f t="shared" si="160"/>
        <v>0</v>
      </c>
      <c r="BD230" s="2897">
        <f t="shared" si="161"/>
        <v>0</v>
      </c>
      <c r="BE230" s="2897">
        <f t="shared" si="162"/>
        <v>0</v>
      </c>
      <c r="BF230" s="2897">
        <f t="shared" si="163"/>
        <v>0</v>
      </c>
      <c r="BG230" s="2897">
        <f t="shared" si="164"/>
        <v>0</v>
      </c>
      <c r="BH230" s="2897">
        <f t="shared" si="165"/>
        <v>0</v>
      </c>
      <c r="BI230" s="2897">
        <f t="shared" si="166"/>
        <v>0</v>
      </c>
      <c r="BJ230" s="2897">
        <f t="shared" si="167"/>
        <v>0</v>
      </c>
      <c r="BK230" s="2897">
        <f t="shared" si="168"/>
        <v>0</v>
      </c>
      <c r="BL230" s="2897">
        <f t="shared" si="169"/>
        <v>0</v>
      </c>
      <c r="BM230" s="2897">
        <f t="shared" si="170"/>
        <v>0</v>
      </c>
      <c r="BN230" s="2897">
        <f t="shared" si="171"/>
        <v>0</v>
      </c>
      <c r="BO230" s="2897">
        <f t="shared" si="172"/>
        <v>0</v>
      </c>
      <c r="BP230" s="2897">
        <f t="shared" si="173"/>
        <v>0</v>
      </c>
      <c r="BQ230" s="2897">
        <f t="shared" si="174"/>
        <v>0</v>
      </c>
      <c r="BR230" s="2897">
        <f t="shared" si="175"/>
        <v>0</v>
      </c>
      <c r="BS230" s="2897">
        <f t="shared" si="176"/>
        <v>0</v>
      </c>
      <c r="BT230" s="2971">
        <f t="shared" si="177"/>
        <v>0</v>
      </c>
    </row>
    <row r="231" spans="1:72">
      <c r="A231" s="2894"/>
      <c r="B231" s="2904"/>
      <c r="C231" s="2902"/>
      <c r="D231" s="2903"/>
      <c r="E231" s="2897">
        <f t="shared" si="149"/>
        <v>0</v>
      </c>
      <c r="F231" s="2898"/>
      <c r="G231" s="2899">
        <f t="shared" si="150"/>
        <v>0</v>
      </c>
      <c r="H231" s="2900">
        <f t="shared" si="151"/>
        <v>0</v>
      </c>
      <c r="I231" s="2906"/>
      <c r="J231" s="2918"/>
      <c r="K231" s="2906"/>
      <c r="L231" s="2918"/>
      <c r="M231" s="2918"/>
      <c r="N231" s="2918"/>
      <c r="O231" s="2918"/>
      <c r="P231" s="2918"/>
      <c r="Q231" s="2918"/>
      <c r="R231" s="2918"/>
      <c r="S231" s="2918"/>
      <c r="T231" s="2918"/>
      <c r="U231" s="2918"/>
      <c r="V231" s="2918"/>
      <c r="W231" s="2918"/>
      <c r="X231" s="2918"/>
      <c r="Y231" s="2918"/>
      <c r="Z231" s="2918"/>
      <c r="AA231" s="2918"/>
      <c r="AB231" s="2918"/>
      <c r="AC231" s="2897">
        <f t="shared" si="152"/>
        <v>0</v>
      </c>
      <c r="AD231" s="2929"/>
      <c r="AE231" s="2929"/>
      <c r="AF231" s="2902"/>
      <c r="AG231" s="2929"/>
      <c r="AH231" s="2929"/>
      <c r="AI231" s="2929"/>
      <c r="AJ231" s="2929"/>
      <c r="AK231" s="2929"/>
      <c r="AL231" s="2929"/>
      <c r="AM231" s="2929"/>
      <c r="AN231" s="2929"/>
      <c r="AO231" s="2929"/>
      <c r="AP231" s="2929"/>
      <c r="AQ231" s="2929"/>
      <c r="AR231" s="2929"/>
      <c r="AS231" s="2929"/>
      <c r="AT231" s="2949"/>
      <c r="AU231" s="2950"/>
      <c r="AV231" s="454">
        <f t="shared" si="153"/>
        <v>0</v>
      </c>
      <c r="AW231" s="454">
        <f t="shared" si="154"/>
        <v>0</v>
      </c>
      <c r="AX231" s="454">
        <f t="shared" si="155"/>
        <v>0</v>
      </c>
      <c r="AY231" s="2966">
        <f t="shared" si="156"/>
        <v>0</v>
      </c>
      <c r="AZ231" s="2897">
        <f t="shared" si="157"/>
        <v>0</v>
      </c>
      <c r="BA231" s="2897">
        <f t="shared" si="158"/>
        <v>0</v>
      </c>
      <c r="BB231" s="2897">
        <f t="shared" si="159"/>
        <v>0</v>
      </c>
      <c r="BC231" s="2897">
        <f t="shared" si="160"/>
        <v>0</v>
      </c>
      <c r="BD231" s="2897">
        <f t="shared" si="161"/>
        <v>0</v>
      </c>
      <c r="BE231" s="2897">
        <f t="shared" si="162"/>
        <v>0</v>
      </c>
      <c r="BF231" s="2897">
        <f t="shared" si="163"/>
        <v>0</v>
      </c>
      <c r="BG231" s="2897">
        <f t="shared" si="164"/>
        <v>0</v>
      </c>
      <c r="BH231" s="2897">
        <f t="shared" si="165"/>
        <v>0</v>
      </c>
      <c r="BI231" s="2897">
        <f t="shared" si="166"/>
        <v>0</v>
      </c>
      <c r="BJ231" s="2897">
        <f t="shared" si="167"/>
        <v>0</v>
      </c>
      <c r="BK231" s="2897">
        <f t="shared" si="168"/>
        <v>0</v>
      </c>
      <c r="BL231" s="2897">
        <f t="shared" si="169"/>
        <v>0</v>
      </c>
      <c r="BM231" s="2897">
        <f t="shared" si="170"/>
        <v>0</v>
      </c>
      <c r="BN231" s="2897">
        <f t="shared" si="171"/>
        <v>0</v>
      </c>
      <c r="BO231" s="2897">
        <f t="shared" si="172"/>
        <v>0</v>
      </c>
      <c r="BP231" s="2897">
        <f t="shared" si="173"/>
        <v>0</v>
      </c>
      <c r="BQ231" s="2897">
        <f t="shared" si="174"/>
        <v>0</v>
      </c>
      <c r="BR231" s="2897">
        <f t="shared" si="175"/>
        <v>0</v>
      </c>
      <c r="BS231" s="2897">
        <f t="shared" si="176"/>
        <v>0</v>
      </c>
      <c r="BT231" s="2971">
        <f t="shared" si="177"/>
        <v>0</v>
      </c>
    </row>
    <row r="232" spans="1:72">
      <c r="A232" s="2894"/>
      <c r="B232" s="2904"/>
      <c r="C232" s="2902"/>
      <c r="D232" s="2903"/>
      <c r="E232" s="2897">
        <f t="shared" si="149"/>
        <v>0</v>
      </c>
      <c r="F232" s="2898"/>
      <c r="G232" s="2899">
        <f t="shared" si="150"/>
        <v>0</v>
      </c>
      <c r="H232" s="2900">
        <f t="shared" si="151"/>
        <v>0</v>
      </c>
      <c r="I232" s="2902"/>
      <c r="J232" s="2918"/>
      <c r="K232" s="2902"/>
      <c r="L232" s="2918"/>
      <c r="M232" s="2918"/>
      <c r="N232" s="2918"/>
      <c r="O232" s="2918"/>
      <c r="P232" s="2918"/>
      <c r="Q232" s="2918"/>
      <c r="R232" s="2918"/>
      <c r="S232" s="2918"/>
      <c r="T232" s="2918"/>
      <c r="U232" s="2918"/>
      <c r="V232" s="2918"/>
      <c r="W232" s="2918"/>
      <c r="X232" s="2918"/>
      <c r="Y232" s="2918"/>
      <c r="Z232" s="2918"/>
      <c r="AA232" s="2918"/>
      <c r="AB232" s="2918"/>
      <c r="AC232" s="2897">
        <f t="shared" si="152"/>
        <v>0</v>
      </c>
      <c r="AD232" s="2929"/>
      <c r="AE232" s="2929"/>
      <c r="AF232" s="2902"/>
      <c r="AG232" s="2929"/>
      <c r="AH232" s="2929"/>
      <c r="AI232" s="2929"/>
      <c r="AJ232" s="2929"/>
      <c r="AK232" s="2929"/>
      <c r="AL232" s="2929"/>
      <c r="AM232" s="2929"/>
      <c r="AN232" s="2929"/>
      <c r="AO232" s="2929"/>
      <c r="AP232" s="2929"/>
      <c r="AQ232" s="2929"/>
      <c r="AR232" s="2929"/>
      <c r="AS232" s="2929"/>
      <c r="AT232" s="2949"/>
      <c r="AU232" s="2950"/>
      <c r="AV232" s="454">
        <f t="shared" si="153"/>
        <v>0</v>
      </c>
      <c r="AW232" s="454">
        <f t="shared" si="154"/>
        <v>0</v>
      </c>
      <c r="AX232" s="454">
        <f t="shared" si="155"/>
        <v>0</v>
      </c>
      <c r="AY232" s="2966">
        <f t="shared" si="156"/>
        <v>0</v>
      </c>
      <c r="AZ232" s="2897">
        <f t="shared" si="157"/>
        <v>0</v>
      </c>
      <c r="BA232" s="2897">
        <f t="shared" si="158"/>
        <v>0</v>
      </c>
      <c r="BB232" s="2897">
        <f t="shared" si="159"/>
        <v>0</v>
      </c>
      <c r="BC232" s="2897">
        <f t="shared" si="160"/>
        <v>0</v>
      </c>
      <c r="BD232" s="2897">
        <f t="shared" si="161"/>
        <v>0</v>
      </c>
      <c r="BE232" s="2897">
        <f t="shared" si="162"/>
        <v>0</v>
      </c>
      <c r="BF232" s="2897">
        <f t="shared" si="163"/>
        <v>0</v>
      </c>
      <c r="BG232" s="2897">
        <f t="shared" si="164"/>
        <v>0</v>
      </c>
      <c r="BH232" s="2897">
        <f t="shared" si="165"/>
        <v>0</v>
      </c>
      <c r="BI232" s="2897">
        <f t="shared" si="166"/>
        <v>0</v>
      </c>
      <c r="BJ232" s="2897">
        <f t="shared" si="167"/>
        <v>0</v>
      </c>
      <c r="BK232" s="2897">
        <f t="shared" si="168"/>
        <v>0</v>
      </c>
      <c r="BL232" s="2897">
        <f t="shared" si="169"/>
        <v>0</v>
      </c>
      <c r="BM232" s="2897">
        <f t="shared" si="170"/>
        <v>0</v>
      </c>
      <c r="BN232" s="2897">
        <f t="shared" si="171"/>
        <v>0</v>
      </c>
      <c r="BO232" s="2897">
        <f t="shared" si="172"/>
        <v>0</v>
      </c>
      <c r="BP232" s="2897">
        <f t="shared" si="173"/>
        <v>0</v>
      </c>
      <c r="BQ232" s="2897">
        <f t="shared" si="174"/>
        <v>0</v>
      </c>
      <c r="BR232" s="2897">
        <f t="shared" si="175"/>
        <v>0</v>
      </c>
      <c r="BS232" s="2897">
        <f t="shared" si="176"/>
        <v>0</v>
      </c>
      <c r="BT232" s="2971">
        <f t="shared" si="177"/>
        <v>0</v>
      </c>
    </row>
    <row r="233" spans="1:72">
      <c r="A233" s="2894"/>
      <c r="B233" s="2904"/>
      <c r="C233" s="2902"/>
      <c r="D233" s="2903"/>
      <c r="E233" s="2897">
        <f t="shared" si="149"/>
        <v>0</v>
      </c>
      <c r="F233" s="2898"/>
      <c r="G233" s="2899">
        <f t="shared" si="150"/>
        <v>0</v>
      </c>
      <c r="H233" s="2900">
        <f t="shared" si="151"/>
        <v>0</v>
      </c>
      <c r="I233" s="2902"/>
      <c r="J233" s="2918"/>
      <c r="K233" s="2902"/>
      <c r="L233" s="2918"/>
      <c r="M233" s="2918"/>
      <c r="N233" s="2918"/>
      <c r="O233" s="2918"/>
      <c r="P233" s="2918"/>
      <c r="Q233" s="2918"/>
      <c r="R233" s="2918"/>
      <c r="S233" s="2918"/>
      <c r="T233" s="2918"/>
      <c r="U233" s="2918"/>
      <c r="V233" s="2918"/>
      <c r="W233" s="2918"/>
      <c r="X233" s="2918"/>
      <c r="Y233" s="2918"/>
      <c r="Z233" s="2918"/>
      <c r="AA233" s="2918"/>
      <c r="AB233" s="2918"/>
      <c r="AC233" s="2897">
        <f t="shared" si="152"/>
        <v>0</v>
      </c>
      <c r="AD233" s="2929"/>
      <c r="AE233" s="2929"/>
      <c r="AF233" s="2902"/>
      <c r="AG233" s="2929"/>
      <c r="AH233" s="2929"/>
      <c r="AI233" s="2929"/>
      <c r="AJ233" s="2929"/>
      <c r="AK233" s="2929"/>
      <c r="AL233" s="2929"/>
      <c r="AM233" s="2929"/>
      <c r="AN233" s="2929"/>
      <c r="AO233" s="2929"/>
      <c r="AP233" s="2929"/>
      <c r="AQ233" s="2929"/>
      <c r="AR233" s="2929"/>
      <c r="AS233" s="2929"/>
      <c r="AT233" s="2949"/>
      <c r="AU233" s="2950"/>
      <c r="AV233" s="454">
        <f t="shared" si="153"/>
        <v>0</v>
      </c>
      <c r="AW233" s="454">
        <f t="shared" si="154"/>
        <v>0</v>
      </c>
      <c r="AX233" s="454">
        <f t="shared" si="155"/>
        <v>0</v>
      </c>
      <c r="AY233" s="2966">
        <f t="shared" si="156"/>
        <v>0</v>
      </c>
      <c r="AZ233" s="2897">
        <f t="shared" si="157"/>
        <v>0</v>
      </c>
      <c r="BA233" s="2897">
        <f t="shared" si="158"/>
        <v>0</v>
      </c>
      <c r="BB233" s="2897">
        <f t="shared" si="159"/>
        <v>0</v>
      </c>
      <c r="BC233" s="2897">
        <f t="shared" si="160"/>
        <v>0</v>
      </c>
      <c r="BD233" s="2897">
        <f t="shared" si="161"/>
        <v>0</v>
      </c>
      <c r="BE233" s="2897">
        <f t="shared" si="162"/>
        <v>0</v>
      </c>
      <c r="BF233" s="2897">
        <f t="shared" si="163"/>
        <v>0</v>
      </c>
      <c r="BG233" s="2897">
        <f t="shared" si="164"/>
        <v>0</v>
      </c>
      <c r="BH233" s="2897">
        <f t="shared" si="165"/>
        <v>0</v>
      </c>
      <c r="BI233" s="2897">
        <f t="shared" si="166"/>
        <v>0</v>
      </c>
      <c r="BJ233" s="2897">
        <f t="shared" si="167"/>
        <v>0</v>
      </c>
      <c r="BK233" s="2897">
        <f t="shared" si="168"/>
        <v>0</v>
      </c>
      <c r="BL233" s="2897">
        <f t="shared" si="169"/>
        <v>0</v>
      </c>
      <c r="BM233" s="2897">
        <f t="shared" si="170"/>
        <v>0</v>
      </c>
      <c r="BN233" s="2897">
        <f t="shared" si="171"/>
        <v>0</v>
      </c>
      <c r="BO233" s="2897">
        <f t="shared" si="172"/>
        <v>0</v>
      </c>
      <c r="BP233" s="2897">
        <f t="shared" si="173"/>
        <v>0</v>
      </c>
      <c r="BQ233" s="2897">
        <f t="shared" si="174"/>
        <v>0</v>
      </c>
      <c r="BR233" s="2897">
        <f t="shared" si="175"/>
        <v>0</v>
      </c>
      <c r="BS233" s="2897">
        <f t="shared" si="176"/>
        <v>0</v>
      </c>
      <c r="BT233" s="2971">
        <f t="shared" si="177"/>
        <v>0</v>
      </c>
    </row>
    <row r="234" spans="1:72">
      <c r="A234" s="2894"/>
      <c r="B234" s="2904"/>
      <c r="C234" s="2902"/>
      <c r="D234" s="2903"/>
      <c r="E234" s="2897">
        <f t="shared" si="149"/>
        <v>0</v>
      </c>
      <c r="F234" s="2898"/>
      <c r="G234" s="2899">
        <f t="shared" si="150"/>
        <v>0</v>
      </c>
      <c r="H234" s="2900">
        <f t="shared" si="151"/>
        <v>0</v>
      </c>
      <c r="I234" s="2902"/>
      <c r="J234" s="2918"/>
      <c r="K234" s="2902"/>
      <c r="L234" s="2918"/>
      <c r="M234" s="2918"/>
      <c r="N234" s="2918"/>
      <c r="O234" s="2918"/>
      <c r="P234" s="2918"/>
      <c r="Q234" s="2918"/>
      <c r="R234" s="2918"/>
      <c r="S234" s="2918"/>
      <c r="T234" s="2918"/>
      <c r="U234" s="2918"/>
      <c r="V234" s="2918"/>
      <c r="W234" s="2918"/>
      <c r="X234" s="2918"/>
      <c r="Y234" s="2918"/>
      <c r="Z234" s="2918"/>
      <c r="AA234" s="2918"/>
      <c r="AB234" s="2918"/>
      <c r="AC234" s="2897">
        <f t="shared" si="152"/>
        <v>0</v>
      </c>
      <c r="AD234" s="2929"/>
      <c r="AE234" s="2929"/>
      <c r="AF234" s="2902"/>
      <c r="AG234" s="2929"/>
      <c r="AH234" s="2929"/>
      <c r="AI234" s="2929"/>
      <c r="AJ234" s="2929"/>
      <c r="AK234" s="2929"/>
      <c r="AL234" s="2929"/>
      <c r="AM234" s="2929"/>
      <c r="AN234" s="2929"/>
      <c r="AO234" s="2929"/>
      <c r="AP234" s="2929"/>
      <c r="AQ234" s="2929"/>
      <c r="AR234" s="2929"/>
      <c r="AS234" s="2929"/>
      <c r="AT234" s="2949"/>
      <c r="AU234" s="2950"/>
      <c r="AV234" s="454">
        <f t="shared" si="153"/>
        <v>0</v>
      </c>
      <c r="AW234" s="454">
        <f t="shared" si="154"/>
        <v>0</v>
      </c>
      <c r="AX234" s="454">
        <f t="shared" si="155"/>
        <v>0</v>
      </c>
      <c r="AY234" s="2966">
        <f t="shared" si="156"/>
        <v>0</v>
      </c>
      <c r="AZ234" s="2897">
        <f t="shared" si="157"/>
        <v>0</v>
      </c>
      <c r="BA234" s="2897">
        <f t="shared" si="158"/>
        <v>0</v>
      </c>
      <c r="BB234" s="2897">
        <f t="shared" si="159"/>
        <v>0</v>
      </c>
      <c r="BC234" s="2897">
        <f t="shared" si="160"/>
        <v>0</v>
      </c>
      <c r="BD234" s="2897">
        <f t="shared" si="161"/>
        <v>0</v>
      </c>
      <c r="BE234" s="2897">
        <f t="shared" si="162"/>
        <v>0</v>
      </c>
      <c r="BF234" s="2897">
        <f t="shared" si="163"/>
        <v>0</v>
      </c>
      <c r="BG234" s="2897">
        <f t="shared" si="164"/>
        <v>0</v>
      </c>
      <c r="BH234" s="2897">
        <f t="shared" si="165"/>
        <v>0</v>
      </c>
      <c r="BI234" s="2897">
        <f t="shared" si="166"/>
        <v>0</v>
      </c>
      <c r="BJ234" s="2897">
        <f t="shared" si="167"/>
        <v>0</v>
      </c>
      <c r="BK234" s="2897">
        <f t="shared" si="168"/>
        <v>0</v>
      </c>
      <c r="BL234" s="2897">
        <f t="shared" si="169"/>
        <v>0</v>
      </c>
      <c r="BM234" s="2897">
        <f t="shared" si="170"/>
        <v>0</v>
      </c>
      <c r="BN234" s="2897">
        <f t="shared" si="171"/>
        <v>0</v>
      </c>
      <c r="BO234" s="2897">
        <f t="shared" si="172"/>
        <v>0</v>
      </c>
      <c r="BP234" s="2897">
        <f t="shared" si="173"/>
        <v>0</v>
      </c>
      <c r="BQ234" s="2897">
        <f t="shared" si="174"/>
        <v>0</v>
      </c>
      <c r="BR234" s="2897">
        <f t="shared" si="175"/>
        <v>0</v>
      </c>
      <c r="BS234" s="2897">
        <f t="shared" si="176"/>
        <v>0</v>
      </c>
      <c r="BT234" s="2971">
        <f t="shared" si="177"/>
        <v>0</v>
      </c>
    </row>
    <row r="235" spans="1:72">
      <c r="A235" s="2894"/>
      <c r="B235" s="2904"/>
      <c r="C235" s="2902"/>
      <c r="D235" s="2903"/>
      <c r="E235" s="2897">
        <f t="shared" si="149"/>
        <v>0</v>
      </c>
      <c r="F235" s="2898"/>
      <c r="G235" s="2899">
        <f t="shared" si="150"/>
        <v>0</v>
      </c>
      <c r="H235" s="2900">
        <f t="shared" si="151"/>
        <v>0</v>
      </c>
      <c r="I235" s="2902"/>
      <c r="J235" s="2918"/>
      <c r="K235" s="2902"/>
      <c r="L235" s="2918"/>
      <c r="M235" s="2918"/>
      <c r="N235" s="2918"/>
      <c r="O235" s="2918"/>
      <c r="P235" s="2918"/>
      <c r="Q235" s="2918"/>
      <c r="R235" s="2918"/>
      <c r="S235" s="2918"/>
      <c r="T235" s="2918"/>
      <c r="U235" s="2918"/>
      <c r="V235" s="2918"/>
      <c r="W235" s="2918"/>
      <c r="X235" s="2918"/>
      <c r="Y235" s="2918"/>
      <c r="Z235" s="2918"/>
      <c r="AA235" s="2918"/>
      <c r="AB235" s="2918"/>
      <c r="AC235" s="2897">
        <f t="shared" si="152"/>
        <v>0</v>
      </c>
      <c r="AD235" s="2929"/>
      <c r="AE235" s="2929"/>
      <c r="AF235" s="2902"/>
      <c r="AG235" s="2929"/>
      <c r="AH235" s="2929"/>
      <c r="AI235" s="2929"/>
      <c r="AJ235" s="2929"/>
      <c r="AK235" s="2929"/>
      <c r="AL235" s="2929"/>
      <c r="AM235" s="2929"/>
      <c r="AN235" s="2929"/>
      <c r="AO235" s="2929"/>
      <c r="AP235" s="2929"/>
      <c r="AQ235" s="2929"/>
      <c r="AR235" s="2929"/>
      <c r="AS235" s="2929"/>
      <c r="AT235" s="2949"/>
      <c r="AU235" s="2950"/>
      <c r="AV235" s="454">
        <f t="shared" si="153"/>
        <v>0</v>
      </c>
      <c r="AW235" s="454">
        <f t="shared" si="154"/>
        <v>0</v>
      </c>
      <c r="AX235" s="454">
        <f t="shared" si="155"/>
        <v>0</v>
      </c>
      <c r="AY235" s="2966">
        <f t="shared" si="156"/>
        <v>0</v>
      </c>
      <c r="AZ235" s="2897">
        <f t="shared" si="157"/>
        <v>0</v>
      </c>
      <c r="BA235" s="2897">
        <f t="shared" si="158"/>
        <v>0</v>
      </c>
      <c r="BB235" s="2897">
        <f t="shared" si="159"/>
        <v>0</v>
      </c>
      <c r="BC235" s="2897">
        <f t="shared" si="160"/>
        <v>0</v>
      </c>
      <c r="BD235" s="2897">
        <f t="shared" si="161"/>
        <v>0</v>
      </c>
      <c r="BE235" s="2897">
        <f t="shared" si="162"/>
        <v>0</v>
      </c>
      <c r="BF235" s="2897">
        <f t="shared" si="163"/>
        <v>0</v>
      </c>
      <c r="BG235" s="2897">
        <f t="shared" si="164"/>
        <v>0</v>
      </c>
      <c r="BH235" s="2897">
        <f t="shared" si="165"/>
        <v>0</v>
      </c>
      <c r="BI235" s="2897">
        <f t="shared" si="166"/>
        <v>0</v>
      </c>
      <c r="BJ235" s="2897">
        <f t="shared" si="167"/>
        <v>0</v>
      </c>
      <c r="BK235" s="2897">
        <f t="shared" si="168"/>
        <v>0</v>
      </c>
      <c r="BL235" s="2897">
        <f t="shared" si="169"/>
        <v>0</v>
      </c>
      <c r="BM235" s="2897">
        <f t="shared" si="170"/>
        <v>0</v>
      </c>
      <c r="BN235" s="2897">
        <f t="shared" si="171"/>
        <v>0</v>
      </c>
      <c r="BO235" s="2897">
        <f t="shared" si="172"/>
        <v>0</v>
      </c>
      <c r="BP235" s="2897">
        <f t="shared" si="173"/>
        <v>0</v>
      </c>
      <c r="BQ235" s="2897">
        <f t="shared" si="174"/>
        <v>0</v>
      </c>
      <c r="BR235" s="2897">
        <f t="shared" si="175"/>
        <v>0</v>
      </c>
      <c r="BS235" s="2897">
        <f t="shared" si="176"/>
        <v>0</v>
      </c>
      <c r="BT235" s="2971">
        <f t="shared" si="177"/>
        <v>0</v>
      </c>
    </row>
    <row r="236" spans="1:72">
      <c r="A236" s="2894"/>
      <c r="B236" s="2904"/>
      <c r="C236" s="2902"/>
      <c r="D236" s="2903"/>
      <c r="E236" s="2897">
        <f t="shared" si="149"/>
        <v>0</v>
      </c>
      <c r="F236" s="2898"/>
      <c r="G236" s="2899">
        <f t="shared" si="150"/>
        <v>0</v>
      </c>
      <c r="H236" s="2900">
        <f t="shared" si="151"/>
        <v>0</v>
      </c>
      <c r="I236" s="2902"/>
      <c r="J236" s="2918"/>
      <c r="K236" s="2902"/>
      <c r="L236" s="2918"/>
      <c r="M236" s="2918"/>
      <c r="N236" s="2918"/>
      <c r="O236" s="2918"/>
      <c r="P236" s="2918"/>
      <c r="Q236" s="2918"/>
      <c r="R236" s="2918"/>
      <c r="S236" s="2918"/>
      <c r="T236" s="2918"/>
      <c r="U236" s="2918"/>
      <c r="V236" s="2918"/>
      <c r="W236" s="2918"/>
      <c r="X236" s="2918"/>
      <c r="Y236" s="2918"/>
      <c r="Z236" s="2918"/>
      <c r="AA236" s="2918"/>
      <c r="AB236" s="2918"/>
      <c r="AC236" s="2897">
        <f t="shared" si="152"/>
        <v>0</v>
      </c>
      <c r="AD236" s="2929"/>
      <c r="AE236" s="2929"/>
      <c r="AF236" s="2902"/>
      <c r="AG236" s="2929"/>
      <c r="AH236" s="2929"/>
      <c r="AI236" s="2929"/>
      <c r="AJ236" s="2929"/>
      <c r="AK236" s="2929"/>
      <c r="AL236" s="2929"/>
      <c r="AM236" s="2929"/>
      <c r="AN236" s="2929"/>
      <c r="AO236" s="2929"/>
      <c r="AP236" s="2929"/>
      <c r="AQ236" s="2929"/>
      <c r="AR236" s="2929"/>
      <c r="AS236" s="2929"/>
      <c r="AT236" s="2949"/>
      <c r="AU236" s="2950"/>
      <c r="AV236" s="454">
        <f t="shared" si="153"/>
        <v>0</v>
      </c>
      <c r="AW236" s="454">
        <f t="shared" si="154"/>
        <v>0</v>
      </c>
      <c r="AX236" s="454">
        <f t="shared" si="155"/>
        <v>0</v>
      </c>
      <c r="AY236" s="2966">
        <f t="shared" si="156"/>
        <v>0</v>
      </c>
      <c r="AZ236" s="2897">
        <f t="shared" si="157"/>
        <v>0</v>
      </c>
      <c r="BA236" s="2897">
        <f t="shared" si="158"/>
        <v>0</v>
      </c>
      <c r="BB236" s="2897">
        <f t="shared" si="159"/>
        <v>0</v>
      </c>
      <c r="BC236" s="2897">
        <f t="shared" si="160"/>
        <v>0</v>
      </c>
      <c r="BD236" s="2897">
        <f t="shared" si="161"/>
        <v>0</v>
      </c>
      <c r="BE236" s="2897">
        <f t="shared" si="162"/>
        <v>0</v>
      </c>
      <c r="BF236" s="2897">
        <f t="shared" si="163"/>
        <v>0</v>
      </c>
      <c r="BG236" s="2897">
        <f t="shared" si="164"/>
        <v>0</v>
      </c>
      <c r="BH236" s="2897">
        <f t="shared" si="165"/>
        <v>0</v>
      </c>
      <c r="BI236" s="2897">
        <f t="shared" si="166"/>
        <v>0</v>
      </c>
      <c r="BJ236" s="2897">
        <f t="shared" si="167"/>
        <v>0</v>
      </c>
      <c r="BK236" s="2897">
        <f t="shared" si="168"/>
        <v>0</v>
      </c>
      <c r="BL236" s="2897">
        <f t="shared" si="169"/>
        <v>0</v>
      </c>
      <c r="BM236" s="2897">
        <f t="shared" si="170"/>
        <v>0</v>
      </c>
      <c r="BN236" s="2897">
        <f t="shared" si="171"/>
        <v>0</v>
      </c>
      <c r="BO236" s="2897">
        <f t="shared" si="172"/>
        <v>0</v>
      </c>
      <c r="BP236" s="2897">
        <f t="shared" si="173"/>
        <v>0</v>
      </c>
      <c r="BQ236" s="2897">
        <f t="shared" si="174"/>
        <v>0</v>
      </c>
      <c r="BR236" s="2897">
        <f t="shared" si="175"/>
        <v>0</v>
      </c>
      <c r="BS236" s="2897">
        <f t="shared" si="176"/>
        <v>0</v>
      </c>
      <c r="BT236" s="2971">
        <f t="shared" si="177"/>
        <v>0</v>
      </c>
    </row>
    <row r="237" spans="1:72">
      <c r="A237" s="2894"/>
      <c r="B237" s="2904"/>
      <c r="C237" s="2902"/>
      <c r="D237" s="2903"/>
      <c r="E237" s="2897">
        <f t="shared" si="149"/>
        <v>0</v>
      </c>
      <c r="F237" s="2898"/>
      <c r="G237" s="2899">
        <f t="shared" si="150"/>
        <v>0</v>
      </c>
      <c r="H237" s="2900">
        <f t="shared" si="151"/>
        <v>0</v>
      </c>
      <c r="I237" s="2902"/>
      <c r="J237" s="2918"/>
      <c r="K237" s="2902"/>
      <c r="L237" s="2918"/>
      <c r="M237" s="2918"/>
      <c r="N237" s="2918"/>
      <c r="O237" s="2918"/>
      <c r="P237" s="2918"/>
      <c r="Q237" s="2918"/>
      <c r="R237" s="2918"/>
      <c r="S237" s="2918"/>
      <c r="T237" s="2918"/>
      <c r="U237" s="2918"/>
      <c r="V237" s="2918"/>
      <c r="W237" s="2918"/>
      <c r="X237" s="2918"/>
      <c r="Y237" s="2918"/>
      <c r="Z237" s="2918"/>
      <c r="AA237" s="2918"/>
      <c r="AB237" s="2918"/>
      <c r="AC237" s="2897">
        <f t="shared" si="152"/>
        <v>0</v>
      </c>
      <c r="AD237" s="2929"/>
      <c r="AE237" s="2929"/>
      <c r="AF237" s="2902"/>
      <c r="AG237" s="2929"/>
      <c r="AH237" s="2929"/>
      <c r="AI237" s="2929"/>
      <c r="AJ237" s="2929"/>
      <c r="AK237" s="2929"/>
      <c r="AL237" s="2929"/>
      <c r="AM237" s="2929"/>
      <c r="AN237" s="2929"/>
      <c r="AO237" s="2929"/>
      <c r="AP237" s="2929"/>
      <c r="AQ237" s="2929"/>
      <c r="AR237" s="2929"/>
      <c r="AS237" s="2929"/>
      <c r="AT237" s="2949"/>
      <c r="AU237" s="2950"/>
      <c r="AV237" s="454">
        <f t="shared" si="153"/>
        <v>0</v>
      </c>
      <c r="AW237" s="454">
        <f t="shared" si="154"/>
        <v>0</v>
      </c>
      <c r="AX237" s="454">
        <f t="shared" si="155"/>
        <v>0</v>
      </c>
      <c r="AY237" s="2966">
        <f t="shared" si="156"/>
        <v>0</v>
      </c>
      <c r="AZ237" s="2897">
        <f t="shared" si="157"/>
        <v>0</v>
      </c>
      <c r="BA237" s="2897">
        <f t="shared" si="158"/>
        <v>0</v>
      </c>
      <c r="BB237" s="2897">
        <f t="shared" si="159"/>
        <v>0</v>
      </c>
      <c r="BC237" s="2897">
        <f t="shared" si="160"/>
        <v>0</v>
      </c>
      <c r="BD237" s="2897">
        <f t="shared" si="161"/>
        <v>0</v>
      </c>
      <c r="BE237" s="2897">
        <f t="shared" si="162"/>
        <v>0</v>
      </c>
      <c r="BF237" s="2897">
        <f t="shared" si="163"/>
        <v>0</v>
      </c>
      <c r="BG237" s="2897">
        <f t="shared" si="164"/>
        <v>0</v>
      </c>
      <c r="BH237" s="2897">
        <f t="shared" si="165"/>
        <v>0</v>
      </c>
      <c r="BI237" s="2897">
        <f t="shared" si="166"/>
        <v>0</v>
      </c>
      <c r="BJ237" s="2897">
        <f t="shared" si="167"/>
        <v>0</v>
      </c>
      <c r="BK237" s="2897">
        <f t="shared" si="168"/>
        <v>0</v>
      </c>
      <c r="BL237" s="2897">
        <f t="shared" si="169"/>
        <v>0</v>
      </c>
      <c r="BM237" s="2897">
        <f t="shared" si="170"/>
        <v>0</v>
      </c>
      <c r="BN237" s="2897">
        <f t="shared" si="171"/>
        <v>0</v>
      </c>
      <c r="BO237" s="2897">
        <f t="shared" si="172"/>
        <v>0</v>
      </c>
      <c r="BP237" s="2897">
        <f t="shared" si="173"/>
        <v>0</v>
      </c>
      <c r="BQ237" s="2897">
        <f t="shared" si="174"/>
        <v>0</v>
      </c>
      <c r="BR237" s="2897">
        <f t="shared" si="175"/>
        <v>0</v>
      </c>
      <c r="BS237" s="2897">
        <f t="shared" si="176"/>
        <v>0</v>
      </c>
      <c r="BT237" s="2971">
        <f t="shared" si="177"/>
        <v>0</v>
      </c>
    </row>
    <row r="238" spans="1:72">
      <c r="A238" s="2894"/>
      <c r="B238" s="2904"/>
      <c r="C238" s="2902"/>
      <c r="D238" s="2903"/>
      <c r="E238" s="2897">
        <f t="shared" si="149"/>
        <v>0</v>
      </c>
      <c r="F238" s="2898"/>
      <c r="G238" s="2899">
        <f t="shared" si="150"/>
        <v>0</v>
      </c>
      <c r="H238" s="2900">
        <f t="shared" si="151"/>
        <v>0</v>
      </c>
      <c r="I238" s="2902"/>
      <c r="J238" s="2918"/>
      <c r="K238" s="2902"/>
      <c r="L238" s="2918"/>
      <c r="M238" s="2918"/>
      <c r="N238" s="2918"/>
      <c r="O238" s="2918"/>
      <c r="P238" s="2918"/>
      <c r="Q238" s="2918"/>
      <c r="R238" s="2918"/>
      <c r="S238" s="2918"/>
      <c r="T238" s="2918"/>
      <c r="U238" s="2918"/>
      <c r="V238" s="2918"/>
      <c r="W238" s="2918"/>
      <c r="X238" s="2918"/>
      <c r="Y238" s="2918"/>
      <c r="Z238" s="2918"/>
      <c r="AA238" s="2918"/>
      <c r="AB238" s="2918"/>
      <c r="AC238" s="2897">
        <f t="shared" si="152"/>
        <v>0</v>
      </c>
      <c r="AD238" s="2929"/>
      <c r="AE238" s="2929"/>
      <c r="AF238" s="2902"/>
      <c r="AG238" s="2929"/>
      <c r="AH238" s="2929"/>
      <c r="AI238" s="2929"/>
      <c r="AJ238" s="2929"/>
      <c r="AK238" s="2929"/>
      <c r="AL238" s="2929"/>
      <c r="AM238" s="2929"/>
      <c r="AN238" s="2929"/>
      <c r="AO238" s="2929"/>
      <c r="AP238" s="2929"/>
      <c r="AQ238" s="2929"/>
      <c r="AR238" s="2929"/>
      <c r="AS238" s="2929"/>
      <c r="AT238" s="2949"/>
      <c r="AU238" s="2950"/>
      <c r="AV238" s="454">
        <f t="shared" si="153"/>
        <v>0</v>
      </c>
      <c r="AW238" s="454">
        <f t="shared" si="154"/>
        <v>0</v>
      </c>
      <c r="AX238" s="454">
        <f t="shared" si="155"/>
        <v>0</v>
      </c>
      <c r="AY238" s="2966">
        <f t="shared" si="156"/>
        <v>0</v>
      </c>
      <c r="AZ238" s="2897">
        <f t="shared" si="157"/>
        <v>0</v>
      </c>
      <c r="BA238" s="2897">
        <f t="shared" si="158"/>
        <v>0</v>
      </c>
      <c r="BB238" s="2897">
        <f t="shared" si="159"/>
        <v>0</v>
      </c>
      <c r="BC238" s="2897">
        <f t="shared" si="160"/>
        <v>0</v>
      </c>
      <c r="BD238" s="2897">
        <f t="shared" si="161"/>
        <v>0</v>
      </c>
      <c r="BE238" s="2897">
        <f t="shared" si="162"/>
        <v>0</v>
      </c>
      <c r="BF238" s="2897">
        <f t="shared" si="163"/>
        <v>0</v>
      </c>
      <c r="BG238" s="2897">
        <f t="shared" si="164"/>
        <v>0</v>
      </c>
      <c r="BH238" s="2897">
        <f t="shared" si="165"/>
        <v>0</v>
      </c>
      <c r="BI238" s="2897">
        <f t="shared" si="166"/>
        <v>0</v>
      </c>
      <c r="BJ238" s="2897">
        <f t="shared" si="167"/>
        <v>0</v>
      </c>
      <c r="BK238" s="2897">
        <f t="shared" si="168"/>
        <v>0</v>
      </c>
      <c r="BL238" s="2897">
        <f t="shared" si="169"/>
        <v>0</v>
      </c>
      <c r="BM238" s="2897">
        <f t="shared" si="170"/>
        <v>0</v>
      </c>
      <c r="BN238" s="2897">
        <f t="shared" si="171"/>
        <v>0</v>
      </c>
      <c r="BO238" s="2897">
        <f t="shared" si="172"/>
        <v>0</v>
      </c>
      <c r="BP238" s="2897">
        <f t="shared" si="173"/>
        <v>0</v>
      </c>
      <c r="BQ238" s="2897">
        <f t="shared" si="174"/>
        <v>0</v>
      </c>
      <c r="BR238" s="2897">
        <f t="shared" si="175"/>
        <v>0</v>
      </c>
      <c r="BS238" s="2897">
        <f t="shared" si="176"/>
        <v>0</v>
      </c>
      <c r="BT238" s="2971">
        <f t="shared" si="177"/>
        <v>0</v>
      </c>
    </row>
    <row r="239" spans="1:72">
      <c r="A239" s="2894"/>
      <c r="B239" s="2905"/>
      <c r="C239" s="2906"/>
      <c r="D239" s="2903"/>
      <c r="E239" s="2897">
        <f t="shared" si="149"/>
        <v>0</v>
      </c>
      <c r="F239" s="2898"/>
      <c r="G239" s="2899">
        <f t="shared" si="150"/>
        <v>0</v>
      </c>
      <c r="H239" s="2900">
        <f t="shared" si="151"/>
        <v>0</v>
      </c>
      <c r="I239" s="2902"/>
      <c r="J239" s="2918"/>
      <c r="K239" s="2902"/>
      <c r="L239" s="2918"/>
      <c r="M239" s="2902"/>
      <c r="N239" s="2918"/>
      <c r="O239" s="2918"/>
      <c r="P239" s="2918"/>
      <c r="Q239" s="2918"/>
      <c r="R239" s="2918"/>
      <c r="S239" s="2918"/>
      <c r="T239" s="2918"/>
      <c r="U239" s="2918"/>
      <c r="V239" s="2918"/>
      <c r="W239" s="2918"/>
      <c r="X239" s="2918"/>
      <c r="Y239" s="2918"/>
      <c r="Z239" s="2918"/>
      <c r="AA239" s="2918"/>
      <c r="AB239" s="2918"/>
      <c r="AC239" s="2897">
        <f t="shared" si="152"/>
        <v>0</v>
      </c>
      <c r="AD239" s="2929"/>
      <c r="AE239" s="2929"/>
      <c r="AF239" s="2902"/>
      <c r="AG239" s="2929"/>
      <c r="AH239" s="2929"/>
      <c r="AI239" s="2929"/>
      <c r="AJ239" s="2929"/>
      <c r="AK239" s="2929"/>
      <c r="AL239" s="2929"/>
      <c r="AM239" s="2929"/>
      <c r="AN239" s="2929"/>
      <c r="AO239" s="2929"/>
      <c r="AP239" s="2929"/>
      <c r="AQ239" s="2929"/>
      <c r="AR239" s="2929"/>
      <c r="AS239" s="2929"/>
      <c r="AT239" s="2949"/>
      <c r="AU239" s="2950"/>
      <c r="AV239" s="454">
        <f t="shared" si="153"/>
        <v>0</v>
      </c>
      <c r="AW239" s="454">
        <f t="shared" si="154"/>
        <v>0</v>
      </c>
      <c r="AX239" s="454">
        <f t="shared" si="155"/>
        <v>0</v>
      </c>
      <c r="AY239" s="2966">
        <f t="shared" si="156"/>
        <v>0</v>
      </c>
      <c r="AZ239" s="2897">
        <f t="shared" si="157"/>
        <v>0</v>
      </c>
      <c r="BA239" s="2897">
        <f t="shared" si="158"/>
        <v>0</v>
      </c>
      <c r="BB239" s="2897">
        <f t="shared" si="159"/>
        <v>0</v>
      </c>
      <c r="BC239" s="2897">
        <f t="shared" si="160"/>
        <v>0</v>
      </c>
      <c r="BD239" s="2897">
        <f t="shared" si="161"/>
        <v>0</v>
      </c>
      <c r="BE239" s="2897">
        <f t="shared" si="162"/>
        <v>0</v>
      </c>
      <c r="BF239" s="2897">
        <f t="shared" si="163"/>
        <v>0</v>
      </c>
      <c r="BG239" s="2897">
        <f t="shared" si="164"/>
        <v>0</v>
      </c>
      <c r="BH239" s="2897">
        <f t="shared" si="165"/>
        <v>0</v>
      </c>
      <c r="BI239" s="2897">
        <f t="shared" si="166"/>
        <v>0</v>
      </c>
      <c r="BJ239" s="2897">
        <f t="shared" si="167"/>
        <v>0</v>
      </c>
      <c r="BK239" s="2897">
        <f t="shared" si="168"/>
        <v>0</v>
      </c>
      <c r="BL239" s="2897">
        <f t="shared" si="169"/>
        <v>0</v>
      </c>
      <c r="BM239" s="2897">
        <f t="shared" si="170"/>
        <v>0</v>
      </c>
      <c r="BN239" s="2897">
        <f t="shared" si="171"/>
        <v>0</v>
      </c>
      <c r="BO239" s="2897">
        <f t="shared" si="172"/>
        <v>0</v>
      </c>
      <c r="BP239" s="2897">
        <f t="shared" si="173"/>
        <v>0</v>
      </c>
      <c r="BQ239" s="2897">
        <f t="shared" si="174"/>
        <v>0</v>
      </c>
      <c r="BR239" s="2897">
        <f t="shared" si="175"/>
        <v>0</v>
      </c>
      <c r="BS239" s="2897">
        <f t="shared" si="176"/>
        <v>0</v>
      </c>
      <c r="BT239" s="2971">
        <f t="shared" si="177"/>
        <v>0</v>
      </c>
    </row>
    <row r="240" spans="1:72">
      <c r="A240" s="2894"/>
      <c r="B240" s="2895"/>
      <c r="C240" s="2895"/>
      <c r="D240" s="2907"/>
      <c r="E240" s="2897">
        <f t="shared" si="149"/>
        <v>0</v>
      </c>
      <c r="F240" s="2898"/>
      <c r="G240" s="2899">
        <f t="shared" si="150"/>
        <v>0</v>
      </c>
      <c r="H240" s="2900">
        <f t="shared" si="151"/>
        <v>0</v>
      </c>
      <c r="I240" s="2918"/>
      <c r="J240" s="2918"/>
      <c r="K240" s="2918"/>
      <c r="L240" s="2918"/>
      <c r="M240" s="2918"/>
      <c r="N240" s="2918"/>
      <c r="O240" s="2918"/>
      <c r="P240" s="2918"/>
      <c r="Q240" s="2918"/>
      <c r="R240" s="2918"/>
      <c r="S240" s="2918"/>
      <c r="T240" s="2918"/>
      <c r="U240" s="2918"/>
      <c r="V240" s="2918"/>
      <c r="W240" s="2918"/>
      <c r="X240" s="2918"/>
      <c r="Y240" s="2918"/>
      <c r="Z240" s="2918"/>
      <c r="AA240" s="2918"/>
      <c r="AB240" s="2918"/>
      <c r="AC240" s="2897">
        <f t="shared" si="152"/>
        <v>0</v>
      </c>
      <c r="AD240" s="2929"/>
      <c r="AE240" s="2929"/>
      <c r="AF240" s="2929"/>
      <c r="AG240" s="2929"/>
      <c r="AH240" s="2929"/>
      <c r="AI240" s="2929"/>
      <c r="AJ240" s="2929"/>
      <c r="AK240" s="2929"/>
      <c r="AL240" s="2929"/>
      <c r="AM240" s="2929"/>
      <c r="AN240" s="2929"/>
      <c r="AO240" s="2929"/>
      <c r="AP240" s="2929"/>
      <c r="AQ240" s="2929"/>
      <c r="AR240" s="2929"/>
      <c r="AS240" s="2929"/>
      <c r="AT240" s="2949"/>
      <c r="AU240" s="2950"/>
      <c r="AV240" s="454">
        <f t="shared" si="153"/>
        <v>0</v>
      </c>
      <c r="AW240" s="454">
        <f t="shared" si="154"/>
        <v>0</v>
      </c>
      <c r="AX240" s="454">
        <f t="shared" si="155"/>
        <v>0</v>
      </c>
      <c r="AY240" s="2966">
        <f t="shared" si="156"/>
        <v>0</v>
      </c>
      <c r="AZ240" s="2897">
        <f t="shared" si="157"/>
        <v>0</v>
      </c>
      <c r="BA240" s="2897">
        <f t="shared" si="158"/>
        <v>0</v>
      </c>
      <c r="BB240" s="2897">
        <f t="shared" si="159"/>
        <v>0</v>
      </c>
      <c r="BC240" s="2897">
        <f t="shared" si="160"/>
        <v>0</v>
      </c>
      <c r="BD240" s="2897">
        <f t="shared" si="161"/>
        <v>0</v>
      </c>
      <c r="BE240" s="2897">
        <f t="shared" si="162"/>
        <v>0</v>
      </c>
      <c r="BF240" s="2897">
        <f t="shared" si="163"/>
        <v>0</v>
      </c>
      <c r="BG240" s="2897">
        <f t="shared" si="164"/>
        <v>0</v>
      </c>
      <c r="BH240" s="2897">
        <f t="shared" si="165"/>
        <v>0</v>
      </c>
      <c r="BI240" s="2897">
        <f t="shared" si="166"/>
        <v>0</v>
      </c>
      <c r="BJ240" s="2897">
        <f t="shared" si="167"/>
        <v>0</v>
      </c>
      <c r="BK240" s="2897">
        <f t="shared" si="168"/>
        <v>0</v>
      </c>
      <c r="BL240" s="2897">
        <f t="shared" si="169"/>
        <v>0</v>
      </c>
      <c r="BM240" s="2897">
        <f t="shared" si="170"/>
        <v>0</v>
      </c>
      <c r="BN240" s="2897">
        <f t="shared" si="171"/>
        <v>0</v>
      </c>
      <c r="BO240" s="2897">
        <f t="shared" si="172"/>
        <v>0</v>
      </c>
      <c r="BP240" s="2897">
        <f t="shared" si="173"/>
        <v>0</v>
      </c>
      <c r="BQ240" s="2897">
        <f t="shared" si="174"/>
        <v>0</v>
      </c>
      <c r="BR240" s="2897">
        <f t="shared" si="175"/>
        <v>0</v>
      </c>
      <c r="BS240" s="2897">
        <f t="shared" si="176"/>
        <v>0</v>
      </c>
      <c r="BT240" s="2971">
        <f t="shared" si="177"/>
        <v>0</v>
      </c>
    </row>
    <row r="241" spans="1:72">
      <c r="A241" s="2894"/>
      <c r="B241" s="2895"/>
      <c r="C241" s="2895"/>
      <c r="D241" s="2907"/>
      <c r="E241" s="2897">
        <f t="shared" si="149"/>
        <v>0</v>
      </c>
      <c r="F241" s="2898"/>
      <c r="G241" s="2899">
        <f t="shared" si="150"/>
        <v>0</v>
      </c>
      <c r="H241" s="2900">
        <f t="shared" si="151"/>
        <v>0</v>
      </c>
      <c r="I241" s="2918"/>
      <c r="J241" s="2918"/>
      <c r="K241" s="2918"/>
      <c r="L241" s="2918"/>
      <c r="M241" s="2918"/>
      <c r="N241" s="2918"/>
      <c r="O241" s="2918"/>
      <c r="P241" s="2918"/>
      <c r="Q241" s="2918"/>
      <c r="R241" s="2918"/>
      <c r="S241" s="2918"/>
      <c r="T241" s="2918"/>
      <c r="U241" s="2918"/>
      <c r="V241" s="2918"/>
      <c r="W241" s="2918"/>
      <c r="X241" s="2918"/>
      <c r="Y241" s="2918"/>
      <c r="Z241" s="2918"/>
      <c r="AA241" s="2918"/>
      <c r="AB241" s="2918"/>
      <c r="AC241" s="2897">
        <f t="shared" si="152"/>
        <v>0</v>
      </c>
      <c r="AD241" s="2929"/>
      <c r="AE241" s="2929"/>
      <c r="AF241" s="2929"/>
      <c r="AG241" s="2929"/>
      <c r="AH241" s="2929"/>
      <c r="AI241" s="2929"/>
      <c r="AJ241" s="2929"/>
      <c r="AK241" s="2929"/>
      <c r="AL241" s="2929"/>
      <c r="AM241" s="2929"/>
      <c r="AN241" s="2929"/>
      <c r="AO241" s="2929"/>
      <c r="AP241" s="2929"/>
      <c r="AQ241" s="2929"/>
      <c r="AR241" s="2929"/>
      <c r="AS241" s="2929"/>
      <c r="AT241" s="2949"/>
      <c r="AU241" s="2950"/>
      <c r="AV241" s="454">
        <f t="shared" si="153"/>
        <v>0</v>
      </c>
      <c r="AW241" s="454">
        <f t="shared" si="154"/>
        <v>0</v>
      </c>
      <c r="AX241" s="454">
        <f t="shared" si="155"/>
        <v>0</v>
      </c>
      <c r="AY241" s="2966">
        <f t="shared" si="156"/>
        <v>0</v>
      </c>
      <c r="AZ241" s="2897">
        <f t="shared" si="157"/>
        <v>0</v>
      </c>
      <c r="BA241" s="2897">
        <f t="shared" si="158"/>
        <v>0</v>
      </c>
      <c r="BB241" s="2897">
        <f t="shared" si="159"/>
        <v>0</v>
      </c>
      <c r="BC241" s="2897">
        <f t="shared" si="160"/>
        <v>0</v>
      </c>
      <c r="BD241" s="2897">
        <f t="shared" si="161"/>
        <v>0</v>
      </c>
      <c r="BE241" s="2897">
        <f t="shared" si="162"/>
        <v>0</v>
      </c>
      <c r="BF241" s="2897">
        <f t="shared" si="163"/>
        <v>0</v>
      </c>
      <c r="BG241" s="2897">
        <f t="shared" si="164"/>
        <v>0</v>
      </c>
      <c r="BH241" s="2897">
        <f t="shared" si="165"/>
        <v>0</v>
      </c>
      <c r="BI241" s="2897">
        <f t="shared" si="166"/>
        <v>0</v>
      </c>
      <c r="BJ241" s="2897">
        <f t="shared" si="167"/>
        <v>0</v>
      </c>
      <c r="BK241" s="2897">
        <f t="shared" si="168"/>
        <v>0</v>
      </c>
      <c r="BL241" s="2897">
        <f t="shared" si="169"/>
        <v>0</v>
      </c>
      <c r="BM241" s="2897">
        <f t="shared" si="170"/>
        <v>0</v>
      </c>
      <c r="BN241" s="2897">
        <f t="shared" si="171"/>
        <v>0</v>
      </c>
      <c r="BO241" s="2897">
        <f t="shared" si="172"/>
        <v>0</v>
      </c>
      <c r="BP241" s="2897">
        <f t="shared" si="173"/>
        <v>0</v>
      </c>
      <c r="BQ241" s="2897">
        <f t="shared" si="174"/>
        <v>0</v>
      </c>
      <c r="BR241" s="2897">
        <f t="shared" si="175"/>
        <v>0</v>
      </c>
      <c r="BS241" s="2897">
        <f t="shared" si="176"/>
        <v>0</v>
      </c>
      <c r="BT241" s="2971">
        <f t="shared" si="177"/>
        <v>0</v>
      </c>
    </row>
    <row r="242" spans="1:72">
      <c r="A242" s="2894"/>
      <c r="B242" s="2895"/>
      <c r="C242" s="2895"/>
      <c r="D242" s="2907"/>
      <c r="E242" s="2897">
        <f t="shared" si="149"/>
        <v>0</v>
      </c>
      <c r="F242" s="2898"/>
      <c r="G242" s="2899">
        <f t="shared" si="150"/>
        <v>0</v>
      </c>
      <c r="H242" s="2900">
        <f t="shared" si="151"/>
        <v>0</v>
      </c>
      <c r="I242" s="2918"/>
      <c r="J242" s="2918"/>
      <c r="K242" s="2918"/>
      <c r="L242" s="2918"/>
      <c r="M242" s="2918"/>
      <c r="N242" s="2918"/>
      <c r="O242" s="2918"/>
      <c r="P242" s="2918"/>
      <c r="Q242" s="2918"/>
      <c r="R242" s="2918"/>
      <c r="S242" s="2918"/>
      <c r="T242" s="2918"/>
      <c r="U242" s="2918"/>
      <c r="V242" s="2918"/>
      <c r="W242" s="2918"/>
      <c r="X242" s="2918"/>
      <c r="Y242" s="2918"/>
      <c r="Z242" s="2918"/>
      <c r="AA242" s="2918"/>
      <c r="AB242" s="2918"/>
      <c r="AC242" s="2897">
        <f t="shared" si="152"/>
        <v>0</v>
      </c>
      <c r="AD242" s="2929"/>
      <c r="AE242" s="2929"/>
      <c r="AF242" s="2929"/>
      <c r="AG242" s="2929"/>
      <c r="AH242" s="2929"/>
      <c r="AI242" s="2929"/>
      <c r="AJ242" s="2929"/>
      <c r="AK242" s="2929"/>
      <c r="AL242" s="2929"/>
      <c r="AM242" s="2929"/>
      <c r="AN242" s="2929"/>
      <c r="AO242" s="2929"/>
      <c r="AP242" s="2929"/>
      <c r="AQ242" s="2929"/>
      <c r="AR242" s="2929"/>
      <c r="AS242" s="2929"/>
      <c r="AT242" s="2949"/>
      <c r="AU242" s="2950"/>
      <c r="AV242" s="454">
        <f t="shared" si="153"/>
        <v>0</v>
      </c>
      <c r="AW242" s="454">
        <f t="shared" si="154"/>
        <v>0</v>
      </c>
      <c r="AX242" s="454">
        <f t="shared" si="155"/>
        <v>0</v>
      </c>
      <c r="AY242" s="2966">
        <f t="shared" si="156"/>
        <v>0</v>
      </c>
      <c r="AZ242" s="2897">
        <f t="shared" si="157"/>
        <v>0</v>
      </c>
      <c r="BA242" s="2897">
        <f t="shared" si="158"/>
        <v>0</v>
      </c>
      <c r="BB242" s="2897">
        <f t="shared" si="159"/>
        <v>0</v>
      </c>
      <c r="BC242" s="2897">
        <f t="shared" si="160"/>
        <v>0</v>
      </c>
      <c r="BD242" s="2897">
        <f t="shared" si="161"/>
        <v>0</v>
      </c>
      <c r="BE242" s="2897">
        <f t="shared" si="162"/>
        <v>0</v>
      </c>
      <c r="BF242" s="2897">
        <f t="shared" si="163"/>
        <v>0</v>
      </c>
      <c r="BG242" s="2897">
        <f t="shared" si="164"/>
        <v>0</v>
      </c>
      <c r="BH242" s="2897">
        <f t="shared" si="165"/>
        <v>0</v>
      </c>
      <c r="BI242" s="2897">
        <f t="shared" si="166"/>
        <v>0</v>
      </c>
      <c r="BJ242" s="2897">
        <f t="shared" si="167"/>
        <v>0</v>
      </c>
      <c r="BK242" s="2897">
        <f t="shared" si="168"/>
        <v>0</v>
      </c>
      <c r="BL242" s="2897">
        <f t="shared" si="169"/>
        <v>0</v>
      </c>
      <c r="BM242" s="2897">
        <f t="shared" si="170"/>
        <v>0</v>
      </c>
      <c r="BN242" s="2897">
        <f t="shared" si="171"/>
        <v>0</v>
      </c>
      <c r="BO242" s="2897">
        <f t="shared" si="172"/>
        <v>0</v>
      </c>
      <c r="BP242" s="2897">
        <f t="shared" si="173"/>
        <v>0</v>
      </c>
      <c r="BQ242" s="2897">
        <f t="shared" si="174"/>
        <v>0</v>
      </c>
      <c r="BR242" s="2897">
        <f t="shared" si="175"/>
        <v>0</v>
      </c>
      <c r="BS242" s="2897">
        <f t="shared" si="176"/>
        <v>0</v>
      </c>
      <c r="BT242" s="2971">
        <f t="shared" si="177"/>
        <v>0</v>
      </c>
    </row>
    <row r="243" spans="1:72">
      <c r="A243" s="2894"/>
      <c r="B243" s="2895"/>
      <c r="C243" s="2895"/>
      <c r="D243" s="2907"/>
      <c r="E243" s="2897">
        <f t="shared" si="149"/>
        <v>0</v>
      </c>
      <c r="F243" s="2898"/>
      <c r="G243" s="2899">
        <f t="shared" si="150"/>
        <v>0</v>
      </c>
      <c r="H243" s="2900">
        <f t="shared" si="151"/>
        <v>0</v>
      </c>
      <c r="I243" s="2918"/>
      <c r="J243" s="2918"/>
      <c r="K243" s="2918"/>
      <c r="L243" s="2918"/>
      <c r="M243" s="2918"/>
      <c r="N243" s="2918"/>
      <c r="O243" s="2918"/>
      <c r="P243" s="2918"/>
      <c r="Q243" s="2918"/>
      <c r="R243" s="2918"/>
      <c r="S243" s="2918"/>
      <c r="T243" s="2918"/>
      <c r="U243" s="2918"/>
      <c r="V243" s="2918"/>
      <c r="W243" s="2918"/>
      <c r="X243" s="2918"/>
      <c r="Y243" s="2918"/>
      <c r="Z243" s="2918"/>
      <c r="AA243" s="2918"/>
      <c r="AB243" s="2918"/>
      <c r="AC243" s="2897">
        <f t="shared" si="152"/>
        <v>0</v>
      </c>
      <c r="AD243" s="2929"/>
      <c r="AE243" s="2929"/>
      <c r="AF243" s="2929"/>
      <c r="AG243" s="2929"/>
      <c r="AH243" s="2929"/>
      <c r="AI243" s="2929"/>
      <c r="AJ243" s="2929"/>
      <c r="AK243" s="2929"/>
      <c r="AL243" s="2929"/>
      <c r="AM243" s="2929"/>
      <c r="AN243" s="2929"/>
      <c r="AO243" s="2929"/>
      <c r="AP243" s="2929"/>
      <c r="AQ243" s="2929"/>
      <c r="AR243" s="2929"/>
      <c r="AS243" s="2929"/>
      <c r="AT243" s="2949"/>
      <c r="AU243" s="2950"/>
      <c r="AV243" s="454">
        <f t="shared" si="153"/>
        <v>0</v>
      </c>
      <c r="AW243" s="454">
        <f t="shared" si="154"/>
        <v>0</v>
      </c>
      <c r="AX243" s="454">
        <f t="shared" si="155"/>
        <v>0</v>
      </c>
      <c r="AY243" s="2966">
        <f t="shared" si="156"/>
        <v>0</v>
      </c>
      <c r="AZ243" s="2897">
        <f t="shared" si="157"/>
        <v>0</v>
      </c>
      <c r="BA243" s="2897">
        <f t="shared" si="158"/>
        <v>0</v>
      </c>
      <c r="BB243" s="2897">
        <f t="shared" si="159"/>
        <v>0</v>
      </c>
      <c r="BC243" s="2897">
        <f t="shared" si="160"/>
        <v>0</v>
      </c>
      <c r="BD243" s="2897">
        <f t="shared" si="161"/>
        <v>0</v>
      </c>
      <c r="BE243" s="2897">
        <f t="shared" si="162"/>
        <v>0</v>
      </c>
      <c r="BF243" s="2897">
        <f t="shared" si="163"/>
        <v>0</v>
      </c>
      <c r="BG243" s="2897">
        <f t="shared" si="164"/>
        <v>0</v>
      </c>
      <c r="BH243" s="2897">
        <f t="shared" si="165"/>
        <v>0</v>
      </c>
      <c r="BI243" s="2897">
        <f t="shared" si="166"/>
        <v>0</v>
      </c>
      <c r="BJ243" s="2897">
        <f t="shared" si="167"/>
        <v>0</v>
      </c>
      <c r="BK243" s="2897">
        <f t="shared" si="168"/>
        <v>0</v>
      </c>
      <c r="BL243" s="2897">
        <f t="shared" si="169"/>
        <v>0</v>
      </c>
      <c r="BM243" s="2897">
        <f t="shared" si="170"/>
        <v>0</v>
      </c>
      <c r="BN243" s="2897">
        <f t="shared" si="171"/>
        <v>0</v>
      </c>
      <c r="BO243" s="2897">
        <f t="shared" si="172"/>
        <v>0</v>
      </c>
      <c r="BP243" s="2897">
        <f t="shared" si="173"/>
        <v>0</v>
      </c>
      <c r="BQ243" s="2897">
        <f t="shared" si="174"/>
        <v>0</v>
      </c>
      <c r="BR243" s="2897">
        <f t="shared" si="175"/>
        <v>0</v>
      </c>
      <c r="BS243" s="2897">
        <f t="shared" si="176"/>
        <v>0</v>
      </c>
      <c r="BT243" s="2971">
        <f t="shared" si="177"/>
        <v>0</v>
      </c>
    </row>
    <row r="244" spans="1:72">
      <c r="A244" s="2894"/>
      <c r="B244" s="2895"/>
      <c r="C244" s="2895"/>
      <c r="D244" s="2907"/>
      <c r="E244" s="2897">
        <f t="shared" si="149"/>
        <v>0</v>
      </c>
      <c r="F244" s="2898"/>
      <c r="G244" s="2899">
        <f t="shared" si="150"/>
        <v>0</v>
      </c>
      <c r="H244" s="2900">
        <f t="shared" si="151"/>
        <v>0</v>
      </c>
      <c r="I244" s="2918"/>
      <c r="J244" s="2918"/>
      <c r="K244" s="2918"/>
      <c r="L244" s="2918"/>
      <c r="M244" s="2918"/>
      <c r="N244" s="2918"/>
      <c r="O244" s="2918"/>
      <c r="P244" s="2918"/>
      <c r="Q244" s="2918"/>
      <c r="R244" s="2918"/>
      <c r="S244" s="2918"/>
      <c r="T244" s="2918"/>
      <c r="U244" s="2918"/>
      <c r="V244" s="2918"/>
      <c r="W244" s="2918"/>
      <c r="X244" s="2918"/>
      <c r="Y244" s="2918"/>
      <c r="Z244" s="2918"/>
      <c r="AA244" s="2918"/>
      <c r="AB244" s="2918"/>
      <c r="AC244" s="2897">
        <f t="shared" si="152"/>
        <v>0</v>
      </c>
      <c r="AD244" s="2929"/>
      <c r="AE244" s="2929"/>
      <c r="AF244" s="2929"/>
      <c r="AG244" s="2929"/>
      <c r="AH244" s="2929"/>
      <c r="AI244" s="2929"/>
      <c r="AJ244" s="2929"/>
      <c r="AK244" s="2929"/>
      <c r="AL244" s="2929"/>
      <c r="AM244" s="2929"/>
      <c r="AN244" s="2929"/>
      <c r="AO244" s="2929"/>
      <c r="AP244" s="2929"/>
      <c r="AQ244" s="2929"/>
      <c r="AR244" s="2929"/>
      <c r="AS244" s="2929"/>
      <c r="AT244" s="2949"/>
      <c r="AU244" s="2950"/>
      <c r="AV244" s="454">
        <f t="shared" si="153"/>
        <v>0</v>
      </c>
      <c r="AW244" s="454">
        <f t="shared" si="154"/>
        <v>0</v>
      </c>
      <c r="AX244" s="454">
        <f t="shared" si="155"/>
        <v>0</v>
      </c>
      <c r="AY244" s="2966">
        <f t="shared" si="156"/>
        <v>0</v>
      </c>
      <c r="AZ244" s="2897">
        <f t="shared" si="157"/>
        <v>0</v>
      </c>
      <c r="BA244" s="2897">
        <f t="shared" si="158"/>
        <v>0</v>
      </c>
      <c r="BB244" s="2897">
        <f t="shared" si="159"/>
        <v>0</v>
      </c>
      <c r="BC244" s="2897">
        <f t="shared" si="160"/>
        <v>0</v>
      </c>
      <c r="BD244" s="2897">
        <f t="shared" si="161"/>
        <v>0</v>
      </c>
      <c r="BE244" s="2897">
        <f t="shared" si="162"/>
        <v>0</v>
      </c>
      <c r="BF244" s="2897">
        <f t="shared" si="163"/>
        <v>0</v>
      </c>
      <c r="BG244" s="2897">
        <f t="shared" si="164"/>
        <v>0</v>
      </c>
      <c r="BH244" s="2897">
        <f t="shared" si="165"/>
        <v>0</v>
      </c>
      <c r="BI244" s="2897">
        <f t="shared" si="166"/>
        <v>0</v>
      </c>
      <c r="BJ244" s="2897">
        <f t="shared" si="167"/>
        <v>0</v>
      </c>
      <c r="BK244" s="2897">
        <f t="shared" si="168"/>
        <v>0</v>
      </c>
      <c r="BL244" s="2897">
        <f t="shared" si="169"/>
        <v>0</v>
      </c>
      <c r="BM244" s="2897">
        <f t="shared" si="170"/>
        <v>0</v>
      </c>
      <c r="BN244" s="2897">
        <f t="shared" si="171"/>
        <v>0</v>
      </c>
      <c r="BO244" s="2897">
        <f t="shared" si="172"/>
        <v>0</v>
      </c>
      <c r="BP244" s="2897">
        <f t="shared" si="173"/>
        <v>0</v>
      </c>
      <c r="BQ244" s="2897">
        <f t="shared" si="174"/>
        <v>0</v>
      </c>
      <c r="BR244" s="2897">
        <f t="shared" si="175"/>
        <v>0</v>
      </c>
      <c r="BS244" s="2897">
        <f t="shared" si="176"/>
        <v>0</v>
      </c>
      <c r="BT244" s="2971">
        <f t="shared" si="177"/>
        <v>0</v>
      </c>
    </row>
    <row r="245" spans="1:72">
      <c r="A245" s="2894"/>
      <c r="B245" s="2895"/>
      <c r="C245" s="2895"/>
      <c r="D245" s="2907"/>
      <c r="E245" s="2897">
        <f t="shared" si="149"/>
        <v>0</v>
      </c>
      <c r="F245" s="2898"/>
      <c r="G245" s="2899">
        <f t="shared" si="150"/>
        <v>0</v>
      </c>
      <c r="H245" s="2900">
        <f t="shared" si="151"/>
        <v>0</v>
      </c>
      <c r="I245" s="2918"/>
      <c r="J245" s="2918"/>
      <c r="K245" s="2918"/>
      <c r="L245" s="2918"/>
      <c r="M245" s="2918"/>
      <c r="N245" s="2918"/>
      <c r="O245" s="2918"/>
      <c r="P245" s="2918"/>
      <c r="Q245" s="2918"/>
      <c r="R245" s="2918"/>
      <c r="S245" s="2918"/>
      <c r="T245" s="2918"/>
      <c r="U245" s="2918"/>
      <c r="V245" s="2918"/>
      <c r="W245" s="2918"/>
      <c r="X245" s="2918"/>
      <c r="Y245" s="2918"/>
      <c r="Z245" s="2918"/>
      <c r="AA245" s="2918"/>
      <c r="AB245" s="2918"/>
      <c r="AC245" s="2897">
        <f t="shared" si="152"/>
        <v>0</v>
      </c>
      <c r="AD245" s="2929"/>
      <c r="AE245" s="2929"/>
      <c r="AF245" s="2929"/>
      <c r="AG245" s="2929"/>
      <c r="AH245" s="2929"/>
      <c r="AI245" s="2929"/>
      <c r="AJ245" s="2929"/>
      <c r="AK245" s="2929"/>
      <c r="AL245" s="2929"/>
      <c r="AM245" s="2929"/>
      <c r="AN245" s="2929"/>
      <c r="AO245" s="2929"/>
      <c r="AP245" s="2929"/>
      <c r="AQ245" s="2929"/>
      <c r="AR245" s="2929"/>
      <c r="AS245" s="2929"/>
      <c r="AT245" s="2949"/>
      <c r="AU245" s="2950"/>
      <c r="AV245" s="454">
        <f t="shared" si="153"/>
        <v>0</v>
      </c>
      <c r="AW245" s="454">
        <f t="shared" si="154"/>
        <v>0</v>
      </c>
      <c r="AX245" s="454">
        <f t="shared" si="155"/>
        <v>0</v>
      </c>
      <c r="AY245" s="2966">
        <f t="shared" si="156"/>
        <v>0</v>
      </c>
      <c r="AZ245" s="2897">
        <f t="shared" si="157"/>
        <v>0</v>
      </c>
      <c r="BA245" s="2897">
        <f t="shared" si="158"/>
        <v>0</v>
      </c>
      <c r="BB245" s="2897">
        <f t="shared" si="159"/>
        <v>0</v>
      </c>
      <c r="BC245" s="2897">
        <f t="shared" si="160"/>
        <v>0</v>
      </c>
      <c r="BD245" s="2897">
        <f t="shared" si="161"/>
        <v>0</v>
      </c>
      <c r="BE245" s="2897">
        <f t="shared" si="162"/>
        <v>0</v>
      </c>
      <c r="BF245" s="2897">
        <f t="shared" si="163"/>
        <v>0</v>
      </c>
      <c r="BG245" s="2897">
        <f t="shared" si="164"/>
        <v>0</v>
      </c>
      <c r="BH245" s="2897">
        <f t="shared" si="165"/>
        <v>0</v>
      </c>
      <c r="BI245" s="2897">
        <f t="shared" si="166"/>
        <v>0</v>
      </c>
      <c r="BJ245" s="2897">
        <f t="shared" si="167"/>
        <v>0</v>
      </c>
      <c r="BK245" s="2897">
        <f t="shared" si="168"/>
        <v>0</v>
      </c>
      <c r="BL245" s="2897">
        <f t="shared" si="169"/>
        <v>0</v>
      </c>
      <c r="BM245" s="2897">
        <f t="shared" si="170"/>
        <v>0</v>
      </c>
      <c r="BN245" s="2897">
        <f t="shared" si="171"/>
        <v>0</v>
      </c>
      <c r="BO245" s="2897">
        <f t="shared" si="172"/>
        <v>0</v>
      </c>
      <c r="BP245" s="2897">
        <f t="shared" si="173"/>
        <v>0</v>
      </c>
      <c r="BQ245" s="2897">
        <f t="shared" si="174"/>
        <v>0</v>
      </c>
      <c r="BR245" s="2897">
        <f t="shared" si="175"/>
        <v>0</v>
      </c>
      <c r="BS245" s="2897">
        <f t="shared" si="176"/>
        <v>0</v>
      </c>
      <c r="BT245" s="2971">
        <f t="shared" si="177"/>
        <v>0</v>
      </c>
    </row>
    <row r="246" spans="1:72">
      <c r="A246" s="2894"/>
      <c r="B246" s="2895"/>
      <c r="C246" s="2895"/>
      <c r="D246" s="2907"/>
      <c r="E246" s="2897">
        <f t="shared" si="149"/>
        <v>0</v>
      </c>
      <c r="F246" s="2898"/>
      <c r="G246" s="2899">
        <f t="shared" si="150"/>
        <v>0</v>
      </c>
      <c r="H246" s="2900">
        <f t="shared" si="151"/>
        <v>0</v>
      </c>
      <c r="I246" s="2918"/>
      <c r="J246" s="2918"/>
      <c r="K246" s="2918"/>
      <c r="L246" s="2918"/>
      <c r="M246" s="2918"/>
      <c r="N246" s="2918"/>
      <c r="O246" s="2918"/>
      <c r="P246" s="2918"/>
      <c r="Q246" s="2918"/>
      <c r="R246" s="2918"/>
      <c r="S246" s="2918"/>
      <c r="T246" s="2918"/>
      <c r="U246" s="2918"/>
      <c r="V246" s="2918"/>
      <c r="W246" s="2918"/>
      <c r="X246" s="2918"/>
      <c r="Y246" s="2918"/>
      <c r="Z246" s="2918"/>
      <c r="AA246" s="2918"/>
      <c r="AB246" s="2918"/>
      <c r="AC246" s="2897">
        <f t="shared" si="152"/>
        <v>0</v>
      </c>
      <c r="AD246" s="2929"/>
      <c r="AE246" s="2929"/>
      <c r="AF246" s="2929"/>
      <c r="AG246" s="2929"/>
      <c r="AH246" s="2929"/>
      <c r="AI246" s="2929"/>
      <c r="AJ246" s="2929"/>
      <c r="AK246" s="2929"/>
      <c r="AL246" s="2929"/>
      <c r="AM246" s="2929"/>
      <c r="AN246" s="2929"/>
      <c r="AO246" s="2929"/>
      <c r="AP246" s="2929"/>
      <c r="AQ246" s="2929"/>
      <c r="AR246" s="2929"/>
      <c r="AS246" s="2929"/>
      <c r="AT246" s="2949"/>
      <c r="AU246" s="2950"/>
      <c r="AV246" s="454">
        <f t="shared" si="153"/>
        <v>0</v>
      </c>
      <c r="AW246" s="454">
        <f t="shared" si="154"/>
        <v>0</v>
      </c>
      <c r="AX246" s="454">
        <f t="shared" si="155"/>
        <v>0</v>
      </c>
      <c r="AY246" s="2966">
        <f t="shared" si="156"/>
        <v>0</v>
      </c>
      <c r="AZ246" s="2897">
        <f t="shared" si="157"/>
        <v>0</v>
      </c>
      <c r="BA246" s="2897">
        <f t="shared" si="158"/>
        <v>0</v>
      </c>
      <c r="BB246" s="2897">
        <f t="shared" si="159"/>
        <v>0</v>
      </c>
      <c r="BC246" s="2897">
        <f t="shared" si="160"/>
        <v>0</v>
      </c>
      <c r="BD246" s="2897">
        <f t="shared" si="161"/>
        <v>0</v>
      </c>
      <c r="BE246" s="2897">
        <f t="shared" si="162"/>
        <v>0</v>
      </c>
      <c r="BF246" s="2897">
        <f t="shared" si="163"/>
        <v>0</v>
      </c>
      <c r="BG246" s="2897">
        <f t="shared" si="164"/>
        <v>0</v>
      </c>
      <c r="BH246" s="2897">
        <f t="shared" si="165"/>
        <v>0</v>
      </c>
      <c r="BI246" s="2897">
        <f t="shared" si="166"/>
        <v>0</v>
      </c>
      <c r="BJ246" s="2897">
        <f t="shared" si="167"/>
        <v>0</v>
      </c>
      <c r="BK246" s="2897">
        <f t="shared" si="168"/>
        <v>0</v>
      </c>
      <c r="BL246" s="2897">
        <f t="shared" si="169"/>
        <v>0</v>
      </c>
      <c r="BM246" s="2897">
        <f t="shared" si="170"/>
        <v>0</v>
      </c>
      <c r="BN246" s="2897">
        <f t="shared" si="171"/>
        <v>0</v>
      </c>
      <c r="BO246" s="2897">
        <f t="shared" si="172"/>
        <v>0</v>
      </c>
      <c r="BP246" s="2897">
        <f t="shared" si="173"/>
        <v>0</v>
      </c>
      <c r="BQ246" s="2897">
        <f t="shared" si="174"/>
        <v>0</v>
      </c>
      <c r="BR246" s="2897">
        <f t="shared" si="175"/>
        <v>0</v>
      </c>
      <c r="BS246" s="2897">
        <f t="shared" si="176"/>
        <v>0</v>
      </c>
      <c r="BT246" s="2971">
        <f t="shared" si="177"/>
        <v>0</v>
      </c>
    </row>
    <row r="247" spans="1:72">
      <c r="A247" s="2894"/>
      <c r="B247" s="2895"/>
      <c r="C247" s="2895"/>
      <c r="D247" s="2907"/>
      <c r="E247" s="2897">
        <f t="shared" si="149"/>
        <v>0</v>
      </c>
      <c r="F247" s="2898"/>
      <c r="G247" s="2899">
        <f t="shared" si="150"/>
        <v>0</v>
      </c>
      <c r="H247" s="2900">
        <f t="shared" si="151"/>
        <v>0</v>
      </c>
      <c r="I247" s="2918"/>
      <c r="J247" s="2918"/>
      <c r="K247" s="2918"/>
      <c r="L247" s="2918"/>
      <c r="M247" s="2918"/>
      <c r="N247" s="2918"/>
      <c r="O247" s="2918"/>
      <c r="P247" s="2918"/>
      <c r="Q247" s="2918"/>
      <c r="R247" s="2918"/>
      <c r="S247" s="2918"/>
      <c r="T247" s="2918"/>
      <c r="U247" s="2918"/>
      <c r="V247" s="2918"/>
      <c r="W247" s="2918"/>
      <c r="X247" s="2918"/>
      <c r="Y247" s="2918"/>
      <c r="Z247" s="2918"/>
      <c r="AA247" s="2918"/>
      <c r="AB247" s="2918"/>
      <c r="AC247" s="2897">
        <f t="shared" si="152"/>
        <v>0</v>
      </c>
      <c r="AD247" s="2929"/>
      <c r="AE247" s="2929"/>
      <c r="AF247" s="2929"/>
      <c r="AG247" s="2929"/>
      <c r="AH247" s="2929"/>
      <c r="AI247" s="2929"/>
      <c r="AJ247" s="2929"/>
      <c r="AK247" s="2929"/>
      <c r="AL247" s="2929"/>
      <c r="AM247" s="2929"/>
      <c r="AN247" s="2929"/>
      <c r="AO247" s="2929"/>
      <c r="AP247" s="2929"/>
      <c r="AQ247" s="2929"/>
      <c r="AR247" s="2929"/>
      <c r="AS247" s="2929"/>
      <c r="AT247" s="2949"/>
      <c r="AU247" s="2950"/>
      <c r="AV247" s="454">
        <f t="shared" si="153"/>
        <v>0</v>
      </c>
      <c r="AW247" s="454">
        <f t="shared" si="154"/>
        <v>0</v>
      </c>
      <c r="AX247" s="454">
        <f t="shared" si="155"/>
        <v>0</v>
      </c>
      <c r="AY247" s="2966">
        <f t="shared" si="156"/>
        <v>0</v>
      </c>
      <c r="AZ247" s="2897">
        <f t="shared" si="157"/>
        <v>0</v>
      </c>
      <c r="BA247" s="2897">
        <f t="shared" si="158"/>
        <v>0</v>
      </c>
      <c r="BB247" s="2897">
        <f t="shared" si="159"/>
        <v>0</v>
      </c>
      <c r="BC247" s="2897">
        <f t="shared" si="160"/>
        <v>0</v>
      </c>
      <c r="BD247" s="2897">
        <f t="shared" si="161"/>
        <v>0</v>
      </c>
      <c r="BE247" s="2897">
        <f t="shared" si="162"/>
        <v>0</v>
      </c>
      <c r="BF247" s="2897">
        <f t="shared" si="163"/>
        <v>0</v>
      </c>
      <c r="BG247" s="2897">
        <f t="shared" si="164"/>
        <v>0</v>
      </c>
      <c r="BH247" s="2897">
        <f t="shared" si="165"/>
        <v>0</v>
      </c>
      <c r="BI247" s="2897">
        <f t="shared" si="166"/>
        <v>0</v>
      </c>
      <c r="BJ247" s="2897">
        <f t="shared" si="167"/>
        <v>0</v>
      </c>
      <c r="BK247" s="2897">
        <f t="shared" si="168"/>
        <v>0</v>
      </c>
      <c r="BL247" s="2897">
        <f t="shared" si="169"/>
        <v>0</v>
      </c>
      <c r="BM247" s="2897">
        <f t="shared" si="170"/>
        <v>0</v>
      </c>
      <c r="BN247" s="2897">
        <f t="shared" si="171"/>
        <v>0</v>
      </c>
      <c r="BO247" s="2897">
        <f t="shared" si="172"/>
        <v>0</v>
      </c>
      <c r="BP247" s="2897">
        <f t="shared" si="173"/>
        <v>0</v>
      </c>
      <c r="BQ247" s="2897">
        <f t="shared" si="174"/>
        <v>0</v>
      </c>
      <c r="BR247" s="2897">
        <f t="shared" si="175"/>
        <v>0</v>
      </c>
      <c r="BS247" s="2897">
        <f t="shared" si="176"/>
        <v>0</v>
      </c>
      <c r="BT247" s="2971">
        <f t="shared" si="177"/>
        <v>0</v>
      </c>
    </row>
    <row r="248" spans="1:72">
      <c r="A248" s="2894"/>
      <c r="B248" s="2895"/>
      <c r="C248" s="2895"/>
      <c r="D248" s="2907"/>
      <c r="E248" s="2897">
        <f t="shared" si="149"/>
        <v>0</v>
      </c>
      <c r="F248" s="2898"/>
      <c r="G248" s="2899">
        <f t="shared" si="150"/>
        <v>0</v>
      </c>
      <c r="H248" s="2900">
        <f t="shared" si="151"/>
        <v>0</v>
      </c>
      <c r="I248" s="2918"/>
      <c r="J248" s="2918"/>
      <c r="K248" s="2918"/>
      <c r="L248" s="2918"/>
      <c r="M248" s="2918"/>
      <c r="N248" s="2918"/>
      <c r="O248" s="2918"/>
      <c r="P248" s="2918"/>
      <c r="Q248" s="2918"/>
      <c r="R248" s="2918"/>
      <c r="S248" s="2918"/>
      <c r="T248" s="2918"/>
      <c r="U248" s="2918"/>
      <c r="V248" s="2918"/>
      <c r="W248" s="2918"/>
      <c r="X248" s="2918"/>
      <c r="Y248" s="2918"/>
      <c r="Z248" s="2918"/>
      <c r="AA248" s="2918"/>
      <c r="AB248" s="2918"/>
      <c r="AC248" s="2897">
        <f t="shared" si="152"/>
        <v>0</v>
      </c>
      <c r="AD248" s="2929"/>
      <c r="AE248" s="2929"/>
      <c r="AF248" s="2929"/>
      <c r="AG248" s="2929"/>
      <c r="AH248" s="2929"/>
      <c r="AI248" s="2929"/>
      <c r="AJ248" s="2929"/>
      <c r="AK248" s="2929"/>
      <c r="AL248" s="2929"/>
      <c r="AM248" s="2929"/>
      <c r="AN248" s="2929"/>
      <c r="AO248" s="2929"/>
      <c r="AP248" s="2929"/>
      <c r="AQ248" s="2929"/>
      <c r="AR248" s="2929"/>
      <c r="AS248" s="2929"/>
      <c r="AT248" s="2949"/>
      <c r="AU248" s="2950"/>
      <c r="AV248" s="454">
        <f t="shared" si="153"/>
        <v>0</v>
      </c>
      <c r="AW248" s="454">
        <f t="shared" si="154"/>
        <v>0</v>
      </c>
      <c r="AX248" s="454">
        <f t="shared" si="155"/>
        <v>0</v>
      </c>
      <c r="AY248" s="2966">
        <f t="shared" si="156"/>
        <v>0</v>
      </c>
      <c r="AZ248" s="2897">
        <f t="shared" si="157"/>
        <v>0</v>
      </c>
      <c r="BA248" s="2897">
        <f t="shared" si="158"/>
        <v>0</v>
      </c>
      <c r="BB248" s="2897">
        <f t="shared" si="159"/>
        <v>0</v>
      </c>
      <c r="BC248" s="2897">
        <f t="shared" si="160"/>
        <v>0</v>
      </c>
      <c r="BD248" s="2897">
        <f t="shared" si="161"/>
        <v>0</v>
      </c>
      <c r="BE248" s="2897">
        <f t="shared" si="162"/>
        <v>0</v>
      </c>
      <c r="BF248" s="2897">
        <f t="shared" si="163"/>
        <v>0</v>
      </c>
      <c r="BG248" s="2897">
        <f t="shared" si="164"/>
        <v>0</v>
      </c>
      <c r="BH248" s="2897">
        <f t="shared" si="165"/>
        <v>0</v>
      </c>
      <c r="BI248" s="2897">
        <f t="shared" si="166"/>
        <v>0</v>
      </c>
      <c r="BJ248" s="2897">
        <f t="shared" si="167"/>
        <v>0</v>
      </c>
      <c r="BK248" s="2897">
        <f t="shared" si="168"/>
        <v>0</v>
      </c>
      <c r="BL248" s="2897">
        <f t="shared" si="169"/>
        <v>0</v>
      </c>
      <c r="BM248" s="2897">
        <f t="shared" si="170"/>
        <v>0</v>
      </c>
      <c r="BN248" s="2897">
        <f t="shared" si="171"/>
        <v>0</v>
      </c>
      <c r="BO248" s="2897">
        <f t="shared" si="172"/>
        <v>0</v>
      </c>
      <c r="BP248" s="2897">
        <f t="shared" si="173"/>
        <v>0</v>
      </c>
      <c r="BQ248" s="2897">
        <f t="shared" si="174"/>
        <v>0</v>
      </c>
      <c r="BR248" s="2897">
        <f t="shared" si="175"/>
        <v>0</v>
      </c>
      <c r="BS248" s="2897">
        <f t="shared" si="176"/>
        <v>0</v>
      </c>
      <c r="BT248" s="2971">
        <f t="shared" si="177"/>
        <v>0</v>
      </c>
    </row>
    <row r="249" spans="1:72">
      <c r="A249" s="2894"/>
      <c r="B249" s="2895"/>
      <c r="C249" s="2895"/>
      <c r="D249" s="2907"/>
      <c r="E249" s="2897">
        <f t="shared" si="149"/>
        <v>0</v>
      </c>
      <c r="F249" s="2898"/>
      <c r="G249" s="2899">
        <f t="shared" si="150"/>
        <v>0</v>
      </c>
      <c r="H249" s="2900">
        <f t="shared" si="151"/>
        <v>0</v>
      </c>
      <c r="I249" s="2918"/>
      <c r="J249" s="2918"/>
      <c r="K249" s="2918"/>
      <c r="L249" s="2918"/>
      <c r="M249" s="2918"/>
      <c r="N249" s="2918"/>
      <c r="O249" s="2918"/>
      <c r="P249" s="2918"/>
      <c r="Q249" s="2918"/>
      <c r="R249" s="2918"/>
      <c r="S249" s="2918"/>
      <c r="T249" s="2918"/>
      <c r="U249" s="2918"/>
      <c r="V249" s="2918"/>
      <c r="W249" s="2918"/>
      <c r="X249" s="2918"/>
      <c r="Y249" s="2918"/>
      <c r="Z249" s="2918"/>
      <c r="AA249" s="2918"/>
      <c r="AB249" s="2918"/>
      <c r="AC249" s="2897">
        <f t="shared" si="152"/>
        <v>0</v>
      </c>
      <c r="AD249" s="2929"/>
      <c r="AE249" s="2929"/>
      <c r="AF249" s="2929"/>
      <c r="AG249" s="2929"/>
      <c r="AH249" s="2929"/>
      <c r="AI249" s="2929"/>
      <c r="AJ249" s="2929"/>
      <c r="AK249" s="2929"/>
      <c r="AL249" s="2929"/>
      <c r="AM249" s="2929"/>
      <c r="AN249" s="2929"/>
      <c r="AO249" s="2929"/>
      <c r="AP249" s="2929"/>
      <c r="AQ249" s="2929"/>
      <c r="AR249" s="2929"/>
      <c r="AS249" s="2929"/>
      <c r="AT249" s="2949"/>
      <c r="AU249" s="2950"/>
      <c r="AV249" s="454">
        <f t="shared" si="153"/>
        <v>0</v>
      </c>
      <c r="AW249" s="454">
        <f t="shared" si="154"/>
        <v>0</v>
      </c>
      <c r="AX249" s="454">
        <f t="shared" si="155"/>
        <v>0</v>
      </c>
      <c r="AY249" s="2966">
        <f t="shared" si="156"/>
        <v>0</v>
      </c>
      <c r="AZ249" s="2897">
        <f t="shared" si="157"/>
        <v>0</v>
      </c>
      <c r="BA249" s="2897">
        <f t="shared" si="158"/>
        <v>0</v>
      </c>
      <c r="BB249" s="2897">
        <f t="shared" si="159"/>
        <v>0</v>
      </c>
      <c r="BC249" s="2897">
        <f t="shared" si="160"/>
        <v>0</v>
      </c>
      <c r="BD249" s="2897">
        <f t="shared" si="161"/>
        <v>0</v>
      </c>
      <c r="BE249" s="2897">
        <f t="shared" si="162"/>
        <v>0</v>
      </c>
      <c r="BF249" s="2897">
        <f t="shared" si="163"/>
        <v>0</v>
      </c>
      <c r="BG249" s="2897">
        <f t="shared" si="164"/>
        <v>0</v>
      </c>
      <c r="BH249" s="2897">
        <f t="shared" si="165"/>
        <v>0</v>
      </c>
      <c r="BI249" s="2897">
        <f t="shared" si="166"/>
        <v>0</v>
      </c>
      <c r="BJ249" s="2897">
        <f t="shared" si="167"/>
        <v>0</v>
      </c>
      <c r="BK249" s="2897">
        <f t="shared" si="168"/>
        <v>0</v>
      </c>
      <c r="BL249" s="2897">
        <f t="shared" si="169"/>
        <v>0</v>
      </c>
      <c r="BM249" s="2897">
        <f t="shared" si="170"/>
        <v>0</v>
      </c>
      <c r="BN249" s="2897">
        <f t="shared" si="171"/>
        <v>0</v>
      </c>
      <c r="BO249" s="2897">
        <f t="shared" si="172"/>
        <v>0</v>
      </c>
      <c r="BP249" s="2897">
        <f t="shared" si="173"/>
        <v>0</v>
      </c>
      <c r="BQ249" s="2897">
        <f t="shared" si="174"/>
        <v>0</v>
      </c>
      <c r="BR249" s="2897">
        <f t="shared" si="175"/>
        <v>0</v>
      </c>
      <c r="BS249" s="2897">
        <f t="shared" si="176"/>
        <v>0</v>
      </c>
      <c r="BT249" s="2971">
        <f t="shared" si="177"/>
        <v>0</v>
      </c>
    </row>
    <row r="250" spans="1:72">
      <c r="A250" s="2894"/>
      <c r="B250" s="2895"/>
      <c r="C250" s="2895"/>
      <c r="D250" s="2907"/>
      <c r="E250" s="2897">
        <f t="shared" si="149"/>
        <v>0</v>
      </c>
      <c r="F250" s="2898"/>
      <c r="G250" s="2899">
        <f t="shared" si="150"/>
        <v>0</v>
      </c>
      <c r="H250" s="2900">
        <f t="shared" si="151"/>
        <v>0</v>
      </c>
      <c r="I250" s="2918"/>
      <c r="J250" s="2918"/>
      <c r="K250" s="2918"/>
      <c r="L250" s="2918"/>
      <c r="M250" s="2918"/>
      <c r="N250" s="2918"/>
      <c r="O250" s="2918"/>
      <c r="P250" s="2918"/>
      <c r="Q250" s="2918"/>
      <c r="R250" s="2918"/>
      <c r="S250" s="2918"/>
      <c r="T250" s="2918"/>
      <c r="U250" s="2918"/>
      <c r="V250" s="2918"/>
      <c r="W250" s="2918"/>
      <c r="X250" s="2918"/>
      <c r="Y250" s="2918"/>
      <c r="Z250" s="2918"/>
      <c r="AA250" s="2918"/>
      <c r="AB250" s="2918"/>
      <c r="AC250" s="2897">
        <f t="shared" si="152"/>
        <v>0</v>
      </c>
      <c r="AD250" s="2929"/>
      <c r="AE250" s="2929"/>
      <c r="AF250" s="2929"/>
      <c r="AG250" s="2929"/>
      <c r="AH250" s="2929"/>
      <c r="AI250" s="2929"/>
      <c r="AJ250" s="2929"/>
      <c r="AK250" s="2929"/>
      <c r="AL250" s="2929"/>
      <c r="AM250" s="2929"/>
      <c r="AN250" s="2929"/>
      <c r="AO250" s="2929"/>
      <c r="AP250" s="2929"/>
      <c r="AQ250" s="2929"/>
      <c r="AR250" s="2929"/>
      <c r="AS250" s="2929"/>
      <c r="AT250" s="2949"/>
      <c r="AU250" s="2950"/>
      <c r="AV250" s="454">
        <f t="shared" si="153"/>
        <v>0</v>
      </c>
      <c r="AW250" s="454">
        <f t="shared" si="154"/>
        <v>0</v>
      </c>
      <c r="AX250" s="454">
        <f t="shared" si="155"/>
        <v>0</v>
      </c>
      <c r="AY250" s="2966">
        <f t="shared" si="156"/>
        <v>0</v>
      </c>
      <c r="AZ250" s="2897">
        <f t="shared" si="157"/>
        <v>0</v>
      </c>
      <c r="BA250" s="2897">
        <f t="shared" si="158"/>
        <v>0</v>
      </c>
      <c r="BB250" s="2897">
        <f t="shared" si="159"/>
        <v>0</v>
      </c>
      <c r="BC250" s="2897">
        <f t="shared" si="160"/>
        <v>0</v>
      </c>
      <c r="BD250" s="2897">
        <f t="shared" si="161"/>
        <v>0</v>
      </c>
      <c r="BE250" s="2897">
        <f t="shared" si="162"/>
        <v>0</v>
      </c>
      <c r="BF250" s="2897">
        <f t="shared" si="163"/>
        <v>0</v>
      </c>
      <c r="BG250" s="2897">
        <f t="shared" si="164"/>
        <v>0</v>
      </c>
      <c r="BH250" s="2897">
        <f t="shared" si="165"/>
        <v>0</v>
      </c>
      <c r="BI250" s="2897">
        <f t="shared" si="166"/>
        <v>0</v>
      </c>
      <c r="BJ250" s="2897">
        <f t="shared" si="167"/>
        <v>0</v>
      </c>
      <c r="BK250" s="2897">
        <f t="shared" si="168"/>
        <v>0</v>
      </c>
      <c r="BL250" s="2897">
        <f t="shared" si="169"/>
        <v>0</v>
      </c>
      <c r="BM250" s="2897">
        <f t="shared" si="170"/>
        <v>0</v>
      </c>
      <c r="BN250" s="2897">
        <f t="shared" si="171"/>
        <v>0</v>
      </c>
      <c r="BO250" s="2897">
        <f t="shared" si="172"/>
        <v>0</v>
      </c>
      <c r="BP250" s="2897">
        <f t="shared" si="173"/>
        <v>0</v>
      </c>
      <c r="BQ250" s="2897">
        <f t="shared" si="174"/>
        <v>0</v>
      </c>
      <c r="BR250" s="2897">
        <f t="shared" si="175"/>
        <v>0</v>
      </c>
      <c r="BS250" s="2897">
        <f t="shared" si="176"/>
        <v>0</v>
      </c>
      <c r="BT250" s="2971">
        <f t="shared" si="177"/>
        <v>0</v>
      </c>
    </row>
    <row r="251" spans="1:72">
      <c r="A251" s="2894"/>
      <c r="B251" s="2895"/>
      <c r="C251" s="2895"/>
      <c r="D251" s="2907"/>
      <c r="E251" s="2897">
        <f t="shared" si="149"/>
        <v>0</v>
      </c>
      <c r="F251" s="2898"/>
      <c r="G251" s="2899">
        <f t="shared" si="150"/>
        <v>0</v>
      </c>
      <c r="H251" s="2900">
        <f t="shared" si="151"/>
        <v>0</v>
      </c>
      <c r="I251" s="2918"/>
      <c r="J251" s="2918"/>
      <c r="K251" s="2918"/>
      <c r="L251" s="2918"/>
      <c r="M251" s="2918"/>
      <c r="N251" s="2918"/>
      <c r="O251" s="2918"/>
      <c r="P251" s="2918"/>
      <c r="Q251" s="2918"/>
      <c r="R251" s="2918"/>
      <c r="S251" s="2918"/>
      <c r="T251" s="2918"/>
      <c r="U251" s="2918"/>
      <c r="V251" s="2918"/>
      <c r="W251" s="2918"/>
      <c r="X251" s="2918"/>
      <c r="Y251" s="2918"/>
      <c r="Z251" s="2918"/>
      <c r="AA251" s="2918"/>
      <c r="AB251" s="2918"/>
      <c r="AC251" s="2897">
        <f t="shared" si="152"/>
        <v>0</v>
      </c>
      <c r="AD251" s="2929"/>
      <c r="AE251" s="2929"/>
      <c r="AF251" s="2929"/>
      <c r="AG251" s="2929"/>
      <c r="AH251" s="2929"/>
      <c r="AI251" s="2929"/>
      <c r="AJ251" s="2929"/>
      <c r="AK251" s="2929"/>
      <c r="AL251" s="2929"/>
      <c r="AM251" s="2929"/>
      <c r="AN251" s="2929"/>
      <c r="AO251" s="2929"/>
      <c r="AP251" s="2929"/>
      <c r="AQ251" s="2929"/>
      <c r="AR251" s="2929"/>
      <c r="AS251" s="2929"/>
      <c r="AT251" s="2949"/>
      <c r="AU251" s="2950"/>
      <c r="AV251" s="454">
        <f t="shared" si="153"/>
        <v>0</v>
      </c>
      <c r="AW251" s="454">
        <f t="shared" si="154"/>
        <v>0</v>
      </c>
      <c r="AX251" s="454">
        <f t="shared" si="155"/>
        <v>0</v>
      </c>
      <c r="AY251" s="2966">
        <f t="shared" si="156"/>
        <v>0</v>
      </c>
      <c r="AZ251" s="2897">
        <f t="shared" si="157"/>
        <v>0</v>
      </c>
      <c r="BA251" s="2897">
        <f t="shared" si="158"/>
        <v>0</v>
      </c>
      <c r="BB251" s="2897">
        <f t="shared" si="159"/>
        <v>0</v>
      </c>
      <c r="BC251" s="2897">
        <f t="shared" si="160"/>
        <v>0</v>
      </c>
      <c r="BD251" s="2897">
        <f t="shared" si="161"/>
        <v>0</v>
      </c>
      <c r="BE251" s="2897">
        <f t="shared" si="162"/>
        <v>0</v>
      </c>
      <c r="BF251" s="2897">
        <f t="shared" si="163"/>
        <v>0</v>
      </c>
      <c r="BG251" s="2897">
        <f t="shared" si="164"/>
        <v>0</v>
      </c>
      <c r="BH251" s="2897">
        <f t="shared" si="165"/>
        <v>0</v>
      </c>
      <c r="BI251" s="2897">
        <f t="shared" si="166"/>
        <v>0</v>
      </c>
      <c r="BJ251" s="2897">
        <f t="shared" si="167"/>
        <v>0</v>
      </c>
      <c r="BK251" s="2897">
        <f t="shared" si="168"/>
        <v>0</v>
      </c>
      <c r="BL251" s="2897">
        <f t="shared" si="169"/>
        <v>0</v>
      </c>
      <c r="BM251" s="2897">
        <f t="shared" si="170"/>
        <v>0</v>
      </c>
      <c r="BN251" s="2897">
        <f t="shared" si="171"/>
        <v>0</v>
      </c>
      <c r="BO251" s="2897">
        <f t="shared" si="172"/>
        <v>0</v>
      </c>
      <c r="BP251" s="2897">
        <f t="shared" si="173"/>
        <v>0</v>
      </c>
      <c r="BQ251" s="2897">
        <f t="shared" si="174"/>
        <v>0</v>
      </c>
      <c r="BR251" s="2897">
        <f t="shared" si="175"/>
        <v>0</v>
      </c>
      <c r="BS251" s="2897">
        <f t="shared" si="176"/>
        <v>0</v>
      </c>
      <c r="BT251" s="2971">
        <f t="shared" si="177"/>
        <v>0</v>
      </c>
    </row>
    <row r="252" spans="1:72">
      <c r="A252" s="2894"/>
      <c r="B252" s="2895"/>
      <c r="C252" s="2895"/>
      <c r="D252" s="2907"/>
      <c r="E252" s="2897">
        <f t="shared" si="149"/>
        <v>0</v>
      </c>
      <c r="F252" s="2898"/>
      <c r="G252" s="2899">
        <f t="shared" si="150"/>
        <v>0</v>
      </c>
      <c r="H252" s="2900">
        <f t="shared" si="151"/>
        <v>0</v>
      </c>
      <c r="I252" s="2918"/>
      <c r="J252" s="2918"/>
      <c r="K252" s="2918"/>
      <c r="L252" s="2918"/>
      <c r="M252" s="2918"/>
      <c r="N252" s="2918"/>
      <c r="O252" s="2918"/>
      <c r="P252" s="2918"/>
      <c r="Q252" s="2918"/>
      <c r="R252" s="2918"/>
      <c r="S252" s="2918"/>
      <c r="T252" s="2918"/>
      <c r="U252" s="2918"/>
      <c r="V252" s="2918"/>
      <c r="W252" s="2918"/>
      <c r="X252" s="2918"/>
      <c r="Y252" s="2918"/>
      <c r="Z252" s="2918"/>
      <c r="AA252" s="2918"/>
      <c r="AB252" s="2918"/>
      <c r="AC252" s="2897">
        <f t="shared" si="152"/>
        <v>0</v>
      </c>
      <c r="AD252" s="2929"/>
      <c r="AE252" s="2929"/>
      <c r="AF252" s="2929"/>
      <c r="AG252" s="2929"/>
      <c r="AH252" s="2929"/>
      <c r="AI252" s="2929"/>
      <c r="AJ252" s="2929"/>
      <c r="AK252" s="2929"/>
      <c r="AL252" s="2929"/>
      <c r="AM252" s="2929"/>
      <c r="AN252" s="2929"/>
      <c r="AO252" s="2929"/>
      <c r="AP252" s="2929"/>
      <c r="AQ252" s="2929"/>
      <c r="AR252" s="2929"/>
      <c r="AS252" s="2929"/>
      <c r="AT252" s="2949"/>
      <c r="AU252" s="2950"/>
      <c r="AV252" s="454">
        <f t="shared" si="153"/>
        <v>0</v>
      </c>
      <c r="AW252" s="454">
        <f t="shared" si="154"/>
        <v>0</v>
      </c>
      <c r="AX252" s="454">
        <f t="shared" si="155"/>
        <v>0</v>
      </c>
      <c r="AY252" s="2966">
        <f t="shared" si="156"/>
        <v>0</v>
      </c>
      <c r="AZ252" s="2897">
        <f t="shared" si="157"/>
        <v>0</v>
      </c>
      <c r="BA252" s="2897">
        <f t="shared" si="158"/>
        <v>0</v>
      </c>
      <c r="BB252" s="2897">
        <f t="shared" si="159"/>
        <v>0</v>
      </c>
      <c r="BC252" s="2897">
        <f t="shared" si="160"/>
        <v>0</v>
      </c>
      <c r="BD252" s="2897">
        <f t="shared" si="161"/>
        <v>0</v>
      </c>
      <c r="BE252" s="2897">
        <f t="shared" si="162"/>
        <v>0</v>
      </c>
      <c r="BF252" s="2897">
        <f t="shared" si="163"/>
        <v>0</v>
      </c>
      <c r="BG252" s="2897">
        <f t="shared" si="164"/>
        <v>0</v>
      </c>
      <c r="BH252" s="2897">
        <f t="shared" si="165"/>
        <v>0</v>
      </c>
      <c r="BI252" s="2897">
        <f t="shared" si="166"/>
        <v>0</v>
      </c>
      <c r="BJ252" s="2897">
        <f t="shared" si="167"/>
        <v>0</v>
      </c>
      <c r="BK252" s="2897">
        <f t="shared" si="168"/>
        <v>0</v>
      </c>
      <c r="BL252" s="2897">
        <f t="shared" si="169"/>
        <v>0</v>
      </c>
      <c r="BM252" s="2897">
        <f t="shared" si="170"/>
        <v>0</v>
      </c>
      <c r="BN252" s="2897">
        <f t="shared" si="171"/>
        <v>0</v>
      </c>
      <c r="BO252" s="2897">
        <f t="shared" si="172"/>
        <v>0</v>
      </c>
      <c r="BP252" s="2897">
        <f t="shared" si="173"/>
        <v>0</v>
      </c>
      <c r="BQ252" s="2897">
        <f t="shared" si="174"/>
        <v>0</v>
      </c>
      <c r="BR252" s="2897">
        <f t="shared" si="175"/>
        <v>0</v>
      </c>
      <c r="BS252" s="2897">
        <f t="shared" si="176"/>
        <v>0</v>
      </c>
      <c r="BT252" s="2971">
        <f t="shared" si="177"/>
        <v>0</v>
      </c>
    </row>
    <row r="253" spans="1:72">
      <c r="A253" s="2894"/>
      <c r="B253" s="2895"/>
      <c r="C253" s="2895"/>
      <c r="D253" s="2907"/>
      <c r="E253" s="2897">
        <f t="shared" si="149"/>
        <v>0</v>
      </c>
      <c r="F253" s="2898"/>
      <c r="G253" s="2899">
        <f t="shared" si="150"/>
        <v>0</v>
      </c>
      <c r="H253" s="2900">
        <f t="shared" si="151"/>
        <v>0</v>
      </c>
      <c r="I253" s="2918"/>
      <c r="J253" s="2918"/>
      <c r="K253" s="2918"/>
      <c r="L253" s="2918"/>
      <c r="M253" s="2918"/>
      <c r="N253" s="2918"/>
      <c r="O253" s="2918"/>
      <c r="P253" s="2918"/>
      <c r="Q253" s="2918"/>
      <c r="R253" s="2918"/>
      <c r="S253" s="2918"/>
      <c r="T253" s="2918"/>
      <c r="U253" s="2918"/>
      <c r="V253" s="2918"/>
      <c r="W253" s="2918"/>
      <c r="X253" s="2918"/>
      <c r="Y253" s="2918"/>
      <c r="Z253" s="2918"/>
      <c r="AA253" s="2918"/>
      <c r="AB253" s="2918"/>
      <c r="AC253" s="2897">
        <f t="shared" si="152"/>
        <v>0</v>
      </c>
      <c r="AD253" s="2929"/>
      <c r="AE253" s="2929"/>
      <c r="AF253" s="2929"/>
      <c r="AG253" s="2929"/>
      <c r="AH253" s="2929"/>
      <c r="AI253" s="2929"/>
      <c r="AJ253" s="2929"/>
      <c r="AK253" s="2929"/>
      <c r="AL253" s="2929"/>
      <c r="AM253" s="2929"/>
      <c r="AN253" s="2929"/>
      <c r="AO253" s="2929"/>
      <c r="AP253" s="2929"/>
      <c r="AQ253" s="2929"/>
      <c r="AR253" s="2929"/>
      <c r="AS253" s="2929"/>
      <c r="AT253" s="2949"/>
      <c r="AU253" s="2950"/>
      <c r="AV253" s="454">
        <f t="shared" si="153"/>
        <v>0</v>
      </c>
      <c r="AW253" s="454">
        <f t="shared" si="154"/>
        <v>0</v>
      </c>
      <c r="AX253" s="454">
        <f t="shared" si="155"/>
        <v>0</v>
      </c>
      <c r="AY253" s="2966">
        <f t="shared" si="156"/>
        <v>0</v>
      </c>
      <c r="AZ253" s="2897">
        <f t="shared" si="157"/>
        <v>0</v>
      </c>
      <c r="BA253" s="2897">
        <f t="shared" si="158"/>
        <v>0</v>
      </c>
      <c r="BB253" s="2897">
        <f t="shared" si="159"/>
        <v>0</v>
      </c>
      <c r="BC253" s="2897">
        <f t="shared" si="160"/>
        <v>0</v>
      </c>
      <c r="BD253" s="2897">
        <f t="shared" si="161"/>
        <v>0</v>
      </c>
      <c r="BE253" s="2897">
        <f t="shared" si="162"/>
        <v>0</v>
      </c>
      <c r="BF253" s="2897">
        <f t="shared" si="163"/>
        <v>0</v>
      </c>
      <c r="BG253" s="2897">
        <f t="shared" si="164"/>
        <v>0</v>
      </c>
      <c r="BH253" s="2897">
        <f t="shared" si="165"/>
        <v>0</v>
      </c>
      <c r="BI253" s="2897">
        <f t="shared" si="166"/>
        <v>0</v>
      </c>
      <c r="BJ253" s="2897">
        <f t="shared" si="167"/>
        <v>0</v>
      </c>
      <c r="BK253" s="2897">
        <f t="shared" si="168"/>
        <v>0</v>
      </c>
      <c r="BL253" s="2897">
        <f t="shared" si="169"/>
        <v>0</v>
      </c>
      <c r="BM253" s="2897">
        <f t="shared" si="170"/>
        <v>0</v>
      </c>
      <c r="BN253" s="2897">
        <f t="shared" si="171"/>
        <v>0</v>
      </c>
      <c r="BO253" s="2897">
        <f t="shared" si="172"/>
        <v>0</v>
      </c>
      <c r="BP253" s="2897">
        <f t="shared" si="173"/>
        <v>0</v>
      </c>
      <c r="BQ253" s="2897">
        <f t="shared" si="174"/>
        <v>0</v>
      </c>
      <c r="BR253" s="2897">
        <f t="shared" si="175"/>
        <v>0</v>
      </c>
      <c r="BS253" s="2897">
        <f t="shared" si="176"/>
        <v>0</v>
      </c>
      <c r="BT253" s="2971">
        <f t="shared" si="177"/>
        <v>0</v>
      </c>
    </row>
    <row r="254" spans="1:72">
      <c r="A254" s="2894"/>
      <c r="B254" s="2895"/>
      <c r="C254" s="2895"/>
      <c r="D254" s="2907"/>
      <c r="E254" s="2897">
        <f t="shared" si="149"/>
        <v>0</v>
      </c>
      <c r="F254" s="2898"/>
      <c r="G254" s="2899">
        <f t="shared" si="150"/>
        <v>0</v>
      </c>
      <c r="H254" s="2900">
        <f t="shared" si="151"/>
        <v>0</v>
      </c>
      <c r="I254" s="2918"/>
      <c r="J254" s="2918"/>
      <c r="K254" s="2918"/>
      <c r="L254" s="2918"/>
      <c r="M254" s="2918"/>
      <c r="N254" s="2918"/>
      <c r="O254" s="2918"/>
      <c r="P254" s="2918"/>
      <c r="Q254" s="2918"/>
      <c r="R254" s="2918"/>
      <c r="S254" s="2918"/>
      <c r="T254" s="2918"/>
      <c r="U254" s="2918"/>
      <c r="V254" s="2918"/>
      <c r="W254" s="2918"/>
      <c r="X254" s="2918"/>
      <c r="Y254" s="2918"/>
      <c r="Z254" s="2918"/>
      <c r="AA254" s="2918"/>
      <c r="AB254" s="2918"/>
      <c r="AC254" s="2897">
        <f t="shared" si="152"/>
        <v>0</v>
      </c>
      <c r="AD254" s="2929"/>
      <c r="AE254" s="2929"/>
      <c r="AF254" s="2929"/>
      <c r="AG254" s="2929"/>
      <c r="AH254" s="2929"/>
      <c r="AI254" s="2929"/>
      <c r="AJ254" s="2929"/>
      <c r="AK254" s="2929"/>
      <c r="AL254" s="2929"/>
      <c r="AM254" s="2929"/>
      <c r="AN254" s="2929"/>
      <c r="AO254" s="2929"/>
      <c r="AP254" s="2929"/>
      <c r="AQ254" s="2929"/>
      <c r="AR254" s="2929"/>
      <c r="AS254" s="2929"/>
      <c r="AT254" s="2949"/>
      <c r="AU254" s="2950"/>
      <c r="AV254" s="454">
        <f t="shared" si="153"/>
        <v>0</v>
      </c>
      <c r="AW254" s="454">
        <f t="shared" si="154"/>
        <v>0</v>
      </c>
      <c r="AX254" s="454">
        <f t="shared" si="155"/>
        <v>0</v>
      </c>
      <c r="AY254" s="2966">
        <f t="shared" si="156"/>
        <v>0</v>
      </c>
      <c r="AZ254" s="2897">
        <f t="shared" si="157"/>
        <v>0</v>
      </c>
      <c r="BA254" s="2897">
        <f t="shared" si="158"/>
        <v>0</v>
      </c>
      <c r="BB254" s="2897">
        <f t="shared" si="159"/>
        <v>0</v>
      </c>
      <c r="BC254" s="2897">
        <f t="shared" si="160"/>
        <v>0</v>
      </c>
      <c r="BD254" s="2897">
        <f t="shared" si="161"/>
        <v>0</v>
      </c>
      <c r="BE254" s="2897">
        <f t="shared" si="162"/>
        <v>0</v>
      </c>
      <c r="BF254" s="2897">
        <f t="shared" si="163"/>
        <v>0</v>
      </c>
      <c r="BG254" s="2897">
        <f t="shared" si="164"/>
        <v>0</v>
      </c>
      <c r="BH254" s="2897">
        <f t="shared" si="165"/>
        <v>0</v>
      </c>
      <c r="BI254" s="2897">
        <f t="shared" si="166"/>
        <v>0</v>
      </c>
      <c r="BJ254" s="2897">
        <f t="shared" si="167"/>
        <v>0</v>
      </c>
      <c r="BK254" s="2897">
        <f t="shared" si="168"/>
        <v>0</v>
      </c>
      <c r="BL254" s="2897">
        <f t="shared" si="169"/>
        <v>0</v>
      </c>
      <c r="BM254" s="2897">
        <f t="shared" si="170"/>
        <v>0</v>
      </c>
      <c r="BN254" s="2897">
        <f t="shared" si="171"/>
        <v>0</v>
      </c>
      <c r="BO254" s="2897">
        <f t="shared" si="172"/>
        <v>0</v>
      </c>
      <c r="BP254" s="2897">
        <f t="shared" si="173"/>
        <v>0</v>
      </c>
      <c r="BQ254" s="2897">
        <f t="shared" si="174"/>
        <v>0</v>
      </c>
      <c r="BR254" s="2897">
        <f t="shared" si="175"/>
        <v>0</v>
      </c>
      <c r="BS254" s="2897">
        <f t="shared" si="176"/>
        <v>0</v>
      </c>
      <c r="BT254" s="2971">
        <f t="shared" si="177"/>
        <v>0</v>
      </c>
    </row>
    <row r="255" spans="1:72">
      <c r="A255" s="2894"/>
      <c r="B255" s="2895"/>
      <c r="C255" s="2895"/>
      <c r="D255" s="2907"/>
      <c r="E255" s="2897">
        <f t="shared" si="149"/>
        <v>0</v>
      </c>
      <c r="F255" s="2898"/>
      <c r="G255" s="2899">
        <f t="shared" si="150"/>
        <v>0</v>
      </c>
      <c r="H255" s="2900">
        <f t="shared" si="151"/>
        <v>0</v>
      </c>
      <c r="I255" s="2918"/>
      <c r="J255" s="2918"/>
      <c r="K255" s="2918"/>
      <c r="L255" s="2918"/>
      <c r="M255" s="2918"/>
      <c r="N255" s="2918"/>
      <c r="O255" s="2918"/>
      <c r="P255" s="2918"/>
      <c r="Q255" s="2918"/>
      <c r="R255" s="2918"/>
      <c r="S255" s="2918"/>
      <c r="T255" s="2918"/>
      <c r="U255" s="2918"/>
      <c r="V255" s="2918"/>
      <c r="W255" s="2918"/>
      <c r="X255" s="2918"/>
      <c r="Y255" s="2918"/>
      <c r="Z255" s="2918"/>
      <c r="AA255" s="2918"/>
      <c r="AB255" s="2918"/>
      <c r="AC255" s="2897">
        <f t="shared" si="152"/>
        <v>0</v>
      </c>
      <c r="AD255" s="2929"/>
      <c r="AE255" s="2929"/>
      <c r="AF255" s="2929"/>
      <c r="AG255" s="2929"/>
      <c r="AH255" s="2929"/>
      <c r="AI255" s="2929"/>
      <c r="AJ255" s="2929"/>
      <c r="AK255" s="2929"/>
      <c r="AL255" s="2929"/>
      <c r="AM255" s="2929"/>
      <c r="AN255" s="2929"/>
      <c r="AO255" s="2929"/>
      <c r="AP255" s="2929"/>
      <c r="AQ255" s="2929"/>
      <c r="AR255" s="2929"/>
      <c r="AS255" s="2929"/>
      <c r="AT255" s="2949"/>
      <c r="AU255" s="2950"/>
      <c r="AV255" s="454">
        <f t="shared" si="153"/>
        <v>0</v>
      </c>
      <c r="AW255" s="454">
        <f t="shared" si="154"/>
        <v>0</v>
      </c>
      <c r="AX255" s="454">
        <f t="shared" si="155"/>
        <v>0</v>
      </c>
      <c r="AY255" s="2966">
        <f t="shared" si="156"/>
        <v>0</v>
      </c>
      <c r="AZ255" s="2897">
        <f t="shared" si="157"/>
        <v>0</v>
      </c>
      <c r="BA255" s="2897">
        <f t="shared" si="158"/>
        <v>0</v>
      </c>
      <c r="BB255" s="2897">
        <f t="shared" si="159"/>
        <v>0</v>
      </c>
      <c r="BC255" s="2897">
        <f t="shared" si="160"/>
        <v>0</v>
      </c>
      <c r="BD255" s="2897">
        <f t="shared" si="161"/>
        <v>0</v>
      </c>
      <c r="BE255" s="2897">
        <f t="shared" si="162"/>
        <v>0</v>
      </c>
      <c r="BF255" s="2897">
        <f t="shared" si="163"/>
        <v>0</v>
      </c>
      <c r="BG255" s="2897">
        <f t="shared" si="164"/>
        <v>0</v>
      </c>
      <c r="BH255" s="2897">
        <f t="shared" si="165"/>
        <v>0</v>
      </c>
      <c r="BI255" s="2897">
        <f t="shared" si="166"/>
        <v>0</v>
      </c>
      <c r="BJ255" s="2897">
        <f t="shared" si="167"/>
        <v>0</v>
      </c>
      <c r="BK255" s="2897">
        <f t="shared" si="168"/>
        <v>0</v>
      </c>
      <c r="BL255" s="2897">
        <f t="shared" si="169"/>
        <v>0</v>
      </c>
      <c r="BM255" s="2897">
        <f t="shared" si="170"/>
        <v>0</v>
      </c>
      <c r="BN255" s="2897">
        <f t="shared" si="171"/>
        <v>0</v>
      </c>
      <c r="BO255" s="2897">
        <f t="shared" si="172"/>
        <v>0</v>
      </c>
      <c r="BP255" s="2897">
        <f t="shared" si="173"/>
        <v>0</v>
      </c>
      <c r="BQ255" s="2897">
        <f t="shared" si="174"/>
        <v>0</v>
      </c>
      <c r="BR255" s="2897">
        <f t="shared" si="175"/>
        <v>0</v>
      </c>
      <c r="BS255" s="2897">
        <f t="shared" si="176"/>
        <v>0</v>
      </c>
      <c r="BT255" s="2971">
        <f t="shared" si="177"/>
        <v>0</v>
      </c>
    </row>
    <row r="256" spans="1:72">
      <c r="A256" s="2894"/>
      <c r="B256" s="2895"/>
      <c r="C256" s="2895"/>
      <c r="D256" s="2907"/>
      <c r="E256" s="2897">
        <f t="shared" si="149"/>
        <v>0</v>
      </c>
      <c r="F256" s="2898"/>
      <c r="G256" s="2899">
        <f t="shared" si="150"/>
        <v>0</v>
      </c>
      <c r="H256" s="2900">
        <f t="shared" si="151"/>
        <v>0</v>
      </c>
      <c r="I256" s="2918"/>
      <c r="J256" s="2918"/>
      <c r="K256" s="2918"/>
      <c r="L256" s="2918"/>
      <c r="M256" s="2918"/>
      <c r="N256" s="2918"/>
      <c r="O256" s="2918"/>
      <c r="P256" s="2918"/>
      <c r="Q256" s="2918"/>
      <c r="R256" s="2918"/>
      <c r="S256" s="2918"/>
      <c r="T256" s="2918"/>
      <c r="U256" s="2918"/>
      <c r="V256" s="2918"/>
      <c r="W256" s="2918"/>
      <c r="X256" s="2918"/>
      <c r="Y256" s="2918"/>
      <c r="Z256" s="2918"/>
      <c r="AA256" s="2918"/>
      <c r="AB256" s="2918"/>
      <c r="AC256" s="2897">
        <f t="shared" si="152"/>
        <v>0</v>
      </c>
      <c r="AD256" s="2929"/>
      <c r="AE256" s="2929"/>
      <c r="AF256" s="2929"/>
      <c r="AG256" s="2929"/>
      <c r="AH256" s="2929"/>
      <c r="AI256" s="2929"/>
      <c r="AJ256" s="2929"/>
      <c r="AK256" s="2929"/>
      <c r="AL256" s="2929"/>
      <c r="AM256" s="2929"/>
      <c r="AN256" s="2929"/>
      <c r="AO256" s="2929"/>
      <c r="AP256" s="2929"/>
      <c r="AQ256" s="2929"/>
      <c r="AR256" s="2929"/>
      <c r="AS256" s="2929"/>
      <c r="AT256" s="2949"/>
      <c r="AU256" s="2950"/>
      <c r="AV256" s="454">
        <f t="shared" si="153"/>
        <v>0</v>
      </c>
      <c r="AW256" s="454">
        <f t="shared" si="154"/>
        <v>0</v>
      </c>
      <c r="AX256" s="454">
        <f t="shared" si="155"/>
        <v>0</v>
      </c>
      <c r="AY256" s="2966">
        <f t="shared" si="156"/>
        <v>0</v>
      </c>
      <c r="AZ256" s="2897">
        <f t="shared" si="157"/>
        <v>0</v>
      </c>
      <c r="BA256" s="2897">
        <f t="shared" si="158"/>
        <v>0</v>
      </c>
      <c r="BB256" s="2897">
        <f t="shared" si="159"/>
        <v>0</v>
      </c>
      <c r="BC256" s="2897">
        <f t="shared" si="160"/>
        <v>0</v>
      </c>
      <c r="BD256" s="2897">
        <f t="shared" si="161"/>
        <v>0</v>
      </c>
      <c r="BE256" s="2897">
        <f t="shared" si="162"/>
        <v>0</v>
      </c>
      <c r="BF256" s="2897">
        <f t="shared" si="163"/>
        <v>0</v>
      </c>
      <c r="BG256" s="2897">
        <f t="shared" si="164"/>
        <v>0</v>
      </c>
      <c r="BH256" s="2897">
        <f t="shared" si="165"/>
        <v>0</v>
      </c>
      <c r="BI256" s="2897">
        <f t="shared" si="166"/>
        <v>0</v>
      </c>
      <c r="BJ256" s="2897">
        <f t="shared" si="167"/>
        <v>0</v>
      </c>
      <c r="BK256" s="2897">
        <f t="shared" si="168"/>
        <v>0</v>
      </c>
      <c r="BL256" s="2897">
        <f t="shared" si="169"/>
        <v>0</v>
      </c>
      <c r="BM256" s="2897">
        <f t="shared" si="170"/>
        <v>0</v>
      </c>
      <c r="BN256" s="2897">
        <f t="shared" si="171"/>
        <v>0</v>
      </c>
      <c r="BO256" s="2897">
        <f t="shared" si="172"/>
        <v>0</v>
      </c>
      <c r="BP256" s="2897">
        <f t="shared" si="173"/>
        <v>0</v>
      </c>
      <c r="BQ256" s="2897">
        <f t="shared" si="174"/>
        <v>0</v>
      </c>
      <c r="BR256" s="2897">
        <f t="shared" si="175"/>
        <v>0</v>
      </c>
      <c r="BS256" s="2897">
        <f t="shared" si="176"/>
        <v>0</v>
      </c>
      <c r="BT256" s="2971">
        <f t="shared" si="177"/>
        <v>0</v>
      </c>
    </row>
    <row r="257" spans="1:72">
      <c r="A257" s="2894"/>
      <c r="B257" s="2895"/>
      <c r="C257" s="2895"/>
      <c r="D257" s="2907"/>
      <c r="E257" s="2897">
        <f t="shared" si="149"/>
        <v>0</v>
      </c>
      <c r="F257" s="2898"/>
      <c r="G257" s="2899">
        <f t="shared" si="150"/>
        <v>0</v>
      </c>
      <c r="H257" s="2900">
        <f t="shared" si="151"/>
        <v>0</v>
      </c>
      <c r="I257" s="2918"/>
      <c r="J257" s="2918"/>
      <c r="K257" s="2918"/>
      <c r="L257" s="2918"/>
      <c r="M257" s="2918"/>
      <c r="N257" s="2918"/>
      <c r="O257" s="2918"/>
      <c r="P257" s="2918"/>
      <c r="Q257" s="2918"/>
      <c r="R257" s="2918"/>
      <c r="S257" s="2918"/>
      <c r="T257" s="2918"/>
      <c r="U257" s="2918"/>
      <c r="V257" s="2918"/>
      <c r="W257" s="2918"/>
      <c r="X257" s="2918"/>
      <c r="Y257" s="2918"/>
      <c r="Z257" s="2918"/>
      <c r="AA257" s="2918"/>
      <c r="AB257" s="2918"/>
      <c r="AC257" s="2897">
        <f t="shared" si="152"/>
        <v>0</v>
      </c>
      <c r="AD257" s="2929"/>
      <c r="AE257" s="2929"/>
      <c r="AF257" s="2929"/>
      <c r="AG257" s="2929"/>
      <c r="AH257" s="2929"/>
      <c r="AI257" s="2929"/>
      <c r="AJ257" s="2929"/>
      <c r="AK257" s="2929"/>
      <c r="AL257" s="2929"/>
      <c r="AM257" s="2929"/>
      <c r="AN257" s="2929"/>
      <c r="AO257" s="2929"/>
      <c r="AP257" s="2929"/>
      <c r="AQ257" s="2929"/>
      <c r="AR257" s="2929"/>
      <c r="AS257" s="2929"/>
      <c r="AT257" s="2949"/>
      <c r="AU257" s="2950"/>
      <c r="AV257" s="454">
        <f t="shared" si="153"/>
        <v>0</v>
      </c>
      <c r="AW257" s="454">
        <f t="shared" si="154"/>
        <v>0</v>
      </c>
      <c r="AX257" s="454">
        <f t="shared" si="155"/>
        <v>0</v>
      </c>
      <c r="AY257" s="2966">
        <f t="shared" si="156"/>
        <v>0</v>
      </c>
      <c r="AZ257" s="2897">
        <f t="shared" si="157"/>
        <v>0</v>
      </c>
      <c r="BA257" s="2897">
        <f t="shared" si="158"/>
        <v>0</v>
      </c>
      <c r="BB257" s="2897">
        <f t="shared" si="159"/>
        <v>0</v>
      </c>
      <c r="BC257" s="2897">
        <f t="shared" si="160"/>
        <v>0</v>
      </c>
      <c r="BD257" s="2897">
        <f t="shared" si="161"/>
        <v>0</v>
      </c>
      <c r="BE257" s="2897">
        <f t="shared" si="162"/>
        <v>0</v>
      </c>
      <c r="BF257" s="2897">
        <f t="shared" si="163"/>
        <v>0</v>
      </c>
      <c r="BG257" s="2897">
        <f t="shared" si="164"/>
        <v>0</v>
      </c>
      <c r="BH257" s="2897">
        <f t="shared" si="165"/>
        <v>0</v>
      </c>
      <c r="BI257" s="2897">
        <f t="shared" si="166"/>
        <v>0</v>
      </c>
      <c r="BJ257" s="2897">
        <f t="shared" si="167"/>
        <v>0</v>
      </c>
      <c r="BK257" s="2897">
        <f t="shared" si="168"/>
        <v>0</v>
      </c>
      <c r="BL257" s="2897">
        <f t="shared" si="169"/>
        <v>0</v>
      </c>
      <c r="BM257" s="2897">
        <f t="shared" si="170"/>
        <v>0</v>
      </c>
      <c r="BN257" s="2897">
        <f t="shared" si="171"/>
        <v>0</v>
      </c>
      <c r="BO257" s="2897">
        <f t="shared" si="172"/>
        <v>0</v>
      </c>
      <c r="BP257" s="2897">
        <f t="shared" si="173"/>
        <v>0</v>
      </c>
      <c r="BQ257" s="2897">
        <f t="shared" si="174"/>
        <v>0</v>
      </c>
      <c r="BR257" s="2897">
        <f t="shared" si="175"/>
        <v>0</v>
      </c>
      <c r="BS257" s="2897">
        <f t="shared" si="176"/>
        <v>0</v>
      </c>
      <c r="BT257" s="2971">
        <f t="shared" si="177"/>
        <v>0</v>
      </c>
    </row>
    <row r="258" spans="1:72">
      <c r="A258" s="2894"/>
      <c r="B258" s="2895"/>
      <c r="C258" s="2895"/>
      <c r="D258" s="2907"/>
      <c r="E258" s="2897">
        <f t="shared" si="149"/>
        <v>0</v>
      </c>
      <c r="F258" s="2898"/>
      <c r="G258" s="2899">
        <f t="shared" si="150"/>
        <v>0</v>
      </c>
      <c r="H258" s="2900">
        <f t="shared" si="151"/>
        <v>0</v>
      </c>
      <c r="I258" s="2918"/>
      <c r="J258" s="2918"/>
      <c r="K258" s="2918"/>
      <c r="L258" s="2918"/>
      <c r="M258" s="2918"/>
      <c r="N258" s="2918"/>
      <c r="O258" s="2918"/>
      <c r="P258" s="2918"/>
      <c r="Q258" s="2918"/>
      <c r="R258" s="2918"/>
      <c r="S258" s="2918"/>
      <c r="T258" s="2918"/>
      <c r="U258" s="2918"/>
      <c r="V258" s="2918"/>
      <c r="W258" s="2918"/>
      <c r="X258" s="2918"/>
      <c r="Y258" s="2918"/>
      <c r="Z258" s="2918"/>
      <c r="AA258" s="2918"/>
      <c r="AB258" s="2918"/>
      <c r="AC258" s="2897">
        <f t="shared" si="152"/>
        <v>0</v>
      </c>
      <c r="AD258" s="2929"/>
      <c r="AE258" s="2929"/>
      <c r="AF258" s="2929"/>
      <c r="AG258" s="2929"/>
      <c r="AH258" s="2929"/>
      <c r="AI258" s="2929"/>
      <c r="AJ258" s="2929"/>
      <c r="AK258" s="2929"/>
      <c r="AL258" s="2929"/>
      <c r="AM258" s="2929"/>
      <c r="AN258" s="2929"/>
      <c r="AO258" s="2929"/>
      <c r="AP258" s="2929"/>
      <c r="AQ258" s="2929"/>
      <c r="AR258" s="2929"/>
      <c r="AS258" s="2929"/>
      <c r="AT258" s="2949"/>
      <c r="AU258" s="2950"/>
      <c r="AV258" s="454">
        <f t="shared" si="153"/>
        <v>0</v>
      </c>
      <c r="AW258" s="454">
        <f t="shared" si="154"/>
        <v>0</v>
      </c>
      <c r="AX258" s="454">
        <f t="shared" si="155"/>
        <v>0</v>
      </c>
      <c r="AY258" s="2966">
        <f t="shared" si="156"/>
        <v>0</v>
      </c>
      <c r="AZ258" s="2897">
        <f t="shared" si="157"/>
        <v>0</v>
      </c>
      <c r="BA258" s="2897">
        <f t="shared" si="158"/>
        <v>0</v>
      </c>
      <c r="BB258" s="2897">
        <f t="shared" si="159"/>
        <v>0</v>
      </c>
      <c r="BC258" s="2897">
        <f t="shared" si="160"/>
        <v>0</v>
      </c>
      <c r="BD258" s="2897">
        <f t="shared" si="161"/>
        <v>0</v>
      </c>
      <c r="BE258" s="2897">
        <f t="shared" si="162"/>
        <v>0</v>
      </c>
      <c r="BF258" s="2897">
        <f t="shared" si="163"/>
        <v>0</v>
      </c>
      <c r="BG258" s="2897">
        <f t="shared" si="164"/>
        <v>0</v>
      </c>
      <c r="BH258" s="2897">
        <f t="shared" si="165"/>
        <v>0</v>
      </c>
      <c r="BI258" s="2897">
        <f t="shared" si="166"/>
        <v>0</v>
      </c>
      <c r="BJ258" s="2897">
        <f t="shared" si="167"/>
        <v>0</v>
      </c>
      <c r="BK258" s="2897">
        <f t="shared" si="168"/>
        <v>0</v>
      </c>
      <c r="BL258" s="2897">
        <f t="shared" si="169"/>
        <v>0</v>
      </c>
      <c r="BM258" s="2897">
        <f t="shared" si="170"/>
        <v>0</v>
      </c>
      <c r="BN258" s="2897">
        <f t="shared" si="171"/>
        <v>0</v>
      </c>
      <c r="BO258" s="2897">
        <f t="shared" si="172"/>
        <v>0</v>
      </c>
      <c r="BP258" s="2897">
        <f t="shared" si="173"/>
        <v>0</v>
      </c>
      <c r="BQ258" s="2897">
        <f t="shared" si="174"/>
        <v>0</v>
      </c>
      <c r="BR258" s="2897">
        <f t="shared" si="175"/>
        <v>0</v>
      </c>
      <c r="BS258" s="2897">
        <f t="shared" si="176"/>
        <v>0</v>
      </c>
      <c r="BT258" s="2971">
        <f t="shared" si="177"/>
        <v>0</v>
      </c>
    </row>
    <row r="259" spans="1:72">
      <c r="A259" s="2894"/>
      <c r="B259" s="2895"/>
      <c r="C259" s="2895"/>
      <c r="D259" s="2907"/>
      <c r="E259" s="2897">
        <f t="shared" si="149"/>
        <v>0</v>
      </c>
      <c r="F259" s="2898"/>
      <c r="G259" s="2899">
        <f t="shared" si="150"/>
        <v>0</v>
      </c>
      <c r="H259" s="2900">
        <f t="shared" si="151"/>
        <v>0</v>
      </c>
      <c r="I259" s="2918"/>
      <c r="J259" s="2918"/>
      <c r="K259" s="2918"/>
      <c r="L259" s="2918"/>
      <c r="M259" s="2918"/>
      <c r="N259" s="2918"/>
      <c r="O259" s="2918"/>
      <c r="P259" s="2918"/>
      <c r="Q259" s="2918"/>
      <c r="R259" s="2918"/>
      <c r="S259" s="2918"/>
      <c r="T259" s="2918"/>
      <c r="U259" s="2918"/>
      <c r="V259" s="2918"/>
      <c r="W259" s="2918"/>
      <c r="X259" s="2918"/>
      <c r="Y259" s="2918"/>
      <c r="Z259" s="2918"/>
      <c r="AA259" s="2918"/>
      <c r="AB259" s="2918"/>
      <c r="AC259" s="2897">
        <f t="shared" si="152"/>
        <v>0</v>
      </c>
      <c r="AD259" s="2929"/>
      <c r="AE259" s="2929"/>
      <c r="AF259" s="2929"/>
      <c r="AG259" s="2929"/>
      <c r="AH259" s="2929"/>
      <c r="AI259" s="2929"/>
      <c r="AJ259" s="2929"/>
      <c r="AK259" s="2929"/>
      <c r="AL259" s="2929"/>
      <c r="AM259" s="2929"/>
      <c r="AN259" s="2929"/>
      <c r="AO259" s="2929"/>
      <c r="AP259" s="2929"/>
      <c r="AQ259" s="2929"/>
      <c r="AR259" s="2929"/>
      <c r="AS259" s="2929"/>
      <c r="AT259" s="2949"/>
      <c r="AU259" s="2950"/>
      <c r="AV259" s="454">
        <f t="shared" si="153"/>
        <v>0</v>
      </c>
      <c r="AW259" s="454">
        <f t="shared" si="154"/>
        <v>0</v>
      </c>
      <c r="AX259" s="454">
        <f t="shared" si="155"/>
        <v>0</v>
      </c>
      <c r="AY259" s="2966">
        <f t="shared" si="156"/>
        <v>0</v>
      </c>
      <c r="AZ259" s="2897">
        <f t="shared" si="157"/>
        <v>0</v>
      </c>
      <c r="BA259" s="2897">
        <f t="shared" si="158"/>
        <v>0</v>
      </c>
      <c r="BB259" s="2897">
        <f t="shared" si="159"/>
        <v>0</v>
      </c>
      <c r="BC259" s="2897">
        <f t="shared" si="160"/>
        <v>0</v>
      </c>
      <c r="BD259" s="2897">
        <f t="shared" si="161"/>
        <v>0</v>
      </c>
      <c r="BE259" s="2897">
        <f t="shared" si="162"/>
        <v>0</v>
      </c>
      <c r="BF259" s="2897">
        <f t="shared" si="163"/>
        <v>0</v>
      </c>
      <c r="BG259" s="2897">
        <f t="shared" si="164"/>
        <v>0</v>
      </c>
      <c r="BH259" s="2897">
        <f t="shared" si="165"/>
        <v>0</v>
      </c>
      <c r="BI259" s="2897">
        <f t="shared" si="166"/>
        <v>0</v>
      </c>
      <c r="BJ259" s="2897">
        <f t="shared" si="167"/>
        <v>0</v>
      </c>
      <c r="BK259" s="2897">
        <f t="shared" si="168"/>
        <v>0</v>
      </c>
      <c r="BL259" s="2897">
        <f t="shared" si="169"/>
        <v>0</v>
      </c>
      <c r="BM259" s="2897">
        <f t="shared" si="170"/>
        <v>0</v>
      </c>
      <c r="BN259" s="2897">
        <f t="shared" si="171"/>
        <v>0</v>
      </c>
      <c r="BO259" s="2897">
        <f t="shared" si="172"/>
        <v>0</v>
      </c>
      <c r="BP259" s="2897">
        <f t="shared" si="173"/>
        <v>0</v>
      </c>
      <c r="BQ259" s="2897">
        <f t="shared" si="174"/>
        <v>0</v>
      </c>
      <c r="BR259" s="2897">
        <f t="shared" si="175"/>
        <v>0</v>
      </c>
      <c r="BS259" s="2897">
        <f t="shared" si="176"/>
        <v>0</v>
      </c>
      <c r="BT259" s="2971">
        <f t="shared" si="177"/>
        <v>0</v>
      </c>
    </row>
    <row r="260" spans="1:72">
      <c r="A260" s="2894"/>
      <c r="B260" s="2895"/>
      <c r="C260" s="2895"/>
      <c r="D260" s="2907"/>
      <c r="E260" s="2897">
        <f t="shared" si="149"/>
        <v>0</v>
      </c>
      <c r="F260" s="2898"/>
      <c r="G260" s="2899">
        <f t="shared" si="150"/>
        <v>0</v>
      </c>
      <c r="H260" s="2900">
        <f t="shared" si="151"/>
        <v>0</v>
      </c>
      <c r="I260" s="2918"/>
      <c r="J260" s="2918"/>
      <c r="K260" s="2918"/>
      <c r="L260" s="2918"/>
      <c r="M260" s="2918"/>
      <c r="N260" s="2918"/>
      <c r="O260" s="2918"/>
      <c r="P260" s="2918"/>
      <c r="Q260" s="2918"/>
      <c r="R260" s="2918"/>
      <c r="S260" s="2918"/>
      <c r="T260" s="2918"/>
      <c r="U260" s="2918"/>
      <c r="V260" s="2918"/>
      <c r="W260" s="2918"/>
      <c r="X260" s="2918"/>
      <c r="Y260" s="2918"/>
      <c r="Z260" s="2918"/>
      <c r="AA260" s="2918"/>
      <c r="AB260" s="2918"/>
      <c r="AC260" s="2897">
        <f t="shared" si="152"/>
        <v>0</v>
      </c>
      <c r="AD260" s="2929"/>
      <c r="AE260" s="2929"/>
      <c r="AF260" s="2929"/>
      <c r="AG260" s="2929"/>
      <c r="AH260" s="2929"/>
      <c r="AI260" s="2929"/>
      <c r="AJ260" s="2929"/>
      <c r="AK260" s="2929"/>
      <c r="AL260" s="2929"/>
      <c r="AM260" s="2929"/>
      <c r="AN260" s="2929"/>
      <c r="AO260" s="2929"/>
      <c r="AP260" s="2929"/>
      <c r="AQ260" s="2929"/>
      <c r="AR260" s="2929"/>
      <c r="AS260" s="2929"/>
      <c r="AT260" s="2949"/>
      <c r="AU260" s="2950"/>
      <c r="AV260" s="454">
        <f t="shared" si="153"/>
        <v>0</v>
      </c>
      <c r="AW260" s="454">
        <f t="shared" si="154"/>
        <v>0</v>
      </c>
      <c r="AX260" s="454">
        <f t="shared" si="155"/>
        <v>0</v>
      </c>
      <c r="AY260" s="2966">
        <f t="shared" si="156"/>
        <v>0</v>
      </c>
      <c r="AZ260" s="2897">
        <f t="shared" si="157"/>
        <v>0</v>
      </c>
      <c r="BA260" s="2897">
        <f t="shared" si="158"/>
        <v>0</v>
      </c>
      <c r="BB260" s="2897">
        <f t="shared" si="159"/>
        <v>0</v>
      </c>
      <c r="BC260" s="2897">
        <f t="shared" si="160"/>
        <v>0</v>
      </c>
      <c r="BD260" s="2897">
        <f t="shared" si="161"/>
        <v>0</v>
      </c>
      <c r="BE260" s="2897">
        <f t="shared" si="162"/>
        <v>0</v>
      </c>
      <c r="BF260" s="2897">
        <f t="shared" si="163"/>
        <v>0</v>
      </c>
      <c r="BG260" s="2897">
        <f t="shared" si="164"/>
        <v>0</v>
      </c>
      <c r="BH260" s="2897">
        <f t="shared" si="165"/>
        <v>0</v>
      </c>
      <c r="BI260" s="2897">
        <f t="shared" si="166"/>
        <v>0</v>
      </c>
      <c r="BJ260" s="2897">
        <f t="shared" si="167"/>
        <v>0</v>
      </c>
      <c r="BK260" s="2897">
        <f t="shared" si="168"/>
        <v>0</v>
      </c>
      <c r="BL260" s="2897">
        <f t="shared" si="169"/>
        <v>0</v>
      </c>
      <c r="BM260" s="2897">
        <f t="shared" si="170"/>
        <v>0</v>
      </c>
      <c r="BN260" s="2897">
        <f t="shared" si="171"/>
        <v>0</v>
      </c>
      <c r="BO260" s="2897">
        <f t="shared" si="172"/>
        <v>0</v>
      </c>
      <c r="BP260" s="2897">
        <f t="shared" si="173"/>
        <v>0</v>
      </c>
      <c r="BQ260" s="2897">
        <f t="shared" si="174"/>
        <v>0</v>
      </c>
      <c r="BR260" s="2897">
        <f t="shared" si="175"/>
        <v>0</v>
      </c>
      <c r="BS260" s="2897">
        <f t="shared" si="176"/>
        <v>0</v>
      </c>
      <c r="BT260" s="2971">
        <f t="shared" si="177"/>
        <v>0</v>
      </c>
    </row>
    <row r="261" spans="1:72">
      <c r="A261" s="2894"/>
      <c r="B261" s="2895"/>
      <c r="C261" s="2895"/>
      <c r="D261" s="2907"/>
      <c r="E261" s="2897">
        <f t="shared" si="149"/>
        <v>0</v>
      </c>
      <c r="F261" s="2898"/>
      <c r="G261" s="2899">
        <f t="shared" si="150"/>
        <v>0</v>
      </c>
      <c r="H261" s="2900">
        <f t="shared" si="151"/>
        <v>0</v>
      </c>
      <c r="I261" s="2918"/>
      <c r="J261" s="2918"/>
      <c r="K261" s="2918"/>
      <c r="L261" s="2918"/>
      <c r="M261" s="2918"/>
      <c r="N261" s="2918"/>
      <c r="O261" s="2918"/>
      <c r="P261" s="2918"/>
      <c r="Q261" s="2918"/>
      <c r="R261" s="2918"/>
      <c r="S261" s="2918"/>
      <c r="T261" s="2918"/>
      <c r="U261" s="2918"/>
      <c r="V261" s="2918"/>
      <c r="W261" s="2918"/>
      <c r="X261" s="2918"/>
      <c r="Y261" s="2918"/>
      <c r="Z261" s="2918"/>
      <c r="AA261" s="2918"/>
      <c r="AB261" s="2918"/>
      <c r="AC261" s="2897">
        <f t="shared" si="152"/>
        <v>0</v>
      </c>
      <c r="AD261" s="2929"/>
      <c r="AE261" s="2929"/>
      <c r="AF261" s="2929"/>
      <c r="AG261" s="2929"/>
      <c r="AH261" s="2929"/>
      <c r="AI261" s="2929"/>
      <c r="AJ261" s="2929"/>
      <c r="AK261" s="2929"/>
      <c r="AL261" s="2929"/>
      <c r="AM261" s="2929"/>
      <c r="AN261" s="2929"/>
      <c r="AO261" s="2929"/>
      <c r="AP261" s="2929"/>
      <c r="AQ261" s="2929"/>
      <c r="AR261" s="2929"/>
      <c r="AS261" s="2929"/>
      <c r="AT261" s="2949"/>
      <c r="AU261" s="2950"/>
      <c r="AV261" s="454">
        <f t="shared" si="153"/>
        <v>0</v>
      </c>
      <c r="AW261" s="454">
        <f t="shared" si="154"/>
        <v>0</v>
      </c>
      <c r="AX261" s="454">
        <f t="shared" si="155"/>
        <v>0</v>
      </c>
      <c r="AY261" s="2966">
        <f t="shared" si="156"/>
        <v>0</v>
      </c>
      <c r="AZ261" s="2897">
        <f t="shared" si="157"/>
        <v>0</v>
      </c>
      <c r="BA261" s="2897">
        <f t="shared" si="158"/>
        <v>0</v>
      </c>
      <c r="BB261" s="2897">
        <f t="shared" si="159"/>
        <v>0</v>
      </c>
      <c r="BC261" s="2897">
        <f t="shared" si="160"/>
        <v>0</v>
      </c>
      <c r="BD261" s="2897">
        <f t="shared" si="161"/>
        <v>0</v>
      </c>
      <c r="BE261" s="2897">
        <f t="shared" si="162"/>
        <v>0</v>
      </c>
      <c r="BF261" s="2897">
        <f t="shared" si="163"/>
        <v>0</v>
      </c>
      <c r="BG261" s="2897">
        <f t="shared" si="164"/>
        <v>0</v>
      </c>
      <c r="BH261" s="2897">
        <f t="shared" si="165"/>
        <v>0</v>
      </c>
      <c r="BI261" s="2897">
        <f t="shared" si="166"/>
        <v>0</v>
      </c>
      <c r="BJ261" s="2897">
        <f t="shared" si="167"/>
        <v>0</v>
      </c>
      <c r="BK261" s="2897">
        <f t="shared" si="168"/>
        <v>0</v>
      </c>
      <c r="BL261" s="2897">
        <f t="shared" si="169"/>
        <v>0</v>
      </c>
      <c r="BM261" s="2897">
        <f t="shared" si="170"/>
        <v>0</v>
      </c>
      <c r="BN261" s="2897">
        <f t="shared" si="171"/>
        <v>0</v>
      </c>
      <c r="BO261" s="2897">
        <f t="shared" si="172"/>
        <v>0</v>
      </c>
      <c r="BP261" s="2897">
        <f t="shared" si="173"/>
        <v>0</v>
      </c>
      <c r="BQ261" s="2897">
        <f t="shared" si="174"/>
        <v>0</v>
      </c>
      <c r="BR261" s="2897">
        <f t="shared" si="175"/>
        <v>0</v>
      </c>
      <c r="BS261" s="2897">
        <f t="shared" si="176"/>
        <v>0</v>
      </c>
      <c r="BT261" s="2971">
        <f t="shared" si="177"/>
        <v>0</v>
      </c>
    </row>
    <row r="262" spans="1:72">
      <c r="A262" s="2894"/>
      <c r="B262" s="2895"/>
      <c r="C262" s="2895"/>
      <c r="D262" s="2907"/>
      <c r="E262" s="2897">
        <f t="shared" si="149"/>
        <v>0</v>
      </c>
      <c r="F262" s="2898"/>
      <c r="G262" s="2899">
        <f t="shared" si="150"/>
        <v>0</v>
      </c>
      <c r="H262" s="2900">
        <f t="shared" si="151"/>
        <v>0</v>
      </c>
      <c r="I262" s="2918"/>
      <c r="J262" s="2918"/>
      <c r="K262" s="2918"/>
      <c r="L262" s="2918"/>
      <c r="M262" s="2918"/>
      <c r="N262" s="2918"/>
      <c r="O262" s="2918"/>
      <c r="P262" s="2918"/>
      <c r="Q262" s="2918"/>
      <c r="R262" s="2918"/>
      <c r="S262" s="2918"/>
      <c r="T262" s="2918"/>
      <c r="U262" s="2918"/>
      <c r="V262" s="2918"/>
      <c r="W262" s="2918"/>
      <c r="X262" s="2918"/>
      <c r="Y262" s="2918"/>
      <c r="Z262" s="2918"/>
      <c r="AA262" s="2918"/>
      <c r="AB262" s="2918"/>
      <c r="AC262" s="2897">
        <f t="shared" si="152"/>
        <v>0</v>
      </c>
      <c r="AD262" s="2929"/>
      <c r="AE262" s="2929"/>
      <c r="AF262" s="2929"/>
      <c r="AG262" s="2929"/>
      <c r="AH262" s="2929"/>
      <c r="AI262" s="2929"/>
      <c r="AJ262" s="2929"/>
      <c r="AK262" s="2929"/>
      <c r="AL262" s="2929"/>
      <c r="AM262" s="2929"/>
      <c r="AN262" s="2929"/>
      <c r="AO262" s="2929"/>
      <c r="AP262" s="2929"/>
      <c r="AQ262" s="2929"/>
      <c r="AR262" s="2929"/>
      <c r="AS262" s="2929"/>
      <c r="AT262" s="2949"/>
      <c r="AU262" s="2950"/>
      <c r="AV262" s="454">
        <f t="shared" si="153"/>
        <v>0</v>
      </c>
      <c r="AW262" s="454">
        <f t="shared" si="154"/>
        <v>0</v>
      </c>
      <c r="AX262" s="454">
        <f t="shared" si="155"/>
        <v>0</v>
      </c>
      <c r="AY262" s="2966">
        <f t="shared" si="156"/>
        <v>0</v>
      </c>
      <c r="AZ262" s="2897">
        <f t="shared" si="157"/>
        <v>0</v>
      </c>
      <c r="BA262" s="2897">
        <f t="shared" si="158"/>
        <v>0</v>
      </c>
      <c r="BB262" s="2897">
        <f t="shared" si="159"/>
        <v>0</v>
      </c>
      <c r="BC262" s="2897">
        <f t="shared" si="160"/>
        <v>0</v>
      </c>
      <c r="BD262" s="2897">
        <f t="shared" si="161"/>
        <v>0</v>
      </c>
      <c r="BE262" s="2897">
        <f t="shared" si="162"/>
        <v>0</v>
      </c>
      <c r="BF262" s="2897">
        <f t="shared" si="163"/>
        <v>0</v>
      </c>
      <c r="BG262" s="2897">
        <f t="shared" si="164"/>
        <v>0</v>
      </c>
      <c r="BH262" s="2897">
        <f t="shared" si="165"/>
        <v>0</v>
      </c>
      <c r="BI262" s="2897">
        <f t="shared" si="166"/>
        <v>0</v>
      </c>
      <c r="BJ262" s="2897">
        <f t="shared" si="167"/>
        <v>0</v>
      </c>
      <c r="BK262" s="2897">
        <f t="shared" si="168"/>
        <v>0</v>
      </c>
      <c r="BL262" s="2897">
        <f t="shared" si="169"/>
        <v>0</v>
      </c>
      <c r="BM262" s="2897">
        <f t="shared" si="170"/>
        <v>0</v>
      </c>
      <c r="BN262" s="2897">
        <f t="shared" si="171"/>
        <v>0</v>
      </c>
      <c r="BO262" s="2897">
        <f t="shared" si="172"/>
        <v>0</v>
      </c>
      <c r="BP262" s="2897">
        <f t="shared" si="173"/>
        <v>0</v>
      </c>
      <c r="BQ262" s="2897">
        <f t="shared" si="174"/>
        <v>0</v>
      </c>
      <c r="BR262" s="2897">
        <f t="shared" si="175"/>
        <v>0</v>
      </c>
      <c r="BS262" s="2897">
        <f t="shared" si="176"/>
        <v>0</v>
      </c>
      <c r="BT262" s="2971">
        <f t="shared" si="177"/>
        <v>0</v>
      </c>
    </row>
    <row r="263" spans="1:72">
      <c r="A263" s="2894"/>
      <c r="B263" s="2895"/>
      <c r="C263" s="2895"/>
      <c r="D263" s="2907"/>
      <c r="E263" s="2897">
        <f t="shared" si="149"/>
        <v>0</v>
      </c>
      <c r="F263" s="2898"/>
      <c r="G263" s="2899">
        <f t="shared" si="150"/>
        <v>0</v>
      </c>
      <c r="H263" s="2900">
        <f t="shared" si="151"/>
        <v>0</v>
      </c>
      <c r="I263" s="2918"/>
      <c r="J263" s="2918"/>
      <c r="K263" s="2918"/>
      <c r="L263" s="2918"/>
      <c r="M263" s="2918"/>
      <c r="N263" s="2918"/>
      <c r="O263" s="2918"/>
      <c r="P263" s="2918"/>
      <c r="Q263" s="2918"/>
      <c r="R263" s="2918"/>
      <c r="S263" s="2918"/>
      <c r="T263" s="2918"/>
      <c r="U263" s="2918"/>
      <c r="V263" s="2918"/>
      <c r="W263" s="2918"/>
      <c r="X263" s="2918"/>
      <c r="Y263" s="2918"/>
      <c r="Z263" s="2918"/>
      <c r="AA263" s="2918"/>
      <c r="AB263" s="2918"/>
      <c r="AC263" s="2897">
        <f t="shared" si="152"/>
        <v>0</v>
      </c>
      <c r="AD263" s="2929"/>
      <c r="AE263" s="2929"/>
      <c r="AF263" s="2929"/>
      <c r="AG263" s="2929"/>
      <c r="AH263" s="2929"/>
      <c r="AI263" s="2929"/>
      <c r="AJ263" s="2929"/>
      <c r="AK263" s="2929"/>
      <c r="AL263" s="2929"/>
      <c r="AM263" s="2929"/>
      <c r="AN263" s="2929"/>
      <c r="AO263" s="2929"/>
      <c r="AP263" s="2929"/>
      <c r="AQ263" s="2929"/>
      <c r="AR263" s="2929"/>
      <c r="AS263" s="2929"/>
      <c r="AT263" s="2949"/>
      <c r="AU263" s="2950"/>
      <c r="AV263" s="454">
        <f t="shared" si="153"/>
        <v>0</v>
      </c>
      <c r="AW263" s="454">
        <f t="shared" si="154"/>
        <v>0</v>
      </c>
      <c r="AX263" s="454">
        <f t="shared" si="155"/>
        <v>0</v>
      </c>
      <c r="AY263" s="2966">
        <f t="shared" si="156"/>
        <v>0</v>
      </c>
      <c r="AZ263" s="2897">
        <f t="shared" si="157"/>
        <v>0</v>
      </c>
      <c r="BA263" s="2897">
        <f t="shared" si="158"/>
        <v>0</v>
      </c>
      <c r="BB263" s="2897">
        <f t="shared" si="159"/>
        <v>0</v>
      </c>
      <c r="BC263" s="2897">
        <f t="shared" si="160"/>
        <v>0</v>
      </c>
      <c r="BD263" s="2897">
        <f t="shared" si="161"/>
        <v>0</v>
      </c>
      <c r="BE263" s="2897">
        <f t="shared" si="162"/>
        <v>0</v>
      </c>
      <c r="BF263" s="2897">
        <f t="shared" si="163"/>
        <v>0</v>
      </c>
      <c r="BG263" s="2897">
        <f t="shared" si="164"/>
        <v>0</v>
      </c>
      <c r="BH263" s="2897">
        <f t="shared" si="165"/>
        <v>0</v>
      </c>
      <c r="BI263" s="2897">
        <f t="shared" si="166"/>
        <v>0</v>
      </c>
      <c r="BJ263" s="2897">
        <f t="shared" si="167"/>
        <v>0</v>
      </c>
      <c r="BK263" s="2897">
        <f t="shared" si="168"/>
        <v>0</v>
      </c>
      <c r="BL263" s="2897">
        <f t="shared" si="169"/>
        <v>0</v>
      </c>
      <c r="BM263" s="2897">
        <f t="shared" si="170"/>
        <v>0</v>
      </c>
      <c r="BN263" s="2897">
        <f t="shared" si="171"/>
        <v>0</v>
      </c>
      <c r="BO263" s="2897">
        <f t="shared" si="172"/>
        <v>0</v>
      </c>
      <c r="BP263" s="2897">
        <f t="shared" si="173"/>
        <v>0</v>
      </c>
      <c r="BQ263" s="2897">
        <f t="shared" si="174"/>
        <v>0</v>
      </c>
      <c r="BR263" s="2897">
        <f t="shared" si="175"/>
        <v>0</v>
      </c>
      <c r="BS263" s="2897">
        <f t="shared" si="176"/>
        <v>0</v>
      </c>
      <c r="BT263" s="2971">
        <f t="shared" si="177"/>
        <v>0</v>
      </c>
    </row>
    <row r="264" spans="1:72">
      <c r="A264" s="2894"/>
      <c r="B264" s="2895"/>
      <c r="C264" s="2895"/>
      <c r="D264" s="2907"/>
      <c r="E264" s="2897">
        <f t="shared" si="149"/>
        <v>0</v>
      </c>
      <c r="F264" s="2898"/>
      <c r="G264" s="2899">
        <f t="shared" si="150"/>
        <v>0</v>
      </c>
      <c r="H264" s="2900">
        <f t="shared" si="151"/>
        <v>0</v>
      </c>
      <c r="I264" s="2918"/>
      <c r="J264" s="2918"/>
      <c r="K264" s="2918"/>
      <c r="L264" s="2918"/>
      <c r="M264" s="2918"/>
      <c r="N264" s="2918"/>
      <c r="O264" s="2918"/>
      <c r="P264" s="2918"/>
      <c r="Q264" s="2918"/>
      <c r="R264" s="2918"/>
      <c r="S264" s="2918"/>
      <c r="T264" s="2918"/>
      <c r="U264" s="2918"/>
      <c r="V264" s="2918"/>
      <c r="W264" s="2918"/>
      <c r="X264" s="2918"/>
      <c r="Y264" s="2918"/>
      <c r="Z264" s="2918"/>
      <c r="AA264" s="2918"/>
      <c r="AB264" s="2918"/>
      <c r="AC264" s="2897">
        <f t="shared" si="152"/>
        <v>0</v>
      </c>
      <c r="AD264" s="2929"/>
      <c r="AE264" s="2929"/>
      <c r="AF264" s="2929"/>
      <c r="AG264" s="2929"/>
      <c r="AH264" s="2929"/>
      <c r="AI264" s="2929"/>
      <c r="AJ264" s="2929"/>
      <c r="AK264" s="2929"/>
      <c r="AL264" s="2929"/>
      <c r="AM264" s="2929"/>
      <c r="AN264" s="2929"/>
      <c r="AO264" s="2929"/>
      <c r="AP264" s="2929"/>
      <c r="AQ264" s="2929"/>
      <c r="AR264" s="2929"/>
      <c r="AS264" s="2929"/>
      <c r="AT264" s="2949"/>
      <c r="AU264" s="2950"/>
      <c r="AV264" s="454">
        <f t="shared" si="153"/>
        <v>0</v>
      </c>
      <c r="AW264" s="454">
        <f t="shared" si="154"/>
        <v>0</v>
      </c>
      <c r="AX264" s="454">
        <f t="shared" si="155"/>
        <v>0</v>
      </c>
      <c r="AY264" s="2966">
        <f t="shared" si="156"/>
        <v>0</v>
      </c>
      <c r="AZ264" s="2897">
        <f t="shared" si="157"/>
        <v>0</v>
      </c>
      <c r="BA264" s="2897">
        <f t="shared" si="158"/>
        <v>0</v>
      </c>
      <c r="BB264" s="2897">
        <f t="shared" si="159"/>
        <v>0</v>
      </c>
      <c r="BC264" s="2897">
        <f t="shared" si="160"/>
        <v>0</v>
      </c>
      <c r="BD264" s="2897">
        <f t="shared" si="161"/>
        <v>0</v>
      </c>
      <c r="BE264" s="2897">
        <f t="shared" si="162"/>
        <v>0</v>
      </c>
      <c r="BF264" s="2897">
        <f t="shared" si="163"/>
        <v>0</v>
      </c>
      <c r="BG264" s="2897">
        <f t="shared" si="164"/>
        <v>0</v>
      </c>
      <c r="BH264" s="2897">
        <f t="shared" si="165"/>
        <v>0</v>
      </c>
      <c r="BI264" s="2897">
        <f t="shared" si="166"/>
        <v>0</v>
      </c>
      <c r="BJ264" s="2897">
        <f t="shared" si="167"/>
        <v>0</v>
      </c>
      <c r="BK264" s="2897">
        <f t="shared" si="168"/>
        <v>0</v>
      </c>
      <c r="BL264" s="2897">
        <f t="shared" si="169"/>
        <v>0</v>
      </c>
      <c r="BM264" s="2897">
        <f t="shared" si="170"/>
        <v>0</v>
      </c>
      <c r="BN264" s="2897">
        <f t="shared" si="171"/>
        <v>0</v>
      </c>
      <c r="BO264" s="2897">
        <f t="shared" si="172"/>
        <v>0</v>
      </c>
      <c r="BP264" s="2897">
        <f t="shared" si="173"/>
        <v>0</v>
      </c>
      <c r="BQ264" s="2897">
        <f t="shared" si="174"/>
        <v>0</v>
      </c>
      <c r="BR264" s="2897">
        <f t="shared" si="175"/>
        <v>0</v>
      </c>
      <c r="BS264" s="2897">
        <f t="shared" si="176"/>
        <v>0</v>
      </c>
      <c r="BT264" s="2971">
        <f t="shared" si="177"/>
        <v>0</v>
      </c>
    </row>
    <row r="265" spans="1:72">
      <c r="A265" s="2894"/>
      <c r="B265" s="2895"/>
      <c r="C265" s="2895"/>
      <c r="D265" s="2907"/>
      <c r="E265" s="2897">
        <f t="shared" si="149"/>
        <v>0</v>
      </c>
      <c r="F265" s="2898"/>
      <c r="G265" s="2899">
        <f t="shared" si="150"/>
        <v>0</v>
      </c>
      <c r="H265" s="2900">
        <f t="shared" si="151"/>
        <v>0</v>
      </c>
      <c r="I265" s="2918"/>
      <c r="J265" s="2918"/>
      <c r="K265" s="2918"/>
      <c r="L265" s="2918"/>
      <c r="M265" s="2918"/>
      <c r="N265" s="2918"/>
      <c r="O265" s="2918"/>
      <c r="P265" s="2918"/>
      <c r="Q265" s="2918"/>
      <c r="R265" s="2918"/>
      <c r="S265" s="2918"/>
      <c r="T265" s="2918"/>
      <c r="U265" s="2918"/>
      <c r="V265" s="2918"/>
      <c r="W265" s="2918"/>
      <c r="X265" s="2918"/>
      <c r="Y265" s="2918"/>
      <c r="Z265" s="2918"/>
      <c r="AA265" s="2918"/>
      <c r="AB265" s="2918"/>
      <c r="AC265" s="2897">
        <f t="shared" si="152"/>
        <v>0</v>
      </c>
      <c r="AD265" s="2929"/>
      <c r="AE265" s="2929"/>
      <c r="AF265" s="2929"/>
      <c r="AG265" s="2929"/>
      <c r="AH265" s="2929"/>
      <c r="AI265" s="2929"/>
      <c r="AJ265" s="2929"/>
      <c r="AK265" s="2929"/>
      <c r="AL265" s="2929"/>
      <c r="AM265" s="2929"/>
      <c r="AN265" s="2929"/>
      <c r="AO265" s="2929"/>
      <c r="AP265" s="2929"/>
      <c r="AQ265" s="2929"/>
      <c r="AR265" s="2929"/>
      <c r="AS265" s="2929"/>
      <c r="AT265" s="2949"/>
      <c r="AU265" s="2950"/>
      <c r="AV265" s="454">
        <f t="shared" si="153"/>
        <v>0</v>
      </c>
      <c r="AW265" s="454">
        <f t="shared" si="154"/>
        <v>0</v>
      </c>
      <c r="AX265" s="454">
        <f t="shared" si="155"/>
        <v>0</v>
      </c>
      <c r="AY265" s="2966">
        <f t="shared" si="156"/>
        <v>0</v>
      </c>
      <c r="AZ265" s="2897">
        <f t="shared" si="157"/>
        <v>0</v>
      </c>
      <c r="BA265" s="2897">
        <f t="shared" si="158"/>
        <v>0</v>
      </c>
      <c r="BB265" s="2897">
        <f t="shared" si="159"/>
        <v>0</v>
      </c>
      <c r="BC265" s="2897">
        <f t="shared" si="160"/>
        <v>0</v>
      </c>
      <c r="BD265" s="2897">
        <f t="shared" si="161"/>
        <v>0</v>
      </c>
      <c r="BE265" s="2897">
        <f t="shared" si="162"/>
        <v>0</v>
      </c>
      <c r="BF265" s="2897">
        <f t="shared" si="163"/>
        <v>0</v>
      </c>
      <c r="BG265" s="2897">
        <f t="shared" si="164"/>
        <v>0</v>
      </c>
      <c r="BH265" s="2897">
        <f t="shared" si="165"/>
        <v>0</v>
      </c>
      <c r="BI265" s="2897">
        <f t="shared" si="166"/>
        <v>0</v>
      </c>
      <c r="BJ265" s="2897">
        <f t="shared" si="167"/>
        <v>0</v>
      </c>
      <c r="BK265" s="2897">
        <f t="shared" si="168"/>
        <v>0</v>
      </c>
      <c r="BL265" s="2897">
        <f t="shared" si="169"/>
        <v>0</v>
      </c>
      <c r="BM265" s="2897">
        <f t="shared" si="170"/>
        <v>0</v>
      </c>
      <c r="BN265" s="2897">
        <f t="shared" si="171"/>
        <v>0</v>
      </c>
      <c r="BO265" s="2897">
        <f t="shared" si="172"/>
        <v>0</v>
      </c>
      <c r="BP265" s="2897">
        <f t="shared" si="173"/>
        <v>0</v>
      </c>
      <c r="BQ265" s="2897">
        <f t="shared" si="174"/>
        <v>0</v>
      </c>
      <c r="BR265" s="2897">
        <f t="shared" si="175"/>
        <v>0</v>
      </c>
      <c r="BS265" s="2897">
        <f t="shared" si="176"/>
        <v>0</v>
      </c>
      <c r="BT265" s="2971">
        <f t="shared" si="177"/>
        <v>0</v>
      </c>
    </row>
    <row r="266" spans="1:72">
      <c r="A266" s="2894"/>
      <c r="B266" s="2895"/>
      <c r="C266" s="2895"/>
      <c r="D266" s="2907"/>
      <c r="E266" s="2897">
        <f t="shared" si="149"/>
        <v>0</v>
      </c>
      <c r="F266" s="2898"/>
      <c r="G266" s="2899">
        <f t="shared" si="150"/>
        <v>0</v>
      </c>
      <c r="H266" s="2900">
        <f t="shared" si="151"/>
        <v>0</v>
      </c>
      <c r="I266" s="2918"/>
      <c r="J266" s="2918"/>
      <c r="K266" s="2918"/>
      <c r="L266" s="2918"/>
      <c r="M266" s="2918"/>
      <c r="N266" s="2918"/>
      <c r="O266" s="2918"/>
      <c r="P266" s="2918"/>
      <c r="Q266" s="2918"/>
      <c r="R266" s="2918"/>
      <c r="S266" s="2918"/>
      <c r="T266" s="2918"/>
      <c r="U266" s="2918"/>
      <c r="V266" s="2918"/>
      <c r="W266" s="2918"/>
      <c r="X266" s="2918"/>
      <c r="Y266" s="2918"/>
      <c r="Z266" s="2918"/>
      <c r="AA266" s="2918"/>
      <c r="AB266" s="2918"/>
      <c r="AC266" s="2897">
        <f t="shared" si="152"/>
        <v>0</v>
      </c>
      <c r="AD266" s="2929"/>
      <c r="AE266" s="2929"/>
      <c r="AF266" s="2929"/>
      <c r="AG266" s="2929"/>
      <c r="AH266" s="2929"/>
      <c r="AI266" s="2929"/>
      <c r="AJ266" s="2929"/>
      <c r="AK266" s="2929"/>
      <c r="AL266" s="2929"/>
      <c r="AM266" s="2929"/>
      <c r="AN266" s="2929"/>
      <c r="AO266" s="2929"/>
      <c r="AP266" s="2929"/>
      <c r="AQ266" s="2929"/>
      <c r="AR266" s="2929"/>
      <c r="AS266" s="2929"/>
      <c r="AT266" s="2949"/>
      <c r="AU266" s="2950"/>
      <c r="AV266" s="454">
        <f t="shared" si="153"/>
        <v>0</v>
      </c>
      <c r="AW266" s="454">
        <f t="shared" si="154"/>
        <v>0</v>
      </c>
      <c r="AX266" s="454">
        <f t="shared" si="155"/>
        <v>0</v>
      </c>
      <c r="AY266" s="2966">
        <f t="shared" si="156"/>
        <v>0</v>
      </c>
      <c r="AZ266" s="2897">
        <f t="shared" si="157"/>
        <v>0</v>
      </c>
      <c r="BA266" s="2897">
        <f t="shared" si="158"/>
        <v>0</v>
      </c>
      <c r="BB266" s="2897">
        <f t="shared" si="159"/>
        <v>0</v>
      </c>
      <c r="BC266" s="2897">
        <f t="shared" si="160"/>
        <v>0</v>
      </c>
      <c r="BD266" s="2897">
        <f t="shared" si="161"/>
        <v>0</v>
      </c>
      <c r="BE266" s="2897">
        <f t="shared" si="162"/>
        <v>0</v>
      </c>
      <c r="BF266" s="2897">
        <f t="shared" si="163"/>
        <v>0</v>
      </c>
      <c r="BG266" s="2897">
        <f t="shared" si="164"/>
        <v>0</v>
      </c>
      <c r="BH266" s="2897">
        <f t="shared" si="165"/>
        <v>0</v>
      </c>
      <c r="BI266" s="2897">
        <f t="shared" si="166"/>
        <v>0</v>
      </c>
      <c r="BJ266" s="2897">
        <f t="shared" si="167"/>
        <v>0</v>
      </c>
      <c r="BK266" s="2897">
        <f t="shared" si="168"/>
        <v>0</v>
      </c>
      <c r="BL266" s="2897">
        <f t="shared" si="169"/>
        <v>0</v>
      </c>
      <c r="BM266" s="2897">
        <f t="shared" si="170"/>
        <v>0</v>
      </c>
      <c r="BN266" s="2897">
        <f t="shared" si="171"/>
        <v>0</v>
      </c>
      <c r="BO266" s="2897">
        <f t="shared" si="172"/>
        <v>0</v>
      </c>
      <c r="BP266" s="2897">
        <f t="shared" si="173"/>
        <v>0</v>
      </c>
      <c r="BQ266" s="2897">
        <f t="shared" si="174"/>
        <v>0</v>
      </c>
      <c r="BR266" s="2897">
        <f t="shared" si="175"/>
        <v>0</v>
      </c>
      <c r="BS266" s="2897">
        <f t="shared" si="176"/>
        <v>0</v>
      </c>
      <c r="BT266" s="2971">
        <f t="shared" si="177"/>
        <v>0</v>
      </c>
    </row>
    <row r="267" spans="1:72">
      <c r="A267" s="2894"/>
      <c r="B267" s="2895"/>
      <c r="C267" s="2895"/>
      <c r="D267" s="2907"/>
      <c r="E267" s="2897">
        <f t="shared" si="149"/>
        <v>0</v>
      </c>
      <c r="F267" s="2898"/>
      <c r="G267" s="2899">
        <f t="shared" si="150"/>
        <v>0</v>
      </c>
      <c r="H267" s="2900">
        <f t="shared" si="151"/>
        <v>0</v>
      </c>
      <c r="I267" s="2918"/>
      <c r="J267" s="2918"/>
      <c r="K267" s="2918"/>
      <c r="L267" s="2918"/>
      <c r="M267" s="2918"/>
      <c r="N267" s="2918"/>
      <c r="O267" s="2918"/>
      <c r="P267" s="2918"/>
      <c r="Q267" s="2918"/>
      <c r="R267" s="2918"/>
      <c r="S267" s="2918"/>
      <c r="T267" s="2918"/>
      <c r="U267" s="2918"/>
      <c r="V267" s="2918"/>
      <c r="W267" s="2918"/>
      <c r="X267" s="2918"/>
      <c r="Y267" s="2918"/>
      <c r="Z267" s="2918"/>
      <c r="AA267" s="2918"/>
      <c r="AB267" s="2918"/>
      <c r="AC267" s="2897">
        <f t="shared" si="152"/>
        <v>0</v>
      </c>
      <c r="AD267" s="2929"/>
      <c r="AE267" s="2929"/>
      <c r="AF267" s="2929"/>
      <c r="AG267" s="2929"/>
      <c r="AH267" s="2929"/>
      <c r="AI267" s="2929"/>
      <c r="AJ267" s="2929"/>
      <c r="AK267" s="2929"/>
      <c r="AL267" s="2929"/>
      <c r="AM267" s="2929"/>
      <c r="AN267" s="2929"/>
      <c r="AO267" s="2929"/>
      <c r="AP267" s="2929"/>
      <c r="AQ267" s="2929"/>
      <c r="AR267" s="2929"/>
      <c r="AS267" s="2929"/>
      <c r="AT267" s="2949"/>
      <c r="AU267" s="2950"/>
      <c r="AV267" s="454">
        <f t="shared" si="153"/>
        <v>0</v>
      </c>
      <c r="AW267" s="454">
        <f t="shared" si="154"/>
        <v>0</v>
      </c>
      <c r="AX267" s="454">
        <f t="shared" si="155"/>
        <v>0</v>
      </c>
      <c r="AY267" s="2966">
        <f t="shared" si="156"/>
        <v>0</v>
      </c>
      <c r="AZ267" s="2897">
        <f t="shared" si="157"/>
        <v>0</v>
      </c>
      <c r="BA267" s="2897">
        <f t="shared" si="158"/>
        <v>0</v>
      </c>
      <c r="BB267" s="2897">
        <f t="shared" si="159"/>
        <v>0</v>
      </c>
      <c r="BC267" s="2897">
        <f t="shared" si="160"/>
        <v>0</v>
      </c>
      <c r="BD267" s="2897">
        <f t="shared" si="161"/>
        <v>0</v>
      </c>
      <c r="BE267" s="2897">
        <f t="shared" si="162"/>
        <v>0</v>
      </c>
      <c r="BF267" s="2897">
        <f t="shared" si="163"/>
        <v>0</v>
      </c>
      <c r="BG267" s="2897">
        <f t="shared" si="164"/>
        <v>0</v>
      </c>
      <c r="BH267" s="2897">
        <f t="shared" si="165"/>
        <v>0</v>
      </c>
      <c r="BI267" s="2897">
        <f t="shared" si="166"/>
        <v>0</v>
      </c>
      <c r="BJ267" s="2897">
        <f t="shared" si="167"/>
        <v>0</v>
      </c>
      <c r="BK267" s="2897">
        <f t="shared" si="168"/>
        <v>0</v>
      </c>
      <c r="BL267" s="2897">
        <f t="shared" si="169"/>
        <v>0</v>
      </c>
      <c r="BM267" s="2897">
        <f t="shared" si="170"/>
        <v>0</v>
      </c>
      <c r="BN267" s="2897">
        <f t="shared" si="171"/>
        <v>0</v>
      </c>
      <c r="BO267" s="2897">
        <f t="shared" si="172"/>
        <v>0</v>
      </c>
      <c r="BP267" s="2897">
        <f t="shared" si="173"/>
        <v>0</v>
      </c>
      <c r="BQ267" s="2897">
        <f t="shared" si="174"/>
        <v>0</v>
      </c>
      <c r="BR267" s="2897">
        <f t="shared" si="175"/>
        <v>0</v>
      </c>
      <c r="BS267" s="2897">
        <f t="shared" si="176"/>
        <v>0</v>
      </c>
      <c r="BT267" s="2971">
        <f t="shared" si="177"/>
        <v>0</v>
      </c>
    </row>
    <row r="268" spans="1:72">
      <c r="A268" s="2894"/>
      <c r="B268" s="2895"/>
      <c r="C268" s="2895"/>
      <c r="D268" s="2907"/>
      <c r="E268" s="2897">
        <f t="shared" si="149"/>
        <v>0</v>
      </c>
      <c r="F268" s="2898"/>
      <c r="G268" s="2899">
        <f t="shared" si="150"/>
        <v>0</v>
      </c>
      <c r="H268" s="2900">
        <f t="shared" si="151"/>
        <v>0</v>
      </c>
      <c r="I268" s="2918"/>
      <c r="J268" s="2918"/>
      <c r="K268" s="2918"/>
      <c r="L268" s="2918"/>
      <c r="M268" s="2918"/>
      <c r="N268" s="2918"/>
      <c r="O268" s="2918"/>
      <c r="P268" s="2918"/>
      <c r="Q268" s="2918"/>
      <c r="R268" s="2918"/>
      <c r="S268" s="2918"/>
      <c r="T268" s="2918"/>
      <c r="U268" s="2918"/>
      <c r="V268" s="2918"/>
      <c r="W268" s="2918"/>
      <c r="X268" s="2918"/>
      <c r="Y268" s="2918"/>
      <c r="Z268" s="2918"/>
      <c r="AA268" s="2918"/>
      <c r="AB268" s="2918"/>
      <c r="AC268" s="2897">
        <f t="shared" si="152"/>
        <v>0</v>
      </c>
      <c r="AD268" s="2929"/>
      <c r="AE268" s="2929"/>
      <c r="AF268" s="2929"/>
      <c r="AG268" s="2929"/>
      <c r="AH268" s="2929"/>
      <c r="AI268" s="2929"/>
      <c r="AJ268" s="2929"/>
      <c r="AK268" s="2929"/>
      <c r="AL268" s="2929"/>
      <c r="AM268" s="2929"/>
      <c r="AN268" s="2929"/>
      <c r="AO268" s="2929"/>
      <c r="AP268" s="2929"/>
      <c r="AQ268" s="2929"/>
      <c r="AR268" s="2929"/>
      <c r="AS268" s="2929"/>
      <c r="AT268" s="2949"/>
      <c r="AU268" s="2950"/>
      <c r="AV268" s="454">
        <f t="shared" si="153"/>
        <v>0</v>
      </c>
      <c r="AW268" s="454">
        <f t="shared" si="154"/>
        <v>0</v>
      </c>
      <c r="AX268" s="454">
        <f t="shared" si="155"/>
        <v>0</v>
      </c>
      <c r="AY268" s="2966">
        <f t="shared" si="156"/>
        <v>0</v>
      </c>
      <c r="AZ268" s="2897">
        <f t="shared" si="157"/>
        <v>0</v>
      </c>
      <c r="BA268" s="2897">
        <f t="shared" si="158"/>
        <v>0</v>
      </c>
      <c r="BB268" s="2897">
        <f t="shared" si="159"/>
        <v>0</v>
      </c>
      <c r="BC268" s="2897">
        <f t="shared" si="160"/>
        <v>0</v>
      </c>
      <c r="BD268" s="2897">
        <f t="shared" si="161"/>
        <v>0</v>
      </c>
      <c r="BE268" s="2897">
        <f t="shared" si="162"/>
        <v>0</v>
      </c>
      <c r="BF268" s="2897">
        <f t="shared" si="163"/>
        <v>0</v>
      </c>
      <c r="BG268" s="2897">
        <f t="shared" si="164"/>
        <v>0</v>
      </c>
      <c r="BH268" s="2897">
        <f t="shared" si="165"/>
        <v>0</v>
      </c>
      <c r="BI268" s="2897">
        <f t="shared" si="166"/>
        <v>0</v>
      </c>
      <c r="BJ268" s="2897">
        <f t="shared" si="167"/>
        <v>0</v>
      </c>
      <c r="BK268" s="2897">
        <f t="shared" si="168"/>
        <v>0</v>
      </c>
      <c r="BL268" s="2897">
        <f t="shared" si="169"/>
        <v>0</v>
      </c>
      <c r="BM268" s="2897">
        <f t="shared" si="170"/>
        <v>0</v>
      </c>
      <c r="BN268" s="2897">
        <f t="shared" si="171"/>
        <v>0</v>
      </c>
      <c r="BO268" s="2897">
        <f t="shared" si="172"/>
        <v>0</v>
      </c>
      <c r="BP268" s="2897">
        <f t="shared" si="173"/>
        <v>0</v>
      </c>
      <c r="BQ268" s="2897">
        <f t="shared" si="174"/>
        <v>0</v>
      </c>
      <c r="BR268" s="2897">
        <f t="shared" si="175"/>
        <v>0</v>
      </c>
      <c r="BS268" s="2897">
        <f t="shared" si="176"/>
        <v>0</v>
      </c>
      <c r="BT268" s="2971">
        <f t="shared" si="177"/>
        <v>0</v>
      </c>
    </row>
    <row r="269" spans="1:72">
      <c r="A269" s="2894"/>
      <c r="B269" s="2895"/>
      <c r="C269" s="2895"/>
      <c r="D269" s="2907"/>
      <c r="E269" s="2897">
        <f t="shared" si="149"/>
        <v>0</v>
      </c>
      <c r="F269" s="2898"/>
      <c r="G269" s="2899">
        <f t="shared" si="150"/>
        <v>0</v>
      </c>
      <c r="H269" s="2900">
        <f t="shared" si="151"/>
        <v>0</v>
      </c>
      <c r="I269" s="2918"/>
      <c r="J269" s="2918"/>
      <c r="K269" s="2918"/>
      <c r="L269" s="2918"/>
      <c r="M269" s="2918"/>
      <c r="N269" s="2918"/>
      <c r="O269" s="2918"/>
      <c r="P269" s="2918"/>
      <c r="Q269" s="2918"/>
      <c r="R269" s="2918"/>
      <c r="S269" s="2918"/>
      <c r="T269" s="2918"/>
      <c r="U269" s="2918"/>
      <c r="V269" s="2918"/>
      <c r="W269" s="2918"/>
      <c r="X269" s="2918"/>
      <c r="Y269" s="2918"/>
      <c r="Z269" s="2918"/>
      <c r="AA269" s="2918"/>
      <c r="AB269" s="2918"/>
      <c r="AC269" s="2897">
        <f t="shared" si="152"/>
        <v>0</v>
      </c>
      <c r="AD269" s="2929"/>
      <c r="AE269" s="2929"/>
      <c r="AF269" s="2929"/>
      <c r="AG269" s="2929"/>
      <c r="AH269" s="2929"/>
      <c r="AI269" s="2929"/>
      <c r="AJ269" s="2929"/>
      <c r="AK269" s="2929"/>
      <c r="AL269" s="2929"/>
      <c r="AM269" s="2929"/>
      <c r="AN269" s="2929"/>
      <c r="AO269" s="2929"/>
      <c r="AP269" s="2929"/>
      <c r="AQ269" s="2929"/>
      <c r="AR269" s="2929"/>
      <c r="AS269" s="2929"/>
      <c r="AT269" s="2949"/>
      <c r="AU269" s="2950"/>
      <c r="AV269" s="454">
        <f t="shared" si="153"/>
        <v>0</v>
      </c>
      <c r="AW269" s="454">
        <f t="shared" si="154"/>
        <v>0</v>
      </c>
      <c r="AX269" s="454">
        <f t="shared" si="155"/>
        <v>0</v>
      </c>
      <c r="AY269" s="2966">
        <f t="shared" si="156"/>
        <v>0</v>
      </c>
      <c r="AZ269" s="2897">
        <f t="shared" si="157"/>
        <v>0</v>
      </c>
      <c r="BA269" s="2897">
        <f t="shared" si="158"/>
        <v>0</v>
      </c>
      <c r="BB269" s="2897">
        <f t="shared" si="159"/>
        <v>0</v>
      </c>
      <c r="BC269" s="2897">
        <f t="shared" si="160"/>
        <v>0</v>
      </c>
      <c r="BD269" s="2897">
        <f t="shared" si="161"/>
        <v>0</v>
      </c>
      <c r="BE269" s="2897">
        <f t="shared" si="162"/>
        <v>0</v>
      </c>
      <c r="BF269" s="2897">
        <f t="shared" si="163"/>
        <v>0</v>
      </c>
      <c r="BG269" s="2897">
        <f t="shared" si="164"/>
        <v>0</v>
      </c>
      <c r="BH269" s="2897">
        <f t="shared" si="165"/>
        <v>0</v>
      </c>
      <c r="BI269" s="2897">
        <f t="shared" si="166"/>
        <v>0</v>
      </c>
      <c r="BJ269" s="2897">
        <f t="shared" si="167"/>
        <v>0</v>
      </c>
      <c r="BK269" s="2897">
        <f t="shared" si="168"/>
        <v>0</v>
      </c>
      <c r="BL269" s="2897">
        <f t="shared" si="169"/>
        <v>0</v>
      </c>
      <c r="BM269" s="2897">
        <f t="shared" si="170"/>
        <v>0</v>
      </c>
      <c r="BN269" s="2897">
        <f t="shared" si="171"/>
        <v>0</v>
      </c>
      <c r="BO269" s="2897">
        <f t="shared" si="172"/>
        <v>0</v>
      </c>
      <c r="BP269" s="2897">
        <f t="shared" si="173"/>
        <v>0</v>
      </c>
      <c r="BQ269" s="2897">
        <f t="shared" si="174"/>
        <v>0</v>
      </c>
      <c r="BR269" s="2897">
        <f t="shared" si="175"/>
        <v>0</v>
      </c>
      <c r="BS269" s="2897">
        <f t="shared" si="176"/>
        <v>0</v>
      </c>
      <c r="BT269" s="2971">
        <f t="shared" si="177"/>
        <v>0</v>
      </c>
    </row>
    <row r="270" spans="1:72">
      <c r="A270" s="2894"/>
      <c r="B270" s="2895"/>
      <c r="C270" s="2895"/>
      <c r="D270" s="2907"/>
      <c r="E270" s="2897">
        <f t="shared" si="149"/>
        <v>0</v>
      </c>
      <c r="F270" s="2898"/>
      <c r="G270" s="2899">
        <f t="shared" si="150"/>
        <v>0</v>
      </c>
      <c r="H270" s="2900">
        <f t="shared" si="151"/>
        <v>0</v>
      </c>
      <c r="I270" s="2918"/>
      <c r="J270" s="2918"/>
      <c r="K270" s="2918"/>
      <c r="L270" s="2918"/>
      <c r="M270" s="2918"/>
      <c r="N270" s="2918"/>
      <c r="O270" s="2918"/>
      <c r="P270" s="2918"/>
      <c r="Q270" s="2918"/>
      <c r="R270" s="2918"/>
      <c r="S270" s="2918"/>
      <c r="T270" s="2918"/>
      <c r="U270" s="2918"/>
      <c r="V270" s="2918"/>
      <c r="W270" s="2918"/>
      <c r="X270" s="2918"/>
      <c r="Y270" s="2918"/>
      <c r="Z270" s="2918"/>
      <c r="AA270" s="2918"/>
      <c r="AB270" s="2918"/>
      <c r="AC270" s="2897">
        <f t="shared" si="152"/>
        <v>0</v>
      </c>
      <c r="AD270" s="2929"/>
      <c r="AE270" s="2929"/>
      <c r="AF270" s="2929"/>
      <c r="AG270" s="2929"/>
      <c r="AH270" s="2929"/>
      <c r="AI270" s="2929"/>
      <c r="AJ270" s="2929"/>
      <c r="AK270" s="2929"/>
      <c r="AL270" s="2929"/>
      <c r="AM270" s="2929"/>
      <c r="AN270" s="2929"/>
      <c r="AO270" s="2929"/>
      <c r="AP270" s="2929"/>
      <c r="AQ270" s="2929"/>
      <c r="AR270" s="2929"/>
      <c r="AS270" s="2929"/>
      <c r="AT270" s="2949"/>
      <c r="AU270" s="2950"/>
      <c r="AV270" s="454">
        <f t="shared" si="153"/>
        <v>0</v>
      </c>
      <c r="AW270" s="454">
        <f t="shared" si="154"/>
        <v>0</v>
      </c>
      <c r="AX270" s="454">
        <f t="shared" si="155"/>
        <v>0</v>
      </c>
      <c r="AY270" s="2966">
        <f t="shared" si="156"/>
        <v>0</v>
      </c>
      <c r="AZ270" s="2897">
        <f t="shared" si="157"/>
        <v>0</v>
      </c>
      <c r="BA270" s="2897">
        <f t="shared" si="158"/>
        <v>0</v>
      </c>
      <c r="BB270" s="2897">
        <f t="shared" si="159"/>
        <v>0</v>
      </c>
      <c r="BC270" s="2897">
        <f t="shared" si="160"/>
        <v>0</v>
      </c>
      <c r="BD270" s="2897">
        <f t="shared" si="161"/>
        <v>0</v>
      </c>
      <c r="BE270" s="2897">
        <f t="shared" si="162"/>
        <v>0</v>
      </c>
      <c r="BF270" s="2897">
        <f t="shared" si="163"/>
        <v>0</v>
      </c>
      <c r="BG270" s="2897">
        <f t="shared" si="164"/>
        <v>0</v>
      </c>
      <c r="BH270" s="2897">
        <f t="shared" si="165"/>
        <v>0</v>
      </c>
      <c r="BI270" s="2897">
        <f t="shared" si="166"/>
        <v>0</v>
      </c>
      <c r="BJ270" s="2897">
        <f t="shared" si="167"/>
        <v>0</v>
      </c>
      <c r="BK270" s="2897">
        <f t="shared" si="168"/>
        <v>0</v>
      </c>
      <c r="BL270" s="2897">
        <f t="shared" si="169"/>
        <v>0</v>
      </c>
      <c r="BM270" s="2897">
        <f t="shared" si="170"/>
        <v>0</v>
      </c>
      <c r="BN270" s="2897">
        <f t="shared" si="171"/>
        <v>0</v>
      </c>
      <c r="BO270" s="2897">
        <f t="shared" si="172"/>
        <v>0</v>
      </c>
      <c r="BP270" s="2897">
        <f t="shared" si="173"/>
        <v>0</v>
      </c>
      <c r="BQ270" s="2897">
        <f t="shared" si="174"/>
        <v>0</v>
      </c>
      <c r="BR270" s="2897">
        <f t="shared" si="175"/>
        <v>0</v>
      </c>
      <c r="BS270" s="2897">
        <f t="shared" si="176"/>
        <v>0</v>
      </c>
      <c r="BT270" s="2971">
        <f t="shared" si="177"/>
        <v>0</v>
      </c>
    </row>
    <row r="271" spans="1:72">
      <c r="A271" s="2894"/>
      <c r="B271" s="2895"/>
      <c r="C271" s="2895"/>
      <c r="D271" s="2907"/>
      <c r="E271" s="2897">
        <f t="shared" si="149"/>
        <v>0</v>
      </c>
      <c r="F271" s="2898"/>
      <c r="G271" s="2899">
        <f t="shared" si="150"/>
        <v>0</v>
      </c>
      <c r="H271" s="2900">
        <f t="shared" si="151"/>
        <v>0</v>
      </c>
      <c r="I271" s="2918"/>
      <c r="J271" s="2918"/>
      <c r="K271" s="2918"/>
      <c r="L271" s="2918"/>
      <c r="M271" s="2918"/>
      <c r="N271" s="2918"/>
      <c r="O271" s="2918"/>
      <c r="P271" s="2918"/>
      <c r="Q271" s="2918"/>
      <c r="R271" s="2918"/>
      <c r="S271" s="2918"/>
      <c r="T271" s="2918"/>
      <c r="U271" s="2918"/>
      <c r="V271" s="2918"/>
      <c r="W271" s="2918"/>
      <c r="X271" s="2918"/>
      <c r="Y271" s="2918"/>
      <c r="Z271" s="2918"/>
      <c r="AA271" s="2918"/>
      <c r="AB271" s="2918"/>
      <c r="AC271" s="2897">
        <f t="shared" si="152"/>
        <v>0</v>
      </c>
      <c r="AD271" s="2929"/>
      <c r="AE271" s="2929"/>
      <c r="AF271" s="2929"/>
      <c r="AG271" s="2929"/>
      <c r="AH271" s="2929"/>
      <c r="AI271" s="2929"/>
      <c r="AJ271" s="2929"/>
      <c r="AK271" s="2929"/>
      <c r="AL271" s="2929"/>
      <c r="AM271" s="2929"/>
      <c r="AN271" s="2929"/>
      <c r="AO271" s="2929"/>
      <c r="AP271" s="2929"/>
      <c r="AQ271" s="2929"/>
      <c r="AR271" s="2929"/>
      <c r="AS271" s="2929"/>
      <c r="AT271" s="2949"/>
      <c r="AU271" s="2950"/>
      <c r="AV271" s="454">
        <f t="shared" si="153"/>
        <v>0</v>
      </c>
      <c r="AW271" s="454">
        <f t="shared" si="154"/>
        <v>0</v>
      </c>
      <c r="AX271" s="454">
        <f t="shared" si="155"/>
        <v>0</v>
      </c>
      <c r="AY271" s="2966">
        <f t="shared" si="156"/>
        <v>0</v>
      </c>
      <c r="AZ271" s="2897">
        <f t="shared" si="157"/>
        <v>0</v>
      </c>
      <c r="BA271" s="2897">
        <f t="shared" si="158"/>
        <v>0</v>
      </c>
      <c r="BB271" s="2897">
        <f t="shared" si="159"/>
        <v>0</v>
      </c>
      <c r="BC271" s="2897">
        <f t="shared" si="160"/>
        <v>0</v>
      </c>
      <c r="BD271" s="2897">
        <f t="shared" si="161"/>
        <v>0</v>
      </c>
      <c r="BE271" s="2897">
        <f t="shared" si="162"/>
        <v>0</v>
      </c>
      <c r="BF271" s="2897">
        <f t="shared" si="163"/>
        <v>0</v>
      </c>
      <c r="BG271" s="2897">
        <f t="shared" si="164"/>
        <v>0</v>
      </c>
      <c r="BH271" s="2897">
        <f t="shared" si="165"/>
        <v>0</v>
      </c>
      <c r="BI271" s="2897">
        <f t="shared" si="166"/>
        <v>0</v>
      </c>
      <c r="BJ271" s="2897">
        <f t="shared" si="167"/>
        <v>0</v>
      </c>
      <c r="BK271" s="2897">
        <f t="shared" si="168"/>
        <v>0</v>
      </c>
      <c r="BL271" s="2897">
        <f t="shared" si="169"/>
        <v>0</v>
      </c>
      <c r="BM271" s="2897">
        <f t="shared" si="170"/>
        <v>0</v>
      </c>
      <c r="BN271" s="2897">
        <f t="shared" si="171"/>
        <v>0</v>
      </c>
      <c r="BO271" s="2897">
        <f t="shared" si="172"/>
        <v>0</v>
      </c>
      <c r="BP271" s="2897">
        <f t="shared" si="173"/>
        <v>0</v>
      </c>
      <c r="BQ271" s="2897">
        <f t="shared" si="174"/>
        <v>0</v>
      </c>
      <c r="BR271" s="2897">
        <f t="shared" si="175"/>
        <v>0</v>
      </c>
      <c r="BS271" s="2897">
        <f t="shared" si="176"/>
        <v>0</v>
      </c>
      <c r="BT271" s="2971">
        <f t="shared" si="177"/>
        <v>0</v>
      </c>
    </row>
    <row r="272" spans="1:72">
      <c r="A272" s="2894"/>
      <c r="B272" s="2895"/>
      <c r="C272" s="2895"/>
      <c r="D272" s="2907"/>
      <c r="E272" s="2897">
        <f t="shared" si="149"/>
        <v>0</v>
      </c>
      <c r="F272" s="2898"/>
      <c r="G272" s="2899">
        <f t="shared" si="150"/>
        <v>0</v>
      </c>
      <c r="H272" s="2900">
        <f t="shared" si="151"/>
        <v>0</v>
      </c>
      <c r="I272" s="2918"/>
      <c r="J272" s="2918"/>
      <c r="K272" s="2918"/>
      <c r="L272" s="2918"/>
      <c r="M272" s="2918"/>
      <c r="N272" s="2918"/>
      <c r="O272" s="2918"/>
      <c r="P272" s="2918"/>
      <c r="Q272" s="2918"/>
      <c r="R272" s="2918"/>
      <c r="S272" s="2918"/>
      <c r="T272" s="2918"/>
      <c r="U272" s="2918"/>
      <c r="V272" s="2918"/>
      <c r="W272" s="2918"/>
      <c r="X272" s="2918"/>
      <c r="Y272" s="2918"/>
      <c r="Z272" s="2918"/>
      <c r="AA272" s="2918"/>
      <c r="AB272" s="2918"/>
      <c r="AC272" s="2897">
        <f t="shared" si="152"/>
        <v>0</v>
      </c>
      <c r="AD272" s="2929"/>
      <c r="AE272" s="2929"/>
      <c r="AF272" s="2929"/>
      <c r="AG272" s="2929"/>
      <c r="AH272" s="2929"/>
      <c r="AI272" s="2929"/>
      <c r="AJ272" s="2929"/>
      <c r="AK272" s="2929"/>
      <c r="AL272" s="2929"/>
      <c r="AM272" s="2929"/>
      <c r="AN272" s="2929"/>
      <c r="AO272" s="2929"/>
      <c r="AP272" s="2929"/>
      <c r="AQ272" s="2929"/>
      <c r="AR272" s="2929"/>
      <c r="AS272" s="2929"/>
      <c r="AT272" s="2949"/>
      <c r="AU272" s="2950"/>
      <c r="AV272" s="454">
        <f t="shared" si="153"/>
        <v>0</v>
      </c>
      <c r="AW272" s="454">
        <f t="shared" si="154"/>
        <v>0</v>
      </c>
      <c r="AX272" s="454">
        <f t="shared" si="155"/>
        <v>0</v>
      </c>
      <c r="AY272" s="2966">
        <f t="shared" si="156"/>
        <v>0</v>
      </c>
      <c r="AZ272" s="2897">
        <f t="shared" si="157"/>
        <v>0</v>
      </c>
      <c r="BA272" s="2897">
        <f t="shared" si="158"/>
        <v>0</v>
      </c>
      <c r="BB272" s="2897">
        <f t="shared" si="159"/>
        <v>0</v>
      </c>
      <c r="BC272" s="2897">
        <f t="shared" si="160"/>
        <v>0</v>
      </c>
      <c r="BD272" s="2897">
        <f t="shared" si="161"/>
        <v>0</v>
      </c>
      <c r="BE272" s="2897">
        <f t="shared" si="162"/>
        <v>0</v>
      </c>
      <c r="BF272" s="2897">
        <f t="shared" si="163"/>
        <v>0</v>
      </c>
      <c r="BG272" s="2897">
        <f t="shared" si="164"/>
        <v>0</v>
      </c>
      <c r="BH272" s="2897">
        <f t="shared" si="165"/>
        <v>0</v>
      </c>
      <c r="BI272" s="2897">
        <f t="shared" si="166"/>
        <v>0</v>
      </c>
      <c r="BJ272" s="2897">
        <f t="shared" si="167"/>
        <v>0</v>
      </c>
      <c r="BK272" s="2897">
        <f t="shared" si="168"/>
        <v>0</v>
      </c>
      <c r="BL272" s="2897">
        <f t="shared" si="169"/>
        <v>0</v>
      </c>
      <c r="BM272" s="2897">
        <f t="shared" si="170"/>
        <v>0</v>
      </c>
      <c r="BN272" s="2897">
        <f t="shared" si="171"/>
        <v>0</v>
      </c>
      <c r="BO272" s="2897">
        <f t="shared" si="172"/>
        <v>0</v>
      </c>
      <c r="BP272" s="2897">
        <f t="shared" si="173"/>
        <v>0</v>
      </c>
      <c r="BQ272" s="2897">
        <f t="shared" si="174"/>
        <v>0</v>
      </c>
      <c r="BR272" s="2897">
        <f t="shared" si="175"/>
        <v>0</v>
      </c>
      <c r="BS272" s="2897">
        <f t="shared" si="176"/>
        <v>0</v>
      </c>
      <c r="BT272" s="2971">
        <f t="shared" si="177"/>
        <v>0</v>
      </c>
    </row>
    <row r="273" spans="1:72">
      <c r="A273" s="2894"/>
      <c r="B273" s="2895"/>
      <c r="C273" s="2895"/>
      <c r="D273" s="2907"/>
      <c r="E273" s="2897">
        <f t="shared" si="149"/>
        <v>0</v>
      </c>
      <c r="F273" s="2898"/>
      <c r="G273" s="2899">
        <f t="shared" si="150"/>
        <v>0</v>
      </c>
      <c r="H273" s="2900">
        <f t="shared" si="151"/>
        <v>0</v>
      </c>
      <c r="I273" s="2918"/>
      <c r="J273" s="2918"/>
      <c r="K273" s="2918"/>
      <c r="L273" s="2918"/>
      <c r="M273" s="2918"/>
      <c r="N273" s="2918"/>
      <c r="O273" s="2918"/>
      <c r="P273" s="2918"/>
      <c r="Q273" s="2918"/>
      <c r="R273" s="2918"/>
      <c r="S273" s="2918"/>
      <c r="T273" s="2918"/>
      <c r="U273" s="2918"/>
      <c r="V273" s="2918"/>
      <c r="W273" s="2918"/>
      <c r="X273" s="2918"/>
      <c r="Y273" s="2918"/>
      <c r="Z273" s="2918"/>
      <c r="AA273" s="2918"/>
      <c r="AB273" s="2918"/>
      <c r="AC273" s="2897">
        <f t="shared" si="152"/>
        <v>0</v>
      </c>
      <c r="AD273" s="2929"/>
      <c r="AE273" s="2929"/>
      <c r="AF273" s="2929"/>
      <c r="AG273" s="2929"/>
      <c r="AH273" s="2929"/>
      <c r="AI273" s="2929"/>
      <c r="AJ273" s="2929"/>
      <c r="AK273" s="2929"/>
      <c r="AL273" s="2929"/>
      <c r="AM273" s="2929"/>
      <c r="AN273" s="2929"/>
      <c r="AO273" s="2929"/>
      <c r="AP273" s="2929"/>
      <c r="AQ273" s="2929"/>
      <c r="AR273" s="2929"/>
      <c r="AS273" s="2929"/>
      <c r="AT273" s="2949"/>
      <c r="AU273" s="2950"/>
      <c r="AV273" s="454">
        <f t="shared" si="153"/>
        <v>0</v>
      </c>
      <c r="AW273" s="454">
        <f t="shared" si="154"/>
        <v>0</v>
      </c>
      <c r="AX273" s="454">
        <f t="shared" si="155"/>
        <v>0</v>
      </c>
      <c r="AY273" s="2966">
        <f t="shared" si="156"/>
        <v>0</v>
      </c>
      <c r="AZ273" s="2897">
        <f t="shared" si="157"/>
        <v>0</v>
      </c>
      <c r="BA273" s="2897">
        <f t="shared" si="158"/>
        <v>0</v>
      </c>
      <c r="BB273" s="2897">
        <f t="shared" si="159"/>
        <v>0</v>
      </c>
      <c r="BC273" s="2897">
        <f t="shared" si="160"/>
        <v>0</v>
      </c>
      <c r="BD273" s="2897">
        <f t="shared" si="161"/>
        <v>0</v>
      </c>
      <c r="BE273" s="2897">
        <f t="shared" si="162"/>
        <v>0</v>
      </c>
      <c r="BF273" s="2897">
        <f t="shared" si="163"/>
        <v>0</v>
      </c>
      <c r="BG273" s="2897">
        <f t="shared" si="164"/>
        <v>0</v>
      </c>
      <c r="BH273" s="2897">
        <f t="shared" si="165"/>
        <v>0</v>
      </c>
      <c r="BI273" s="2897">
        <f t="shared" si="166"/>
        <v>0</v>
      </c>
      <c r="BJ273" s="2897">
        <f t="shared" si="167"/>
        <v>0</v>
      </c>
      <c r="BK273" s="2897">
        <f t="shared" si="168"/>
        <v>0</v>
      </c>
      <c r="BL273" s="2897">
        <f t="shared" si="169"/>
        <v>0</v>
      </c>
      <c r="BM273" s="2897">
        <f t="shared" si="170"/>
        <v>0</v>
      </c>
      <c r="BN273" s="2897">
        <f t="shared" si="171"/>
        <v>0</v>
      </c>
      <c r="BO273" s="2897">
        <f t="shared" si="172"/>
        <v>0</v>
      </c>
      <c r="BP273" s="2897">
        <f t="shared" si="173"/>
        <v>0</v>
      </c>
      <c r="BQ273" s="2897">
        <f t="shared" si="174"/>
        <v>0</v>
      </c>
      <c r="BR273" s="2897">
        <f t="shared" si="175"/>
        <v>0</v>
      </c>
      <c r="BS273" s="2897">
        <f t="shared" si="176"/>
        <v>0</v>
      </c>
      <c r="BT273" s="2971">
        <f t="shared" si="177"/>
        <v>0</v>
      </c>
    </row>
    <row r="274" spans="1:72">
      <c r="A274" s="2894"/>
      <c r="B274" s="2895"/>
      <c r="C274" s="2895"/>
      <c r="D274" s="2907"/>
      <c r="E274" s="2897">
        <f t="shared" si="149"/>
        <v>0</v>
      </c>
      <c r="F274" s="2898"/>
      <c r="G274" s="2899">
        <f t="shared" si="150"/>
        <v>0</v>
      </c>
      <c r="H274" s="2900">
        <f t="shared" si="151"/>
        <v>0</v>
      </c>
      <c r="I274" s="2918"/>
      <c r="J274" s="2918"/>
      <c r="K274" s="2918"/>
      <c r="L274" s="2918"/>
      <c r="M274" s="2918"/>
      <c r="N274" s="2918"/>
      <c r="O274" s="2918"/>
      <c r="P274" s="2918"/>
      <c r="Q274" s="2918"/>
      <c r="R274" s="2918"/>
      <c r="S274" s="2918"/>
      <c r="T274" s="2918"/>
      <c r="U274" s="2918"/>
      <c r="V274" s="2918"/>
      <c r="W274" s="2918"/>
      <c r="X274" s="2918"/>
      <c r="Y274" s="2918"/>
      <c r="Z274" s="2918"/>
      <c r="AA274" s="2918"/>
      <c r="AB274" s="2918"/>
      <c r="AC274" s="2897">
        <f t="shared" si="152"/>
        <v>0</v>
      </c>
      <c r="AD274" s="2929"/>
      <c r="AE274" s="2929"/>
      <c r="AF274" s="2929"/>
      <c r="AG274" s="2929"/>
      <c r="AH274" s="2929"/>
      <c r="AI274" s="2929"/>
      <c r="AJ274" s="2929"/>
      <c r="AK274" s="2929"/>
      <c r="AL274" s="2929"/>
      <c r="AM274" s="2929"/>
      <c r="AN274" s="2929"/>
      <c r="AO274" s="2929"/>
      <c r="AP274" s="2929"/>
      <c r="AQ274" s="2929"/>
      <c r="AR274" s="2929"/>
      <c r="AS274" s="2929"/>
      <c r="AT274" s="2949"/>
      <c r="AU274" s="2950"/>
      <c r="AV274" s="454">
        <f t="shared" si="153"/>
        <v>0</v>
      </c>
      <c r="AW274" s="454">
        <f t="shared" si="154"/>
        <v>0</v>
      </c>
      <c r="AX274" s="454">
        <f t="shared" si="155"/>
        <v>0</v>
      </c>
      <c r="AY274" s="2966">
        <f t="shared" si="156"/>
        <v>0</v>
      </c>
      <c r="AZ274" s="2897">
        <f t="shared" si="157"/>
        <v>0</v>
      </c>
      <c r="BA274" s="2897">
        <f t="shared" si="158"/>
        <v>0</v>
      </c>
      <c r="BB274" s="2897">
        <f t="shared" si="159"/>
        <v>0</v>
      </c>
      <c r="BC274" s="2897">
        <f t="shared" si="160"/>
        <v>0</v>
      </c>
      <c r="BD274" s="2897">
        <f t="shared" si="161"/>
        <v>0</v>
      </c>
      <c r="BE274" s="2897">
        <f t="shared" si="162"/>
        <v>0</v>
      </c>
      <c r="BF274" s="2897">
        <f t="shared" si="163"/>
        <v>0</v>
      </c>
      <c r="BG274" s="2897">
        <f t="shared" si="164"/>
        <v>0</v>
      </c>
      <c r="BH274" s="2897">
        <f t="shared" si="165"/>
        <v>0</v>
      </c>
      <c r="BI274" s="2897">
        <f t="shared" si="166"/>
        <v>0</v>
      </c>
      <c r="BJ274" s="2897">
        <f t="shared" si="167"/>
        <v>0</v>
      </c>
      <c r="BK274" s="2897">
        <f t="shared" si="168"/>
        <v>0</v>
      </c>
      <c r="BL274" s="2897">
        <f t="shared" si="169"/>
        <v>0</v>
      </c>
      <c r="BM274" s="2897">
        <f t="shared" si="170"/>
        <v>0</v>
      </c>
      <c r="BN274" s="2897">
        <f t="shared" si="171"/>
        <v>0</v>
      </c>
      <c r="BO274" s="2897">
        <f t="shared" si="172"/>
        <v>0</v>
      </c>
      <c r="BP274" s="2897">
        <f t="shared" si="173"/>
        <v>0</v>
      </c>
      <c r="BQ274" s="2897">
        <f t="shared" si="174"/>
        <v>0</v>
      </c>
      <c r="BR274" s="2897">
        <f t="shared" si="175"/>
        <v>0</v>
      </c>
      <c r="BS274" s="2897">
        <f t="shared" si="176"/>
        <v>0</v>
      </c>
      <c r="BT274" s="2971">
        <f t="shared" si="177"/>
        <v>0</v>
      </c>
    </row>
    <row r="275" spans="1:72">
      <c r="A275" s="2894"/>
      <c r="B275" s="2895"/>
      <c r="C275" s="2895"/>
      <c r="D275" s="2907"/>
      <c r="E275" s="2897">
        <f t="shared" si="149"/>
        <v>0</v>
      </c>
      <c r="F275" s="2898"/>
      <c r="G275" s="2899">
        <f t="shared" si="150"/>
        <v>0</v>
      </c>
      <c r="H275" s="2900">
        <f t="shared" si="151"/>
        <v>0</v>
      </c>
      <c r="I275" s="2918"/>
      <c r="J275" s="2918"/>
      <c r="K275" s="2918"/>
      <c r="L275" s="2918"/>
      <c r="M275" s="2918"/>
      <c r="N275" s="2918"/>
      <c r="O275" s="2918"/>
      <c r="P275" s="2918"/>
      <c r="Q275" s="2918"/>
      <c r="R275" s="2918"/>
      <c r="S275" s="2918"/>
      <c r="T275" s="2918"/>
      <c r="U275" s="2918"/>
      <c r="V275" s="2918"/>
      <c r="W275" s="2918"/>
      <c r="X275" s="2918"/>
      <c r="Y275" s="2918"/>
      <c r="Z275" s="2918"/>
      <c r="AA275" s="2918"/>
      <c r="AB275" s="2918"/>
      <c r="AC275" s="2897">
        <f t="shared" si="152"/>
        <v>0</v>
      </c>
      <c r="AD275" s="2929"/>
      <c r="AE275" s="2929"/>
      <c r="AF275" s="2929"/>
      <c r="AG275" s="2929"/>
      <c r="AH275" s="2929"/>
      <c r="AI275" s="2929"/>
      <c r="AJ275" s="2929"/>
      <c r="AK275" s="2929"/>
      <c r="AL275" s="2929"/>
      <c r="AM275" s="2929"/>
      <c r="AN275" s="2929"/>
      <c r="AO275" s="2929"/>
      <c r="AP275" s="2929"/>
      <c r="AQ275" s="2929"/>
      <c r="AR275" s="2929"/>
      <c r="AS275" s="2929"/>
      <c r="AT275" s="2949"/>
      <c r="AU275" s="2950"/>
      <c r="AV275" s="454">
        <f t="shared" si="153"/>
        <v>0</v>
      </c>
      <c r="AW275" s="454">
        <f t="shared" si="154"/>
        <v>0</v>
      </c>
      <c r="AX275" s="454">
        <f t="shared" si="155"/>
        <v>0</v>
      </c>
      <c r="AY275" s="2966">
        <f t="shared" si="156"/>
        <v>0</v>
      </c>
      <c r="AZ275" s="2897">
        <f t="shared" si="157"/>
        <v>0</v>
      </c>
      <c r="BA275" s="2897">
        <f t="shared" si="158"/>
        <v>0</v>
      </c>
      <c r="BB275" s="2897">
        <f t="shared" si="159"/>
        <v>0</v>
      </c>
      <c r="BC275" s="2897">
        <f t="shared" si="160"/>
        <v>0</v>
      </c>
      <c r="BD275" s="2897">
        <f t="shared" si="161"/>
        <v>0</v>
      </c>
      <c r="BE275" s="2897">
        <f t="shared" si="162"/>
        <v>0</v>
      </c>
      <c r="BF275" s="2897">
        <f t="shared" si="163"/>
        <v>0</v>
      </c>
      <c r="BG275" s="2897">
        <f t="shared" si="164"/>
        <v>0</v>
      </c>
      <c r="BH275" s="2897">
        <f t="shared" si="165"/>
        <v>0</v>
      </c>
      <c r="BI275" s="2897">
        <f t="shared" si="166"/>
        <v>0</v>
      </c>
      <c r="BJ275" s="2897">
        <f t="shared" si="167"/>
        <v>0</v>
      </c>
      <c r="BK275" s="2897">
        <f t="shared" si="168"/>
        <v>0</v>
      </c>
      <c r="BL275" s="2897">
        <f t="shared" si="169"/>
        <v>0</v>
      </c>
      <c r="BM275" s="2897">
        <f t="shared" si="170"/>
        <v>0</v>
      </c>
      <c r="BN275" s="2897">
        <f t="shared" si="171"/>
        <v>0</v>
      </c>
      <c r="BO275" s="2897">
        <f t="shared" si="172"/>
        <v>0</v>
      </c>
      <c r="BP275" s="2897">
        <f t="shared" si="173"/>
        <v>0</v>
      </c>
      <c r="BQ275" s="2897">
        <f t="shared" si="174"/>
        <v>0</v>
      </c>
      <c r="BR275" s="2897">
        <f t="shared" si="175"/>
        <v>0</v>
      </c>
      <c r="BS275" s="2897">
        <f t="shared" si="176"/>
        <v>0</v>
      </c>
      <c r="BT275" s="2971">
        <f t="shared" si="177"/>
        <v>0</v>
      </c>
    </row>
    <row r="276" spans="1:72">
      <c r="A276" s="2894"/>
      <c r="B276" s="2895"/>
      <c r="C276" s="2895"/>
      <c r="D276" s="2907"/>
      <c r="E276" s="2897">
        <f t="shared" si="149"/>
        <v>0</v>
      </c>
      <c r="F276" s="2898"/>
      <c r="G276" s="2899">
        <f t="shared" si="150"/>
        <v>0</v>
      </c>
      <c r="H276" s="2900">
        <f t="shared" si="151"/>
        <v>0</v>
      </c>
      <c r="I276" s="2918"/>
      <c r="J276" s="2918"/>
      <c r="K276" s="2918"/>
      <c r="L276" s="2918"/>
      <c r="M276" s="2918"/>
      <c r="N276" s="2918"/>
      <c r="O276" s="2918"/>
      <c r="P276" s="2918"/>
      <c r="Q276" s="2918"/>
      <c r="R276" s="2918"/>
      <c r="S276" s="2918"/>
      <c r="T276" s="2918"/>
      <c r="U276" s="2918"/>
      <c r="V276" s="2918"/>
      <c r="W276" s="2918"/>
      <c r="X276" s="2918"/>
      <c r="Y276" s="2918"/>
      <c r="Z276" s="2918"/>
      <c r="AA276" s="2918"/>
      <c r="AB276" s="2918"/>
      <c r="AC276" s="2897">
        <f t="shared" si="152"/>
        <v>0</v>
      </c>
      <c r="AD276" s="2929"/>
      <c r="AE276" s="2929"/>
      <c r="AF276" s="2929"/>
      <c r="AG276" s="2929"/>
      <c r="AH276" s="2929"/>
      <c r="AI276" s="2929"/>
      <c r="AJ276" s="2929"/>
      <c r="AK276" s="2929"/>
      <c r="AL276" s="2929"/>
      <c r="AM276" s="2929"/>
      <c r="AN276" s="2929"/>
      <c r="AO276" s="2929"/>
      <c r="AP276" s="2929"/>
      <c r="AQ276" s="2929"/>
      <c r="AR276" s="2929"/>
      <c r="AS276" s="2929"/>
      <c r="AT276" s="2949"/>
      <c r="AU276" s="2950"/>
      <c r="AV276" s="454">
        <f t="shared" si="153"/>
        <v>0</v>
      </c>
      <c r="AW276" s="454">
        <f t="shared" si="154"/>
        <v>0</v>
      </c>
      <c r="AX276" s="454">
        <f t="shared" si="155"/>
        <v>0</v>
      </c>
      <c r="AY276" s="2966">
        <f t="shared" si="156"/>
        <v>0</v>
      </c>
      <c r="AZ276" s="2897">
        <f t="shared" si="157"/>
        <v>0</v>
      </c>
      <c r="BA276" s="2897">
        <f t="shared" si="158"/>
        <v>0</v>
      </c>
      <c r="BB276" s="2897">
        <f t="shared" si="159"/>
        <v>0</v>
      </c>
      <c r="BC276" s="2897">
        <f t="shared" si="160"/>
        <v>0</v>
      </c>
      <c r="BD276" s="2897">
        <f t="shared" si="161"/>
        <v>0</v>
      </c>
      <c r="BE276" s="2897">
        <f t="shared" si="162"/>
        <v>0</v>
      </c>
      <c r="BF276" s="2897">
        <f t="shared" si="163"/>
        <v>0</v>
      </c>
      <c r="BG276" s="2897">
        <f t="shared" si="164"/>
        <v>0</v>
      </c>
      <c r="BH276" s="2897">
        <f t="shared" si="165"/>
        <v>0</v>
      </c>
      <c r="BI276" s="2897">
        <f t="shared" si="166"/>
        <v>0</v>
      </c>
      <c r="BJ276" s="2897">
        <f t="shared" si="167"/>
        <v>0</v>
      </c>
      <c r="BK276" s="2897">
        <f t="shared" si="168"/>
        <v>0</v>
      </c>
      <c r="BL276" s="2897">
        <f t="shared" si="169"/>
        <v>0</v>
      </c>
      <c r="BM276" s="2897">
        <f t="shared" si="170"/>
        <v>0</v>
      </c>
      <c r="BN276" s="2897">
        <f t="shared" si="171"/>
        <v>0</v>
      </c>
      <c r="BO276" s="2897">
        <f t="shared" si="172"/>
        <v>0</v>
      </c>
      <c r="BP276" s="2897">
        <f t="shared" si="173"/>
        <v>0</v>
      </c>
      <c r="BQ276" s="2897">
        <f t="shared" si="174"/>
        <v>0</v>
      </c>
      <c r="BR276" s="2897">
        <f t="shared" si="175"/>
        <v>0</v>
      </c>
      <c r="BS276" s="2897">
        <f t="shared" si="176"/>
        <v>0</v>
      </c>
      <c r="BT276" s="2971">
        <f t="shared" si="177"/>
        <v>0</v>
      </c>
    </row>
    <row r="277" spans="1:72">
      <c r="A277" s="2894"/>
      <c r="B277" s="2895"/>
      <c r="C277" s="2895"/>
      <c r="D277" s="2907"/>
      <c r="E277" s="2897">
        <f t="shared" si="149"/>
        <v>0</v>
      </c>
      <c r="F277" s="2898"/>
      <c r="G277" s="2899">
        <f t="shared" si="150"/>
        <v>0</v>
      </c>
      <c r="H277" s="2900">
        <f t="shared" si="151"/>
        <v>0</v>
      </c>
      <c r="I277" s="2918"/>
      <c r="J277" s="2918"/>
      <c r="K277" s="2918"/>
      <c r="L277" s="2918"/>
      <c r="M277" s="2918"/>
      <c r="N277" s="2918"/>
      <c r="O277" s="2918"/>
      <c r="P277" s="2918"/>
      <c r="Q277" s="2918"/>
      <c r="R277" s="2918"/>
      <c r="S277" s="2918"/>
      <c r="T277" s="2918"/>
      <c r="U277" s="2918"/>
      <c r="V277" s="2918"/>
      <c r="W277" s="2918"/>
      <c r="X277" s="2918"/>
      <c r="Y277" s="2918"/>
      <c r="Z277" s="2918"/>
      <c r="AA277" s="2918"/>
      <c r="AB277" s="2918"/>
      <c r="AC277" s="2897">
        <f t="shared" si="152"/>
        <v>0</v>
      </c>
      <c r="AD277" s="2929"/>
      <c r="AE277" s="2929"/>
      <c r="AF277" s="2929"/>
      <c r="AG277" s="2929"/>
      <c r="AH277" s="2929"/>
      <c r="AI277" s="2929"/>
      <c r="AJ277" s="2929"/>
      <c r="AK277" s="2929"/>
      <c r="AL277" s="2929"/>
      <c r="AM277" s="2929"/>
      <c r="AN277" s="2929"/>
      <c r="AO277" s="2929"/>
      <c r="AP277" s="2929"/>
      <c r="AQ277" s="2929"/>
      <c r="AR277" s="2929"/>
      <c r="AS277" s="2929"/>
      <c r="AT277" s="2949"/>
      <c r="AU277" s="2950"/>
      <c r="AV277" s="454">
        <f t="shared" si="153"/>
        <v>0</v>
      </c>
      <c r="AW277" s="454">
        <f t="shared" si="154"/>
        <v>0</v>
      </c>
      <c r="AX277" s="454">
        <f t="shared" si="155"/>
        <v>0</v>
      </c>
      <c r="AY277" s="2966">
        <f t="shared" si="156"/>
        <v>0</v>
      </c>
      <c r="AZ277" s="2897">
        <f t="shared" si="157"/>
        <v>0</v>
      </c>
      <c r="BA277" s="2897">
        <f t="shared" si="158"/>
        <v>0</v>
      </c>
      <c r="BB277" s="2897">
        <f t="shared" si="159"/>
        <v>0</v>
      </c>
      <c r="BC277" s="2897">
        <f t="shared" si="160"/>
        <v>0</v>
      </c>
      <c r="BD277" s="2897">
        <f t="shared" si="161"/>
        <v>0</v>
      </c>
      <c r="BE277" s="2897">
        <f t="shared" si="162"/>
        <v>0</v>
      </c>
      <c r="BF277" s="2897">
        <f t="shared" si="163"/>
        <v>0</v>
      </c>
      <c r="BG277" s="2897">
        <f t="shared" si="164"/>
        <v>0</v>
      </c>
      <c r="BH277" s="2897">
        <f t="shared" si="165"/>
        <v>0</v>
      </c>
      <c r="BI277" s="2897">
        <f t="shared" si="166"/>
        <v>0</v>
      </c>
      <c r="BJ277" s="2897">
        <f t="shared" si="167"/>
        <v>0</v>
      </c>
      <c r="BK277" s="2897">
        <f t="shared" si="168"/>
        <v>0</v>
      </c>
      <c r="BL277" s="2897">
        <f t="shared" si="169"/>
        <v>0</v>
      </c>
      <c r="BM277" s="2897">
        <f t="shared" si="170"/>
        <v>0</v>
      </c>
      <c r="BN277" s="2897">
        <f t="shared" si="171"/>
        <v>0</v>
      </c>
      <c r="BO277" s="2897">
        <f t="shared" si="172"/>
        <v>0</v>
      </c>
      <c r="BP277" s="2897">
        <f t="shared" si="173"/>
        <v>0</v>
      </c>
      <c r="BQ277" s="2897">
        <f t="shared" si="174"/>
        <v>0</v>
      </c>
      <c r="BR277" s="2897">
        <f t="shared" si="175"/>
        <v>0</v>
      </c>
      <c r="BS277" s="2897">
        <f t="shared" si="176"/>
        <v>0</v>
      </c>
      <c r="BT277" s="2971">
        <f t="shared" si="177"/>
        <v>0</v>
      </c>
    </row>
    <row r="278" spans="1:72">
      <c r="A278" s="2894"/>
      <c r="B278" s="2895"/>
      <c r="C278" s="2895"/>
      <c r="D278" s="2907"/>
      <c r="E278" s="2897">
        <f t="shared" si="149"/>
        <v>0</v>
      </c>
      <c r="F278" s="2898"/>
      <c r="G278" s="2899">
        <f t="shared" si="150"/>
        <v>0</v>
      </c>
      <c r="H278" s="2900">
        <f t="shared" si="151"/>
        <v>0</v>
      </c>
      <c r="I278" s="2918"/>
      <c r="J278" s="2918"/>
      <c r="K278" s="2918"/>
      <c r="L278" s="2918"/>
      <c r="M278" s="2918"/>
      <c r="N278" s="2918"/>
      <c r="O278" s="2918"/>
      <c r="P278" s="2918"/>
      <c r="Q278" s="2918"/>
      <c r="R278" s="2918"/>
      <c r="S278" s="2918"/>
      <c r="T278" s="2918"/>
      <c r="U278" s="2918"/>
      <c r="V278" s="2918"/>
      <c r="W278" s="2918"/>
      <c r="X278" s="2918"/>
      <c r="Y278" s="2918"/>
      <c r="Z278" s="2918"/>
      <c r="AA278" s="2918"/>
      <c r="AB278" s="2918"/>
      <c r="AC278" s="2897">
        <f t="shared" si="152"/>
        <v>0</v>
      </c>
      <c r="AD278" s="2929"/>
      <c r="AE278" s="2929"/>
      <c r="AF278" s="2929"/>
      <c r="AG278" s="2929"/>
      <c r="AH278" s="2929"/>
      <c r="AI278" s="2929"/>
      <c r="AJ278" s="2929"/>
      <c r="AK278" s="2929"/>
      <c r="AL278" s="2929"/>
      <c r="AM278" s="2929"/>
      <c r="AN278" s="2929"/>
      <c r="AO278" s="2929"/>
      <c r="AP278" s="2929"/>
      <c r="AQ278" s="2929"/>
      <c r="AR278" s="2929"/>
      <c r="AS278" s="2929"/>
      <c r="AT278" s="2949"/>
      <c r="AU278" s="2950"/>
      <c r="AV278" s="454">
        <f t="shared" si="153"/>
        <v>0</v>
      </c>
      <c r="AW278" s="454">
        <f t="shared" si="154"/>
        <v>0</v>
      </c>
      <c r="AX278" s="454">
        <f t="shared" si="155"/>
        <v>0</v>
      </c>
      <c r="AY278" s="2966">
        <f t="shared" si="156"/>
        <v>0</v>
      </c>
      <c r="AZ278" s="2897">
        <f t="shared" si="157"/>
        <v>0</v>
      </c>
      <c r="BA278" s="2897">
        <f t="shared" si="158"/>
        <v>0</v>
      </c>
      <c r="BB278" s="2897">
        <f t="shared" si="159"/>
        <v>0</v>
      </c>
      <c r="BC278" s="2897">
        <f t="shared" si="160"/>
        <v>0</v>
      </c>
      <c r="BD278" s="2897">
        <f t="shared" si="161"/>
        <v>0</v>
      </c>
      <c r="BE278" s="2897">
        <f t="shared" si="162"/>
        <v>0</v>
      </c>
      <c r="BF278" s="2897">
        <f t="shared" si="163"/>
        <v>0</v>
      </c>
      <c r="BG278" s="2897">
        <f t="shared" si="164"/>
        <v>0</v>
      </c>
      <c r="BH278" s="2897">
        <f t="shared" si="165"/>
        <v>0</v>
      </c>
      <c r="BI278" s="2897">
        <f t="shared" si="166"/>
        <v>0</v>
      </c>
      <c r="BJ278" s="2897">
        <f t="shared" si="167"/>
        <v>0</v>
      </c>
      <c r="BK278" s="2897">
        <f t="shared" si="168"/>
        <v>0</v>
      </c>
      <c r="BL278" s="2897">
        <f t="shared" si="169"/>
        <v>0</v>
      </c>
      <c r="BM278" s="2897">
        <f t="shared" si="170"/>
        <v>0</v>
      </c>
      <c r="BN278" s="2897">
        <f t="shared" si="171"/>
        <v>0</v>
      </c>
      <c r="BO278" s="2897">
        <f t="shared" si="172"/>
        <v>0</v>
      </c>
      <c r="BP278" s="2897">
        <f t="shared" si="173"/>
        <v>0</v>
      </c>
      <c r="BQ278" s="2897">
        <f t="shared" si="174"/>
        <v>0</v>
      </c>
      <c r="BR278" s="2897">
        <f t="shared" si="175"/>
        <v>0</v>
      </c>
      <c r="BS278" s="2897">
        <f t="shared" si="176"/>
        <v>0</v>
      </c>
      <c r="BT278" s="2971">
        <f t="shared" si="177"/>
        <v>0</v>
      </c>
    </row>
    <row r="279" spans="1:72">
      <c r="A279" s="2894"/>
      <c r="B279" s="2895"/>
      <c r="C279" s="2895"/>
      <c r="D279" s="2907"/>
      <c r="E279" s="2897">
        <f t="shared" si="149"/>
        <v>0</v>
      </c>
      <c r="F279" s="2898"/>
      <c r="G279" s="2899">
        <f t="shared" si="150"/>
        <v>0</v>
      </c>
      <c r="H279" s="2900">
        <f t="shared" si="151"/>
        <v>0</v>
      </c>
      <c r="I279" s="2918"/>
      <c r="J279" s="2918"/>
      <c r="K279" s="2918"/>
      <c r="L279" s="2918"/>
      <c r="M279" s="2918"/>
      <c r="N279" s="2918"/>
      <c r="O279" s="2918"/>
      <c r="P279" s="2918"/>
      <c r="Q279" s="2918"/>
      <c r="R279" s="2918"/>
      <c r="S279" s="2918"/>
      <c r="T279" s="2918"/>
      <c r="U279" s="2918"/>
      <c r="V279" s="2918"/>
      <c r="W279" s="2918"/>
      <c r="X279" s="2918"/>
      <c r="Y279" s="2918"/>
      <c r="Z279" s="2918"/>
      <c r="AA279" s="2918"/>
      <c r="AB279" s="2918"/>
      <c r="AC279" s="2897">
        <f t="shared" si="152"/>
        <v>0</v>
      </c>
      <c r="AD279" s="2929"/>
      <c r="AE279" s="2929"/>
      <c r="AF279" s="2929"/>
      <c r="AG279" s="2929"/>
      <c r="AH279" s="2929"/>
      <c r="AI279" s="2929"/>
      <c r="AJ279" s="2929"/>
      <c r="AK279" s="2929"/>
      <c r="AL279" s="2929"/>
      <c r="AM279" s="2929"/>
      <c r="AN279" s="2929"/>
      <c r="AO279" s="2929"/>
      <c r="AP279" s="2929"/>
      <c r="AQ279" s="2929"/>
      <c r="AR279" s="2929"/>
      <c r="AS279" s="2929"/>
      <c r="AT279" s="2949"/>
      <c r="AU279" s="2950"/>
      <c r="AV279" s="454">
        <f t="shared" si="153"/>
        <v>0</v>
      </c>
      <c r="AW279" s="454">
        <f t="shared" si="154"/>
        <v>0</v>
      </c>
      <c r="AX279" s="454">
        <f t="shared" si="155"/>
        <v>0</v>
      </c>
      <c r="AY279" s="2966">
        <f t="shared" si="156"/>
        <v>0</v>
      </c>
      <c r="AZ279" s="2897">
        <f t="shared" si="157"/>
        <v>0</v>
      </c>
      <c r="BA279" s="2897">
        <f t="shared" si="158"/>
        <v>0</v>
      </c>
      <c r="BB279" s="2897">
        <f t="shared" si="159"/>
        <v>0</v>
      </c>
      <c r="BC279" s="2897">
        <f t="shared" si="160"/>
        <v>0</v>
      </c>
      <c r="BD279" s="2897">
        <f t="shared" si="161"/>
        <v>0</v>
      </c>
      <c r="BE279" s="2897">
        <f t="shared" si="162"/>
        <v>0</v>
      </c>
      <c r="BF279" s="2897">
        <f t="shared" si="163"/>
        <v>0</v>
      </c>
      <c r="BG279" s="2897">
        <f t="shared" si="164"/>
        <v>0</v>
      </c>
      <c r="BH279" s="2897">
        <f t="shared" si="165"/>
        <v>0</v>
      </c>
      <c r="BI279" s="2897">
        <f t="shared" si="166"/>
        <v>0</v>
      </c>
      <c r="BJ279" s="2897">
        <f t="shared" si="167"/>
        <v>0</v>
      </c>
      <c r="BK279" s="2897">
        <f t="shared" si="168"/>
        <v>0</v>
      </c>
      <c r="BL279" s="2897">
        <f t="shared" si="169"/>
        <v>0</v>
      </c>
      <c r="BM279" s="2897">
        <f t="shared" si="170"/>
        <v>0</v>
      </c>
      <c r="BN279" s="2897">
        <f t="shared" si="171"/>
        <v>0</v>
      </c>
      <c r="BO279" s="2897">
        <f t="shared" si="172"/>
        <v>0</v>
      </c>
      <c r="BP279" s="2897">
        <f t="shared" si="173"/>
        <v>0</v>
      </c>
      <c r="BQ279" s="2897">
        <f t="shared" si="174"/>
        <v>0</v>
      </c>
      <c r="BR279" s="2897">
        <f t="shared" si="175"/>
        <v>0</v>
      </c>
      <c r="BS279" s="2897">
        <f t="shared" si="176"/>
        <v>0</v>
      </c>
      <c r="BT279" s="2971">
        <f t="shared" si="177"/>
        <v>0</v>
      </c>
    </row>
    <row r="280" spans="1:72">
      <c r="A280" s="2894"/>
      <c r="B280" s="2895"/>
      <c r="C280" s="2895"/>
      <c r="D280" s="2907"/>
      <c r="E280" s="2897">
        <f t="shared" si="149"/>
        <v>0</v>
      </c>
      <c r="F280" s="2898"/>
      <c r="G280" s="2899">
        <f t="shared" si="150"/>
        <v>0</v>
      </c>
      <c r="H280" s="2900">
        <f t="shared" si="151"/>
        <v>0</v>
      </c>
      <c r="I280" s="2918"/>
      <c r="J280" s="2918"/>
      <c r="K280" s="2918"/>
      <c r="L280" s="2918"/>
      <c r="M280" s="2918"/>
      <c r="N280" s="2918"/>
      <c r="O280" s="2918"/>
      <c r="P280" s="2918"/>
      <c r="Q280" s="2918"/>
      <c r="R280" s="2918"/>
      <c r="S280" s="2918"/>
      <c r="T280" s="2918"/>
      <c r="U280" s="2918"/>
      <c r="V280" s="2918"/>
      <c r="W280" s="2918"/>
      <c r="X280" s="2918"/>
      <c r="Y280" s="2918"/>
      <c r="Z280" s="2918"/>
      <c r="AA280" s="2918"/>
      <c r="AB280" s="2918"/>
      <c r="AC280" s="2897">
        <f t="shared" si="152"/>
        <v>0</v>
      </c>
      <c r="AD280" s="2929"/>
      <c r="AE280" s="2929"/>
      <c r="AF280" s="2929"/>
      <c r="AG280" s="2929"/>
      <c r="AH280" s="2929"/>
      <c r="AI280" s="2929"/>
      <c r="AJ280" s="2929"/>
      <c r="AK280" s="2929"/>
      <c r="AL280" s="2929"/>
      <c r="AM280" s="2929"/>
      <c r="AN280" s="2929"/>
      <c r="AO280" s="2929"/>
      <c r="AP280" s="2929"/>
      <c r="AQ280" s="2929"/>
      <c r="AR280" s="2929"/>
      <c r="AS280" s="2929"/>
      <c r="AT280" s="2949"/>
      <c r="AU280" s="2950"/>
      <c r="AV280" s="454">
        <f t="shared" si="153"/>
        <v>0</v>
      </c>
      <c r="AW280" s="454">
        <f t="shared" si="154"/>
        <v>0</v>
      </c>
      <c r="AX280" s="454">
        <f t="shared" si="155"/>
        <v>0</v>
      </c>
      <c r="AY280" s="2966">
        <f t="shared" si="156"/>
        <v>0</v>
      </c>
      <c r="AZ280" s="2897">
        <f t="shared" si="157"/>
        <v>0</v>
      </c>
      <c r="BA280" s="2897">
        <f t="shared" si="158"/>
        <v>0</v>
      </c>
      <c r="BB280" s="2897">
        <f t="shared" si="159"/>
        <v>0</v>
      </c>
      <c r="BC280" s="2897">
        <f t="shared" si="160"/>
        <v>0</v>
      </c>
      <c r="BD280" s="2897">
        <f t="shared" si="161"/>
        <v>0</v>
      </c>
      <c r="BE280" s="2897">
        <f t="shared" si="162"/>
        <v>0</v>
      </c>
      <c r="BF280" s="2897">
        <f t="shared" si="163"/>
        <v>0</v>
      </c>
      <c r="BG280" s="2897">
        <f t="shared" si="164"/>
        <v>0</v>
      </c>
      <c r="BH280" s="2897">
        <f t="shared" si="165"/>
        <v>0</v>
      </c>
      <c r="BI280" s="2897">
        <f t="shared" si="166"/>
        <v>0</v>
      </c>
      <c r="BJ280" s="2897">
        <f t="shared" si="167"/>
        <v>0</v>
      </c>
      <c r="BK280" s="2897">
        <f t="shared" si="168"/>
        <v>0</v>
      </c>
      <c r="BL280" s="2897">
        <f t="shared" si="169"/>
        <v>0</v>
      </c>
      <c r="BM280" s="2897">
        <f t="shared" si="170"/>
        <v>0</v>
      </c>
      <c r="BN280" s="2897">
        <f t="shared" si="171"/>
        <v>0</v>
      </c>
      <c r="BO280" s="2897">
        <f t="shared" si="172"/>
        <v>0</v>
      </c>
      <c r="BP280" s="2897">
        <f t="shared" si="173"/>
        <v>0</v>
      </c>
      <c r="BQ280" s="2897">
        <f t="shared" si="174"/>
        <v>0</v>
      </c>
      <c r="BR280" s="2897">
        <f t="shared" si="175"/>
        <v>0</v>
      </c>
      <c r="BS280" s="2897">
        <f t="shared" si="176"/>
        <v>0</v>
      </c>
      <c r="BT280" s="2971">
        <f t="shared" si="177"/>
        <v>0</v>
      </c>
    </row>
    <row r="281" spans="1:72">
      <c r="A281" s="2894"/>
      <c r="B281" s="2895"/>
      <c r="C281" s="2895"/>
      <c r="D281" s="2907"/>
      <c r="E281" s="2897">
        <f t="shared" si="149"/>
        <v>0</v>
      </c>
      <c r="F281" s="2898"/>
      <c r="G281" s="2899">
        <f t="shared" si="150"/>
        <v>0</v>
      </c>
      <c r="H281" s="2900">
        <f t="shared" si="151"/>
        <v>0</v>
      </c>
      <c r="I281" s="2918"/>
      <c r="J281" s="2918"/>
      <c r="K281" s="2918"/>
      <c r="L281" s="2918"/>
      <c r="M281" s="2918"/>
      <c r="N281" s="2918"/>
      <c r="O281" s="2918"/>
      <c r="P281" s="2918"/>
      <c r="Q281" s="2918"/>
      <c r="R281" s="2918"/>
      <c r="S281" s="2918"/>
      <c r="T281" s="2918"/>
      <c r="U281" s="2918"/>
      <c r="V281" s="2918"/>
      <c r="W281" s="2918"/>
      <c r="X281" s="2918"/>
      <c r="Y281" s="2918"/>
      <c r="Z281" s="2918"/>
      <c r="AA281" s="2918"/>
      <c r="AB281" s="2918"/>
      <c r="AC281" s="2897">
        <f t="shared" si="152"/>
        <v>0</v>
      </c>
      <c r="AD281" s="2929"/>
      <c r="AE281" s="2929"/>
      <c r="AF281" s="2929"/>
      <c r="AG281" s="2929"/>
      <c r="AH281" s="2929"/>
      <c r="AI281" s="2929"/>
      <c r="AJ281" s="2929"/>
      <c r="AK281" s="2929"/>
      <c r="AL281" s="2929"/>
      <c r="AM281" s="2929"/>
      <c r="AN281" s="2929"/>
      <c r="AO281" s="2929"/>
      <c r="AP281" s="2929"/>
      <c r="AQ281" s="2929"/>
      <c r="AR281" s="2929"/>
      <c r="AS281" s="2929"/>
      <c r="AT281" s="2949"/>
      <c r="AU281" s="2950"/>
      <c r="AV281" s="454">
        <f t="shared" si="153"/>
        <v>0</v>
      </c>
      <c r="AW281" s="454">
        <f t="shared" si="154"/>
        <v>0</v>
      </c>
      <c r="AX281" s="454">
        <f t="shared" si="155"/>
        <v>0</v>
      </c>
      <c r="AY281" s="2966">
        <f t="shared" si="156"/>
        <v>0</v>
      </c>
      <c r="AZ281" s="2897">
        <f t="shared" si="157"/>
        <v>0</v>
      </c>
      <c r="BA281" s="2897">
        <f t="shared" si="158"/>
        <v>0</v>
      </c>
      <c r="BB281" s="2897">
        <f t="shared" si="159"/>
        <v>0</v>
      </c>
      <c r="BC281" s="2897">
        <f t="shared" si="160"/>
        <v>0</v>
      </c>
      <c r="BD281" s="2897">
        <f t="shared" si="161"/>
        <v>0</v>
      </c>
      <c r="BE281" s="2897">
        <f t="shared" si="162"/>
        <v>0</v>
      </c>
      <c r="BF281" s="2897">
        <f t="shared" si="163"/>
        <v>0</v>
      </c>
      <c r="BG281" s="2897">
        <f t="shared" si="164"/>
        <v>0</v>
      </c>
      <c r="BH281" s="2897">
        <f t="shared" si="165"/>
        <v>0</v>
      </c>
      <c r="BI281" s="2897">
        <f t="shared" si="166"/>
        <v>0</v>
      </c>
      <c r="BJ281" s="2897">
        <f t="shared" si="167"/>
        <v>0</v>
      </c>
      <c r="BK281" s="2897">
        <f t="shared" si="168"/>
        <v>0</v>
      </c>
      <c r="BL281" s="2897">
        <f t="shared" si="169"/>
        <v>0</v>
      </c>
      <c r="BM281" s="2897">
        <f t="shared" si="170"/>
        <v>0</v>
      </c>
      <c r="BN281" s="2897">
        <f t="shared" si="171"/>
        <v>0</v>
      </c>
      <c r="BO281" s="2897">
        <f t="shared" si="172"/>
        <v>0</v>
      </c>
      <c r="BP281" s="2897">
        <f t="shared" si="173"/>
        <v>0</v>
      </c>
      <c r="BQ281" s="2897">
        <f t="shared" si="174"/>
        <v>0</v>
      </c>
      <c r="BR281" s="2897">
        <f t="shared" si="175"/>
        <v>0</v>
      </c>
      <c r="BS281" s="2897">
        <f t="shared" si="176"/>
        <v>0</v>
      </c>
      <c r="BT281" s="2971">
        <f t="shared" si="177"/>
        <v>0</v>
      </c>
    </row>
    <row r="282" spans="1:72">
      <c r="A282" s="2894"/>
      <c r="B282" s="2895"/>
      <c r="C282" s="2895"/>
      <c r="D282" s="2907"/>
      <c r="E282" s="2897">
        <f t="shared" si="149"/>
        <v>0</v>
      </c>
      <c r="F282" s="2898"/>
      <c r="G282" s="2899">
        <f t="shared" si="150"/>
        <v>0</v>
      </c>
      <c r="H282" s="2900">
        <f t="shared" si="151"/>
        <v>0</v>
      </c>
      <c r="I282" s="2918"/>
      <c r="J282" s="2918"/>
      <c r="K282" s="2918"/>
      <c r="L282" s="2918"/>
      <c r="M282" s="2918"/>
      <c r="N282" s="2918"/>
      <c r="O282" s="2918"/>
      <c r="P282" s="2918"/>
      <c r="Q282" s="2918"/>
      <c r="R282" s="2918"/>
      <c r="S282" s="2918"/>
      <c r="T282" s="2918"/>
      <c r="U282" s="2918"/>
      <c r="V282" s="2918"/>
      <c r="W282" s="2918"/>
      <c r="X282" s="2918"/>
      <c r="Y282" s="2918"/>
      <c r="Z282" s="2918"/>
      <c r="AA282" s="2918"/>
      <c r="AB282" s="2918"/>
      <c r="AC282" s="2897">
        <f t="shared" si="152"/>
        <v>0</v>
      </c>
      <c r="AD282" s="2929"/>
      <c r="AE282" s="2929"/>
      <c r="AF282" s="2929"/>
      <c r="AG282" s="2929"/>
      <c r="AH282" s="2929"/>
      <c r="AI282" s="2929"/>
      <c r="AJ282" s="2929"/>
      <c r="AK282" s="2929"/>
      <c r="AL282" s="2929"/>
      <c r="AM282" s="2929"/>
      <c r="AN282" s="2929"/>
      <c r="AO282" s="2929"/>
      <c r="AP282" s="2929"/>
      <c r="AQ282" s="2929"/>
      <c r="AR282" s="2929"/>
      <c r="AS282" s="2929"/>
      <c r="AT282" s="2949"/>
      <c r="AU282" s="2950"/>
      <c r="AV282" s="454">
        <f t="shared" si="153"/>
        <v>0</v>
      </c>
      <c r="AW282" s="454">
        <f t="shared" si="154"/>
        <v>0</v>
      </c>
      <c r="AX282" s="454">
        <f t="shared" si="155"/>
        <v>0</v>
      </c>
      <c r="AY282" s="2966">
        <f t="shared" si="156"/>
        <v>0</v>
      </c>
      <c r="AZ282" s="2897">
        <f t="shared" si="157"/>
        <v>0</v>
      </c>
      <c r="BA282" s="2897">
        <f t="shared" si="158"/>
        <v>0</v>
      </c>
      <c r="BB282" s="2897">
        <f t="shared" si="159"/>
        <v>0</v>
      </c>
      <c r="BC282" s="2897">
        <f t="shared" si="160"/>
        <v>0</v>
      </c>
      <c r="BD282" s="2897">
        <f t="shared" si="161"/>
        <v>0</v>
      </c>
      <c r="BE282" s="2897">
        <f t="shared" si="162"/>
        <v>0</v>
      </c>
      <c r="BF282" s="2897">
        <f t="shared" si="163"/>
        <v>0</v>
      </c>
      <c r="BG282" s="2897">
        <f t="shared" si="164"/>
        <v>0</v>
      </c>
      <c r="BH282" s="2897">
        <f t="shared" si="165"/>
        <v>0</v>
      </c>
      <c r="BI282" s="2897">
        <f t="shared" si="166"/>
        <v>0</v>
      </c>
      <c r="BJ282" s="2897">
        <f t="shared" si="167"/>
        <v>0</v>
      </c>
      <c r="BK282" s="2897">
        <f t="shared" si="168"/>
        <v>0</v>
      </c>
      <c r="BL282" s="2897">
        <f t="shared" si="169"/>
        <v>0</v>
      </c>
      <c r="BM282" s="2897">
        <f t="shared" si="170"/>
        <v>0</v>
      </c>
      <c r="BN282" s="2897">
        <f t="shared" si="171"/>
        <v>0</v>
      </c>
      <c r="BO282" s="2897">
        <f t="shared" si="172"/>
        <v>0</v>
      </c>
      <c r="BP282" s="2897">
        <f t="shared" si="173"/>
        <v>0</v>
      </c>
      <c r="BQ282" s="2897">
        <f t="shared" si="174"/>
        <v>0</v>
      </c>
      <c r="BR282" s="2897">
        <f t="shared" si="175"/>
        <v>0</v>
      </c>
      <c r="BS282" s="2897">
        <f t="shared" si="176"/>
        <v>0</v>
      </c>
      <c r="BT282" s="2971">
        <f t="shared" si="177"/>
        <v>0</v>
      </c>
    </row>
    <row r="283" spans="1:72">
      <c r="A283" s="2894"/>
      <c r="B283" s="2895"/>
      <c r="C283" s="2895"/>
      <c r="D283" s="2907"/>
      <c r="E283" s="2897">
        <f t="shared" si="149"/>
        <v>0</v>
      </c>
      <c r="F283" s="2898"/>
      <c r="G283" s="2899">
        <f t="shared" si="150"/>
        <v>0</v>
      </c>
      <c r="H283" s="2900">
        <f t="shared" si="151"/>
        <v>0</v>
      </c>
      <c r="I283" s="2918"/>
      <c r="J283" s="2918"/>
      <c r="K283" s="2918"/>
      <c r="L283" s="2918"/>
      <c r="M283" s="2918"/>
      <c r="N283" s="2918"/>
      <c r="O283" s="2918"/>
      <c r="P283" s="2918"/>
      <c r="Q283" s="2918"/>
      <c r="R283" s="2918"/>
      <c r="S283" s="2918"/>
      <c r="T283" s="2918"/>
      <c r="U283" s="2918"/>
      <c r="V283" s="2918"/>
      <c r="W283" s="2918"/>
      <c r="X283" s="2918"/>
      <c r="Y283" s="2918"/>
      <c r="Z283" s="2918"/>
      <c r="AA283" s="2918"/>
      <c r="AB283" s="2918"/>
      <c r="AC283" s="2897">
        <f t="shared" si="152"/>
        <v>0</v>
      </c>
      <c r="AD283" s="2929"/>
      <c r="AE283" s="2929"/>
      <c r="AF283" s="2929"/>
      <c r="AG283" s="2929"/>
      <c r="AH283" s="2929"/>
      <c r="AI283" s="2929"/>
      <c r="AJ283" s="2929"/>
      <c r="AK283" s="2929"/>
      <c r="AL283" s="2929"/>
      <c r="AM283" s="2929"/>
      <c r="AN283" s="2929"/>
      <c r="AO283" s="2929"/>
      <c r="AP283" s="2929"/>
      <c r="AQ283" s="2929"/>
      <c r="AR283" s="2929"/>
      <c r="AS283" s="2929"/>
      <c r="AT283" s="2949"/>
      <c r="AU283" s="2950"/>
      <c r="AV283" s="454">
        <f t="shared" si="153"/>
        <v>0</v>
      </c>
      <c r="AW283" s="454">
        <f t="shared" si="154"/>
        <v>0</v>
      </c>
      <c r="AX283" s="454">
        <f t="shared" si="155"/>
        <v>0</v>
      </c>
      <c r="AY283" s="2966">
        <f t="shared" si="156"/>
        <v>0</v>
      </c>
      <c r="AZ283" s="2897">
        <f t="shared" si="157"/>
        <v>0</v>
      </c>
      <c r="BA283" s="2897">
        <f t="shared" si="158"/>
        <v>0</v>
      </c>
      <c r="BB283" s="2897">
        <f t="shared" si="159"/>
        <v>0</v>
      </c>
      <c r="BC283" s="2897">
        <f t="shared" si="160"/>
        <v>0</v>
      </c>
      <c r="BD283" s="2897">
        <f t="shared" si="161"/>
        <v>0</v>
      </c>
      <c r="BE283" s="2897">
        <f t="shared" si="162"/>
        <v>0</v>
      </c>
      <c r="BF283" s="2897">
        <f t="shared" si="163"/>
        <v>0</v>
      </c>
      <c r="BG283" s="2897">
        <f t="shared" si="164"/>
        <v>0</v>
      </c>
      <c r="BH283" s="2897">
        <f t="shared" si="165"/>
        <v>0</v>
      </c>
      <c r="BI283" s="2897">
        <f t="shared" si="166"/>
        <v>0</v>
      </c>
      <c r="BJ283" s="2897">
        <f t="shared" si="167"/>
        <v>0</v>
      </c>
      <c r="BK283" s="2897">
        <f t="shared" si="168"/>
        <v>0</v>
      </c>
      <c r="BL283" s="2897">
        <f t="shared" si="169"/>
        <v>0</v>
      </c>
      <c r="BM283" s="2897">
        <f t="shared" si="170"/>
        <v>0</v>
      </c>
      <c r="BN283" s="2897">
        <f t="shared" si="171"/>
        <v>0</v>
      </c>
      <c r="BO283" s="2897">
        <f t="shared" si="172"/>
        <v>0</v>
      </c>
      <c r="BP283" s="2897">
        <f t="shared" si="173"/>
        <v>0</v>
      </c>
      <c r="BQ283" s="2897">
        <f t="shared" si="174"/>
        <v>0</v>
      </c>
      <c r="BR283" s="2897">
        <f t="shared" si="175"/>
        <v>0</v>
      </c>
      <c r="BS283" s="2897">
        <f t="shared" si="176"/>
        <v>0</v>
      </c>
      <c r="BT283" s="2971">
        <f t="shared" si="177"/>
        <v>0</v>
      </c>
    </row>
    <row r="284" spans="1:72">
      <c r="A284" s="2894"/>
      <c r="B284" s="2895"/>
      <c r="C284" s="2895"/>
      <c r="D284" s="2907"/>
      <c r="E284" s="2897">
        <f t="shared" si="149"/>
        <v>0</v>
      </c>
      <c r="F284" s="2898"/>
      <c r="G284" s="2899">
        <f t="shared" si="150"/>
        <v>0</v>
      </c>
      <c r="H284" s="2900">
        <f t="shared" si="151"/>
        <v>0</v>
      </c>
      <c r="I284" s="2918"/>
      <c r="J284" s="2918"/>
      <c r="K284" s="2918"/>
      <c r="L284" s="2918"/>
      <c r="M284" s="2918"/>
      <c r="N284" s="2918"/>
      <c r="O284" s="2918"/>
      <c r="P284" s="2918"/>
      <c r="Q284" s="2918"/>
      <c r="R284" s="2918"/>
      <c r="S284" s="2918"/>
      <c r="T284" s="2918"/>
      <c r="U284" s="2918"/>
      <c r="V284" s="2918"/>
      <c r="W284" s="2918"/>
      <c r="X284" s="2918"/>
      <c r="Y284" s="2918"/>
      <c r="Z284" s="2918"/>
      <c r="AA284" s="2918"/>
      <c r="AB284" s="2918"/>
      <c r="AC284" s="2897">
        <f t="shared" si="152"/>
        <v>0</v>
      </c>
      <c r="AD284" s="2929"/>
      <c r="AE284" s="2929"/>
      <c r="AF284" s="2929"/>
      <c r="AG284" s="2929"/>
      <c r="AH284" s="2929"/>
      <c r="AI284" s="2929"/>
      <c r="AJ284" s="2929"/>
      <c r="AK284" s="2929"/>
      <c r="AL284" s="2929"/>
      <c r="AM284" s="2929"/>
      <c r="AN284" s="2929"/>
      <c r="AO284" s="2929"/>
      <c r="AP284" s="2929"/>
      <c r="AQ284" s="2929"/>
      <c r="AR284" s="2929"/>
      <c r="AS284" s="2929"/>
      <c r="AT284" s="2949"/>
      <c r="AU284" s="2950"/>
      <c r="AV284" s="454">
        <f t="shared" si="153"/>
        <v>0</v>
      </c>
      <c r="AW284" s="454">
        <f t="shared" si="154"/>
        <v>0</v>
      </c>
      <c r="AX284" s="454">
        <f t="shared" si="155"/>
        <v>0</v>
      </c>
      <c r="AY284" s="2966">
        <f t="shared" si="156"/>
        <v>0</v>
      </c>
      <c r="AZ284" s="2897">
        <f t="shared" si="157"/>
        <v>0</v>
      </c>
      <c r="BA284" s="2897">
        <f t="shared" si="158"/>
        <v>0</v>
      </c>
      <c r="BB284" s="2897">
        <f t="shared" si="159"/>
        <v>0</v>
      </c>
      <c r="BC284" s="2897">
        <f t="shared" si="160"/>
        <v>0</v>
      </c>
      <c r="BD284" s="2897">
        <f t="shared" si="161"/>
        <v>0</v>
      </c>
      <c r="BE284" s="2897">
        <f t="shared" si="162"/>
        <v>0</v>
      </c>
      <c r="BF284" s="2897">
        <f t="shared" si="163"/>
        <v>0</v>
      </c>
      <c r="BG284" s="2897">
        <f t="shared" si="164"/>
        <v>0</v>
      </c>
      <c r="BH284" s="2897">
        <f t="shared" si="165"/>
        <v>0</v>
      </c>
      <c r="BI284" s="2897">
        <f t="shared" si="166"/>
        <v>0</v>
      </c>
      <c r="BJ284" s="2897">
        <f t="shared" si="167"/>
        <v>0</v>
      </c>
      <c r="BK284" s="2897">
        <f t="shared" si="168"/>
        <v>0</v>
      </c>
      <c r="BL284" s="2897">
        <f t="shared" si="169"/>
        <v>0</v>
      </c>
      <c r="BM284" s="2897">
        <f t="shared" si="170"/>
        <v>0</v>
      </c>
      <c r="BN284" s="2897">
        <f t="shared" si="171"/>
        <v>0</v>
      </c>
      <c r="BO284" s="2897">
        <f t="shared" si="172"/>
        <v>0</v>
      </c>
      <c r="BP284" s="2897">
        <f t="shared" si="173"/>
        <v>0</v>
      </c>
      <c r="BQ284" s="2897">
        <f t="shared" si="174"/>
        <v>0</v>
      </c>
      <c r="BR284" s="2897">
        <f t="shared" si="175"/>
        <v>0</v>
      </c>
      <c r="BS284" s="2897">
        <f t="shared" si="176"/>
        <v>0</v>
      </c>
      <c r="BT284" s="2971">
        <f t="shared" si="177"/>
        <v>0</v>
      </c>
    </row>
    <row r="285" spans="1:72">
      <c r="A285" s="2894"/>
      <c r="B285" s="2895"/>
      <c r="C285" s="2895"/>
      <c r="D285" s="2907"/>
      <c r="E285" s="2897">
        <f t="shared" si="149"/>
        <v>0</v>
      </c>
      <c r="F285" s="2898"/>
      <c r="G285" s="2899">
        <f t="shared" si="150"/>
        <v>0</v>
      </c>
      <c r="H285" s="2900">
        <f t="shared" si="151"/>
        <v>0</v>
      </c>
      <c r="I285" s="2918"/>
      <c r="J285" s="2918"/>
      <c r="K285" s="2918"/>
      <c r="L285" s="2918"/>
      <c r="M285" s="2918"/>
      <c r="N285" s="2918"/>
      <c r="O285" s="2918"/>
      <c r="P285" s="2918"/>
      <c r="Q285" s="2918"/>
      <c r="R285" s="2918"/>
      <c r="S285" s="2918"/>
      <c r="T285" s="2918"/>
      <c r="U285" s="2918"/>
      <c r="V285" s="2918"/>
      <c r="W285" s="2918"/>
      <c r="X285" s="2918"/>
      <c r="Y285" s="2918"/>
      <c r="Z285" s="2918"/>
      <c r="AA285" s="2918"/>
      <c r="AB285" s="2918"/>
      <c r="AC285" s="2897">
        <f t="shared" si="152"/>
        <v>0</v>
      </c>
      <c r="AD285" s="2929"/>
      <c r="AE285" s="2929"/>
      <c r="AF285" s="2929"/>
      <c r="AG285" s="2929"/>
      <c r="AH285" s="2929"/>
      <c r="AI285" s="2929"/>
      <c r="AJ285" s="2929"/>
      <c r="AK285" s="2929"/>
      <c r="AL285" s="2929"/>
      <c r="AM285" s="2929"/>
      <c r="AN285" s="2929"/>
      <c r="AO285" s="2929"/>
      <c r="AP285" s="2929"/>
      <c r="AQ285" s="2929"/>
      <c r="AR285" s="2929"/>
      <c r="AS285" s="2929"/>
      <c r="AT285" s="2949"/>
      <c r="AU285" s="2950"/>
      <c r="AV285" s="454">
        <f t="shared" si="153"/>
        <v>0</v>
      </c>
      <c r="AW285" s="454">
        <f t="shared" si="154"/>
        <v>0</v>
      </c>
      <c r="AX285" s="454">
        <f t="shared" si="155"/>
        <v>0</v>
      </c>
      <c r="AY285" s="2966">
        <f t="shared" si="156"/>
        <v>0</v>
      </c>
      <c r="AZ285" s="2897">
        <f t="shared" si="157"/>
        <v>0</v>
      </c>
      <c r="BA285" s="2897">
        <f t="shared" si="158"/>
        <v>0</v>
      </c>
      <c r="BB285" s="2897">
        <f t="shared" si="159"/>
        <v>0</v>
      </c>
      <c r="BC285" s="2897">
        <f t="shared" si="160"/>
        <v>0</v>
      </c>
      <c r="BD285" s="2897">
        <f t="shared" si="161"/>
        <v>0</v>
      </c>
      <c r="BE285" s="2897">
        <f t="shared" si="162"/>
        <v>0</v>
      </c>
      <c r="BF285" s="2897">
        <f t="shared" si="163"/>
        <v>0</v>
      </c>
      <c r="BG285" s="2897">
        <f t="shared" si="164"/>
        <v>0</v>
      </c>
      <c r="BH285" s="2897">
        <f t="shared" si="165"/>
        <v>0</v>
      </c>
      <c r="BI285" s="2897">
        <f t="shared" si="166"/>
        <v>0</v>
      </c>
      <c r="BJ285" s="2897">
        <f t="shared" si="167"/>
        <v>0</v>
      </c>
      <c r="BK285" s="2897">
        <f t="shared" si="168"/>
        <v>0</v>
      </c>
      <c r="BL285" s="2897">
        <f t="shared" si="169"/>
        <v>0</v>
      </c>
      <c r="BM285" s="2897">
        <f t="shared" si="170"/>
        <v>0</v>
      </c>
      <c r="BN285" s="2897">
        <f t="shared" si="171"/>
        <v>0</v>
      </c>
      <c r="BO285" s="2897">
        <f t="shared" si="172"/>
        <v>0</v>
      </c>
      <c r="BP285" s="2897">
        <f t="shared" si="173"/>
        <v>0</v>
      </c>
      <c r="BQ285" s="2897">
        <f t="shared" si="174"/>
        <v>0</v>
      </c>
      <c r="BR285" s="2897">
        <f t="shared" si="175"/>
        <v>0</v>
      </c>
      <c r="BS285" s="2897">
        <f t="shared" si="176"/>
        <v>0</v>
      </c>
      <c r="BT285" s="2971">
        <f t="shared" si="177"/>
        <v>0</v>
      </c>
    </row>
    <row r="286" spans="1:72">
      <c r="A286" s="2894"/>
      <c r="B286" s="2895"/>
      <c r="C286" s="2895"/>
      <c r="D286" s="2907"/>
      <c r="E286" s="2897">
        <f t="shared" si="149"/>
        <v>0</v>
      </c>
      <c r="F286" s="2898"/>
      <c r="G286" s="2899">
        <f t="shared" si="150"/>
        <v>0</v>
      </c>
      <c r="H286" s="2900">
        <f t="shared" si="151"/>
        <v>0</v>
      </c>
      <c r="I286" s="2918"/>
      <c r="J286" s="2918"/>
      <c r="K286" s="2918"/>
      <c r="L286" s="2918"/>
      <c r="M286" s="2918"/>
      <c r="N286" s="2918"/>
      <c r="O286" s="2918"/>
      <c r="P286" s="2918"/>
      <c r="Q286" s="2918"/>
      <c r="R286" s="2918"/>
      <c r="S286" s="2918"/>
      <c r="T286" s="2918"/>
      <c r="U286" s="2918"/>
      <c r="V286" s="2918"/>
      <c r="W286" s="2918"/>
      <c r="X286" s="2918"/>
      <c r="Y286" s="2918"/>
      <c r="Z286" s="2918"/>
      <c r="AA286" s="2918"/>
      <c r="AB286" s="2918"/>
      <c r="AC286" s="2897">
        <f t="shared" si="152"/>
        <v>0</v>
      </c>
      <c r="AD286" s="2929"/>
      <c r="AE286" s="2929"/>
      <c r="AF286" s="2929"/>
      <c r="AG286" s="2929"/>
      <c r="AH286" s="2929"/>
      <c r="AI286" s="2929"/>
      <c r="AJ286" s="2929"/>
      <c r="AK286" s="2929"/>
      <c r="AL286" s="2929"/>
      <c r="AM286" s="2929"/>
      <c r="AN286" s="2929"/>
      <c r="AO286" s="2929"/>
      <c r="AP286" s="2929"/>
      <c r="AQ286" s="2929"/>
      <c r="AR286" s="2929"/>
      <c r="AS286" s="2929"/>
      <c r="AT286" s="2949"/>
      <c r="AU286" s="2950"/>
      <c r="AV286" s="454">
        <f t="shared" si="153"/>
        <v>0</v>
      </c>
      <c r="AW286" s="454">
        <f t="shared" si="154"/>
        <v>0</v>
      </c>
      <c r="AX286" s="454">
        <f t="shared" si="155"/>
        <v>0</v>
      </c>
      <c r="AY286" s="2966">
        <f t="shared" si="156"/>
        <v>0</v>
      </c>
      <c r="AZ286" s="2897">
        <f t="shared" si="157"/>
        <v>0</v>
      </c>
      <c r="BA286" s="2897">
        <f t="shared" si="158"/>
        <v>0</v>
      </c>
      <c r="BB286" s="2897">
        <f t="shared" si="159"/>
        <v>0</v>
      </c>
      <c r="BC286" s="2897">
        <f t="shared" si="160"/>
        <v>0</v>
      </c>
      <c r="BD286" s="2897">
        <f t="shared" si="161"/>
        <v>0</v>
      </c>
      <c r="BE286" s="2897">
        <f t="shared" si="162"/>
        <v>0</v>
      </c>
      <c r="BF286" s="2897">
        <f t="shared" si="163"/>
        <v>0</v>
      </c>
      <c r="BG286" s="2897">
        <f t="shared" si="164"/>
        <v>0</v>
      </c>
      <c r="BH286" s="2897">
        <f t="shared" si="165"/>
        <v>0</v>
      </c>
      <c r="BI286" s="2897">
        <f t="shared" si="166"/>
        <v>0</v>
      </c>
      <c r="BJ286" s="2897">
        <f t="shared" si="167"/>
        <v>0</v>
      </c>
      <c r="BK286" s="2897">
        <f t="shared" si="168"/>
        <v>0</v>
      </c>
      <c r="BL286" s="2897">
        <f t="shared" si="169"/>
        <v>0</v>
      </c>
      <c r="BM286" s="2897">
        <f t="shared" si="170"/>
        <v>0</v>
      </c>
      <c r="BN286" s="2897">
        <f t="shared" si="171"/>
        <v>0</v>
      </c>
      <c r="BO286" s="2897">
        <f t="shared" si="172"/>
        <v>0</v>
      </c>
      <c r="BP286" s="2897">
        <f t="shared" si="173"/>
        <v>0</v>
      </c>
      <c r="BQ286" s="2897">
        <f t="shared" si="174"/>
        <v>0</v>
      </c>
      <c r="BR286" s="2897">
        <f t="shared" si="175"/>
        <v>0</v>
      </c>
      <c r="BS286" s="2897">
        <f t="shared" si="176"/>
        <v>0</v>
      </c>
      <c r="BT286" s="2971">
        <f t="shared" si="177"/>
        <v>0</v>
      </c>
    </row>
    <row r="287" spans="1:72">
      <c r="A287" s="2894"/>
      <c r="B287" s="2895"/>
      <c r="C287" s="2895"/>
      <c r="D287" s="2907"/>
      <c r="E287" s="2897">
        <f t="shared" si="149"/>
        <v>0</v>
      </c>
      <c r="F287" s="2898"/>
      <c r="G287" s="2899">
        <f t="shared" si="150"/>
        <v>0</v>
      </c>
      <c r="H287" s="2900">
        <f t="shared" si="151"/>
        <v>0</v>
      </c>
      <c r="I287" s="2918"/>
      <c r="J287" s="2918"/>
      <c r="K287" s="2918"/>
      <c r="L287" s="2918"/>
      <c r="M287" s="2918"/>
      <c r="N287" s="2918"/>
      <c r="O287" s="2918"/>
      <c r="P287" s="2918"/>
      <c r="Q287" s="2918"/>
      <c r="R287" s="2918"/>
      <c r="S287" s="2918"/>
      <c r="T287" s="2918"/>
      <c r="U287" s="2918"/>
      <c r="V287" s="2918"/>
      <c r="W287" s="2918"/>
      <c r="X287" s="2918"/>
      <c r="Y287" s="2918"/>
      <c r="Z287" s="2918"/>
      <c r="AA287" s="2918"/>
      <c r="AB287" s="2918"/>
      <c r="AC287" s="2897">
        <f t="shared" si="152"/>
        <v>0</v>
      </c>
      <c r="AD287" s="2929"/>
      <c r="AE287" s="2929"/>
      <c r="AF287" s="2929"/>
      <c r="AG287" s="2929"/>
      <c r="AH287" s="2929"/>
      <c r="AI287" s="2929"/>
      <c r="AJ287" s="2929"/>
      <c r="AK287" s="2929"/>
      <c r="AL287" s="2929"/>
      <c r="AM287" s="2929"/>
      <c r="AN287" s="2929"/>
      <c r="AO287" s="2929"/>
      <c r="AP287" s="2929"/>
      <c r="AQ287" s="2929"/>
      <c r="AR287" s="2929"/>
      <c r="AS287" s="2929"/>
      <c r="AT287" s="2949"/>
      <c r="AU287" s="2950"/>
      <c r="AV287" s="454">
        <f t="shared" si="153"/>
        <v>0</v>
      </c>
      <c r="AW287" s="454">
        <f t="shared" si="154"/>
        <v>0</v>
      </c>
      <c r="AX287" s="454">
        <f t="shared" si="155"/>
        <v>0</v>
      </c>
      <c r="AY287" s="2966">
        <f t="shared" si="156"/>
        <v>0</v>
      </c>
      <c r="AZ287" s="2897">
        <f t="shared" si="157"/>
        <v>0</v>
      </c>
      <c r="BA287" s="2897">
        <f t="shared" si="158"/>
        <v>0</v>
      </c>
      <c r="BB287" s="2897">
        <f t="shared" si="159"/>
        <v>0</v>
      </c>
      <c r="BC287" s="2897">
        <f t="shared" si="160"/>
        <v>0</v>
      </c>
      <c r="BD287" s="2897">
        <f t="shared" si="161"/>
        <v>0</v>
      </c>
      <c r="BE287" s="2897">
        <f t="shared" si="162"/>
        <v>0</v>
      </c>
      <c r="BF287" s="2897">
        <f t="shared" si="163"/>
        <v>0</v>
      </c>
      <c r="BG287" s="2897">
        <f t="shared" si="164"/>
        <v>0</v>
      </c>
      <c r="BH287" s="2897">
        <f t="shared" si="165"/>
        <v>0</v>
      </c>
      <c r="BI287" s="2897">
        <f t="shared" si="166"/>
        <v>0</v>
      </c>
      <c r="BJ287" s="2897">
        <f t="shared" si="167"/>
        <v>0</v>
      </c>
      <c r="BK287" s="2897">
        <f t="shared" si="168"/>
        <v>0</v>
      </c>
      <c r="BL287" s="2897">
        <f t="shared" si="169"/>
        <v>0</v>
      </c>
      <c r="BM287" s="2897">
        <f t="shared" si="170"/>
        <v>0</v>
      </c>
      <c r="BN287" s="2897">
        <f t="shared" si="171"/>
        <v>0</v>
      </c>
      <c r="BO287" s="2897">
        <f t="shared" si="172"/>
        <v>0</v>
      </c>
      <c r="BP287" s="2897">
        <f t="shared" si="173"/>
        <v>0</v>
      </c>
      <c r="BQ287" s="2897">
        <f t="shared" si="174"/>
        <v>0</v>
      </c>
      <c r="BR287" s="2897">
        <f t="shared" si="175"/>
        <v>0</v>
      </c>
      <c r="BS287" s="2897">
        <f t="shared" si="176"/>
        <v>0</v>
      </c>
      <c r="BT287" s="2971">
        <f t="shared" si="177"/>
        <v>0</v>
      </c>
    </row>
    <row r="288" spans="1:72">
      <c r="A288" s="2894"/>
      <c r="B288" s="2895"/>
      <c r="C288" s="2895"/>
      <c r="D288" s="2907"/>
      <c r="E288" s="2897">
        <f t="shared" si="149"/>
        <v>0</v>
      </c>
      <c r="F288" s="2898"/>
      <c r="G288" s="2899">
        <f t="shared" si="150"/>
        <v>0</v>
      </c>
      <c r="H288" s="2900">
        <f t="shared" si="151"/>
        <v>0</v>
      </c>
      <c r="I288" s="2918"/>
      <c r="J288" s="2918"/>
      <c r="K288" s="2918"/>
      <c r="L288" s="2918"/>
      <c r="M288" s="2918"/>
      <c r="N288" s="2918"/>
      <c r="O288" s="2918"/>
      <c r="P288" s="2918"/>
      <c r="Q288" s="2918"/>
      <c r="R288" s="2918"/>
      <c r="S288" s="2918"/>
      <c r="T288" s="2918"/>
      <c r="U288" s="2918"/>
      <c r="V288" s="2918"/>
      <c r="W288" s="2918"/>
      <c r="X288" s="2918"/>
      <c r="Y288" s="2918"/>
      <c r="Z288" s="2918"/>
      <c r="AA288" s="2918"/>
      <c r="AB288" s="2918"/>
      <c r="AC288" s="2897">
        <f t="shared" si="152"/>
        <v>0</v>
      </c>
      <c r="AD288" s="2929"/>
      <c r="AE288" s="2929"/>
      <c r="AF288" s="2929"/>
      <c r="AG288" s="2929"/>
      <c r="AH288" s="2929"/>
      <c r="AI288" s="2929"/>
      <c r="AJ288" s="2929"/>
      <c r="AK288" s="2929"/>
      <c r="AL288" s="2929"/>
      <c r="AM288" s="2929"/>
      <c r="AN288" s="2929"/>
      <c r="AO288" s="2929"/>
      <c r="AP288" s="2929"/>
      <c r="AQ288" s="2929"/>
      <c r="AR288" s="2929"/>
      <c r="AS288" s="2929"/>
      <c r="AT288" s="2949"/>
      <c r="AU288" s="2950"/>
      <c r="AV288" s="454">
        <f t="shared" si="153"/>
        <v>0</v>
      </c>
      <c r="AW288" s="454">
        <f t="shared" si="154"/>
        <v>0</v>
      </c>
      <c r="AX288" s="454">
        <f t="shared" si="155"/>
        <v>0</v>
      </c>
      <c r="AY288" s="2966">
        <f t="shared" si="156"/>
        <v>0</v>
      </c>
      <c r="AZ288" s="2897">
        <f t="shared" si="157"/>
        <v>0</v>
      </c>
      <c r="BA288" s="2897">
        <f t="shared" si="158"/>
        <v>0</v>
      </c>
      <c r="BB288" s="2897">
        <f t="shared" si="159"/>
        <v>0</v>
      </c>
      <c r="BC288" s="2897">
        <f t="shared" si="160"/>
        <v>0</v>
      </c>
      <c r="BD288" s="2897">
        <f t="shared" si="161"/>
        <v>0</v>
      </c>
      <c r="BE288" s="2897">
        <f t="shared" si="162"/>
        <v>0</v>
      </c>
      <c r="BF288" s="2897">
        <f t="shared" si="163"/>
        <v>0</v>
      </c>
      <c r="BG288" s="2897">
        <f t="shared" si="164"/>
        <v>0</v>
      </c>
      <c r="BH288" s="2897">
        <f t="shared" si="165"/>
        <v>0</v>
      </c>
      <c r="BI288" s="2897">
        <f t="shared" si="166"/>
        <v>0</v>
      </c>
      <c r="BJ288" s="2897">
        <f t="shared" si="167"/>
        <v>0</v>
      </c>
      <c r="BK288" s="2897">
        <f t="shared" si="168"/>
        <v>0</v>
      </c>
      <c r="BL288" s="2897">
        <f t="shared" si="169"/>
        <v>0</v>
      </c>
      <c r="BM288" s="2897">
        <f t="shared" si="170"/>
        <v>0</v>
      </c>
      <c r="BN288" s="2897">
        <f t="shared" si="171"/>
        <v>0</v>
      </c>
      <c r="BO288" s="2897">
        <f t="shared" si="172"/>
        <v>0</v>
      </c>
      <c r="BP288" s="2897">
        <f t="shared" si="173"/>
        <v>0</v>
      </c>
      <c r="BQ288" s="2897">
        <f t="shared" si="174"/>
        <v>0</v>
      </c>
      <c r="BR288" s="2897">
        <f t="shared" si="175"/>
        <v>0</v>
      </c>
      <c r="BS288" s="2897">
        <f t="shared" si="176"/>
        <v>0</v>
      </c>
      <c r="BT288" s="2971">
        <f t="shared" si="177"/>
        <v>0</v>
      </c>
    </row>
    <row r="289" spans="1:72">
      <c r="A289" s="2894"/>
      <c r="B289" s="2895"/>
      <c r="C289" s="2895"/>
      <c r="D289" s="2907"/>
      <c r="E289" s="2897">
        <f t="shared" si="149"/>
        <v>0</v>
      </c>
      <c r="F289" s="2898"/>
      <c r="G289" s="2899">
        <f t="shared" si="150"/>
        <v>0</v>
      </c>
      <c r="H289" s="2900">
        <f t="shared" si="151"/>
        <v>0</v>
      </c>
      <c r="I289" s="2918"/>
      <c r="J289" s="2918"/>
      <c r="K289" s="2918"/>
      <c r="L289" s="2918"/>
      <c r="M289" s="2918"/>
      <c r="N289" s="2918"/>
      <c r="O289" s="2918"/>
      <c r="P289" s="2918"/>
      <c r="Q289" s="2918"/>
      <c r="R289" s="2918"/>
      <c r="S289" s="2918"/>
      <c r="T289" s="2918"/>
      <c r="U289" s="2918"/>
      <c r="V289" s="2918"/>
      <c r="W289" s="2918"/>
      <c r="X289" s="2918"/>
      <c r="Y289" s="2918"/>
      <c r="Z289" s="2918"/>
      <c r="AA289" s="2918"/>
      <c r="AB289" s="2918"/>
      <c r="AC289" s="2897">
        <f t="shared" si="152"/>
        <v>0</v>
      </c>
      <c r="AD289" s="2929"/>
      <c r="AE289" s="2929"/>
      <c r="AF289" s="2929"/>
      <c r="AG289" s="2929"/>
      <c r="AH289" s="2929"/>
      <c r="AI289" s="2929"/>
      <c r="AJ289" s="2929"/>
      <c r="AK289" s="2929"/>
      <c r="AL289" s="2929"/>
      <c r="AM289" s="2929"/>
      <c r="AN289" s="2929"/>
      <c r="AO289" s="2929"/>
      <c r="AP289" s="2929"/>
      <c r="AQ289" s="2929"/>
      <c r="AR289" s="2929"/>
      <c r="AS289" s="2929"/>
      <c r="AT289" s="2949"/>
      <c r="AU289" s="2950"/>
      <c r="AV289" s="454">
        <f t="shared" si="153"/>
        <v>0</v>
      </c>
      <c r="AW289" s="454">
        <f t="shared" si="154"/>
        <v>0</v>
      </c>
      <c r="AX289" s="454">
        <f t="shared" si="155"/>
        <v>0</v>
      </c>
      <c r="AY289" s="2966">
        <f t="shared" si="156"/>
        <v>0</v>
      </c>
      <c r="AZ289" s="2897">
        <f t="shared" si="157"/>
        <v>0</v>
      </c>
      <c r="BA289" s="2897">
        <f t="shared" si="158"/>
        <v>0</v>
      </c>
      <c r="BB289" s="2897">
        <f t="shared" si="159"/>
        <v>0</v>
      </c>
      <c r="BC289" s="2897">
        <f t="shared" si="160"/>
        <v>0</v>
      </c>
      <c r="BD289" s="2897">
        <f t="shared" si="161"/>
        <v>0</v>
      </c>
      <c r="BE289" s="2897">
        <f t="shared" si="162"/>
        <v>0</v>
      </c>
      <c r="BF289" s="2897">
        <f t="shared" si="163"/>
        <v>0</v>
      </c>
      <c r="BG289" s="2897">
        <f t="shared" si="164"/>
        <v>0</v>
      </c>
      <c r="BH289" s="2897">
        <f t="shared" si="165"/>
        <v>0</v>
      </c>
      <c r="BI289" s="2897">
        <f t="shared" si="166"/>
        <v>0</v>
      </c>
      <c r="BJ289" s="2897">
        <f t="shared" si="167"/>
        <v>0</v>
      </c>
      <c r="BK289" s="2897">
        <f t="shared" si="168"/>
        <v>0</v>
      </c>
      <c r="BL289" s="2897">
        <f t="shared" si="169"/>
        <v>0</v>
      </c>
      <c r="BM289" s="2897">
        <f t="shared" si="170"/>
        <v>0</v>
      </c>
      <c r="BN289" s="2897">
        <f t="shared" si="171"/>
        <v>0</v>
      </c>
      <c r="BO289" s="2897">
        <f t="shared" si="172"/>
        <v>0</v>
      </c>
      <c r="BP289" s="2897">
        <f t="shared" si="173"/>
        <v>0</v>
      </c>
      <c r="BQ289" s="2897">
        <f t="shared" si="174"/>
        <v>0</v>
      </c>
      <c r="BR289" s="2897">
        <f t="shared" si="175"/>
        <v>0</v>
      </c>
      <c r="BS289" s="2897">
        <f t="shared" si="176"/>
        <v>0</v>
      </c>
      <c r="BT289" s="2971">
        <f t="shared" si="177"/>
        <v>0</v>
      </c>
    </row>
    <row r="290" spans="1:72">
      <c r="A290" s="2894"/>
      <c r="B290" s="2895"/>
      <c r="C290" s="2895"/>
      <c r="D290" s="2907"/>
      <c r="E290" s="2897">
        <f t="shared" si="149"/>
        <v>0</v>
      </c>
      <c r="F290" s="2898"/>
      <c r="G290" s="2899">
        <f t="shared" si="150"/>
        <v>0</v>
      </c>
      <c r="H290" s="2900">
        <f t="shared" si="151"/>
        <v>0</v>
      </c>
      <c r="I290" s="2918"/>
      <c r="J290" s="2918"/>
      <c r="K290" s="2918"/>
      <c r="L290" s="2918"/>
      <c r="M290" s="2918"/>
      <c r="N290" s="2918"/>
      <c r="O290" s="2918"/>
      <c r="P290" s="2918"/>
      <c r="Q290" s="2918"/>
      <c r="R290" s="2918"/>
      <c r="S290" s="2918"/>
      <c r="T290" s="2918"/>
      <c r="U290" s="2918"/>
      <c r="V290" s="2918"/>
      <c r="W290" s="2918"/>
      <c r="X290" s="2918"/>
      <c r="Y290" s="2918"/>
      <c r="Z290" s="2918"/>
      <c r="AA290" s="2918"/>
      <c r="AB290" s="2918"/>
      <c r="AC290" s="2897">
        <f t="shared" si="152"/>
        <v>0</v>
      </c>
      <c r="AD290" s="2929"/>
      <c r="AE290" s="2929"/>
      <c r="AF290" s="2929"/>
      <c r="AG290" s="2929"/>
      <c r="AH290" s="2929"/>
      <c r="AI290" s="2929"/>
      <c r="AJ290" s="2929"/>
      <c r="AK290" s="2929"/>
      <c r="AL290" s="2929"/>
      <c r="AM290" s="2929"/>
      <c r="AN290" s="2929"/>
      <c r="AO290" s="2929"/>
      <c r="AP290" s="2929"/>
      <c r="AQ290" s="2929"/>
      <c r="AR290" s="2929"/>
      <c r="AS290" s="2929"/>
      <c r="AT290" s="2949"/>
      <c r="AU290" s="2950"/>
      <c r="AV290" s="454">
        <f t="shared" si="153"/>
        <v>0</v>
      </c>
      <c r="AW290" s="454">
        <f t="shared" si="154"/>
        <v>0</v>
      </c>
      <c r="AX290" s="454">
        <f t="shared" si="155"/>
        <v>0</v>
      </c>
      <c r="AY290" s="2966">
        <f t="shared" si="156"/>
        <v>0</v>
      </c>
      <c r="AZ290" s="2897">
        <f t="shared" si="157"/>
        <v>0</v>
      </c>
      <c r="BA290" s="2897">
        <f t="shared" si="158"/>
        <v>0</v>
      </c>
      <c r="BB290" s="2897">
        <f t="shared" si="159"/>
        <v>0</v>
      </c>
      <c r="BC290" s="2897">
        <f t="shared" si="160"/>
        <v>0</v>
      </c>
      <c r="BD290" s="2897">
        <f t="shared" si="161"/>
        <v>0</v>
      </c>
      <c r="BE290" s="2897">
        <f t="shared" si="162"/>
        <v>0</v>
      </c>
      <c r="BF290" s="2897">
        <f t="shared" si="163"/>
        <v>0</v>
      </c>
      <c r="BG290" s="2897">
        <f t="shared" si="164"/>
        <v>0</v>
      </c>
      <c r="BH290" s="2897">
        <f t="shared" si="165"/>
        <v>0</v>
      </c>
      <c r="BI290" s="2897">
        <f t="shared" si="166"/>
        <v>0</v>
      </c>
      <c r="BJ290" s="2897">
        <f t="shared" si="167"/>
        <v>0</v>
      </c>
      <c r="BK290" s="2897">
        <f t="shared" si="168"/>
        <v>0</v>
      </c>
      <c r="BL290" s="2897">
        <f t="shared" si="169"/>
        <v>0</v>
      </c>
      <c r="BM290" s="2897">
        <f t="shared" si="170"/>
        <v>0</v>
      </c>
      <c r="BN290" s="2897">
        <f t="shared" si="171"/>
        <v>0</v>
      </c>
      <c r="BO290" s="2897">
        <f t="shared" si="172"/>
        <v>0</v>
      </c>
      <c r="BP290" s="2897">
        <f t="shared" si="173"/>
        <v>0</v>
      </c>
      <c r="BQ290" s="2897">
        <f t="shared" si="174"/>
        <v>0</v>
      </c>
      <c r="BR290" s="2897">
        <f t="shared" si="175"/>
        <v>0</v>
      </c>
      <c r="BS290" s="2897">
        <f t="shared" si="176"/>
        <v>0</v>
      </c>
      <c r="BT290" s="2971">
        <f t="shared" si="177"/>
        <v>0</v>
      </c>
    </row>
    <row r="291" spans="1:72">
      <c r="A291" s="2894"/>
      <c r="B291" s="2895"/>
      <c r="C291" s="2895"/>
      <c r="D291" s="2907"/>
      <c r="E291" s="2897">
        <f t="shared" si="149"/>
        <v>0</v>
      </c>
      <c r="F291" s="2898"/>
      <c r="G291" s="2899">
        <f t="shared" si="150"/>
        <v>0</v>
      </c>
      <c r="H291" s="2900">
        <f t="shared" si="151"/>
        <v>0</v>
      </c>
      <c r="I291" s="2918"/>
      <c r="J291" s="2918"/>
      <c r="K291" s="2918"/>
      <c r="L291" s="2918"/>
      <c r="M291" s="2918"/>
      <c r="N291" s="2918"/>
      <c r="O291" s="2918"/>
      <c r="P291" s="2918"/>
      <c r="Q291" s="2918"/>
      <c r="R291" s="2918"/>
      <c r="S291" s="2918"/>
      <c r="T291" s="2918"/>
      <c r="U291" s="2918"/>
      <c r="V291" s="2918"/>
      <c r="W291" s="2918"/>
      <c r="X291" s="2918"/>
      <c r="Y291" s="2918"/>
      <c r="Z291" s="2918"/>
      <c r="AA291" s="2918"/>
      <c r="AB291" s="2918"/>
      <c r="AC291" s="2897">
        <f t="shared" si="152"/>
        <v>0</v>
      </c>
      <c r="AD291" s="2929"/>
      <c r="AE291" s="2929"/>
      <c r="AF291" s="2929"/>
      <c r="AG291" s="2929"/>
      <c r="AH291" s="2929"/>
      <c r="AI291" s="2929"/>
      <c r="AJ291" s="2929"/>
      <c r="AK291" s="2929"/>
      <c r="AL291" s="2929"/>
      <c r="AM291" s="2929"/>
      <c r="AN291" s="2929"/>
      <c r="AO291" s="2929"/>
      <c r="AP291" s="2929"/>
      <c r="AQ291" s="2929"/>
      <c r="AR291" s="2929"/>
      <c r="AS291" s="2929"/>
      <c r="AT291" s="2949"/>
      <c r="AU291" s="2950"/>
      <c r="AV291" s="454">
        <f t="shared" si="153"/>
        <v>0</v>
      </c>
      <c r="AW291" s="454">
        <f t="shared" si="154"/>
        <v>0</v>
      </c>
      <c r="AX291" s="454">
        <f t="shared" si="155"/>
        <v>0</v>
      </c>
      <c r="AY291" s="2966">
        <f t="shared" si="156"/>
        <v>0</v>
      </c>
      <c r="AZ291" s="2897">
        <f t="shared" si="157"/>
        <v>0</v>
      </c>
      <c r="BA291" s="2897">
        <f t="shared" si="158"/>
        <v>0</v>
      </c>
      <c r="BB291" s="2897">
        <f t="shared" si="159"/>
        <v>0</v>
      </c>
      <c r="BC291" s="2897">
        <f t="shared" si="160"/>
        <v>0</v>
      </c>
      <c r="BD291" s="2897">
        <f t="shared" si="161"/>
        <v>0</v>
      </c>
      <c r="BE291" s="2897">
        <f t="shared" si="162"/>
        <v>0</v>
      </c>
      <c r="BF291" s="2897">
        <f t="shared" si="163"/>
        <v>0</v>
      </c>
      <c r="BG291" s="2897">
        <f t="shared" si="164"/>
        <v>0</v>
      </c>
      <c r="BH291" s="2897">
        <f t="shared" si="165"/>
        <v>0</v>
      </c>
      <c r="BI291" s="2897">
        <f t="shared" si="166"/>
        <v>0</v>
      </c>
      <c r="BJ291" s="2897">
        <f t="shared" si="167"/>
        <v>0</v>
      </c>
      <c r="BK291" s="2897">
        <f t="shared" si="168"/>
        <v>0</v>
      </c>
      <c r="BL291" s="2897">
        <f t="shared" si="169"/>
        <v>0</v>
      </c>
      <c r="BM291" s="2897">
        <f t="shared" si="170"/>
        <v>0</v>
      </c>
      <c r="BN291" s="2897">
        <f t="shared" si="171"/>
        <v>0</v>
      </c>
      <c r="BO291" s="2897">
        <f t="shared" si="172"/>
        <v>0</v>
      </c>
      <c r="BP291" s="2897">
        <f t="shared" si="173"/>
        <v>0</v>
      </c>
      <c r="BQ291" s="2897">
        <f t="shared" si="174"/>
        <v>0</v>
      </c>
      <c r="BR291" s="2897">
        <f t="shared" si="175"/>
        <v>0</v>
      </c>
      <c r="BS291" s="2897">
        <f t="shared" si="176"/>
        <v>0</v>
      </c>
      <c r="BT291" s="2971">
        <f t="shared" si="177"/>
        <v>0</v>
      </c>
    </row>
    <row r="292" spans="1:72">
      <c r="A292" s="2894"/>
      <c r="B292" s="2895"/>
      <c r="C292" s="2895"/>
      <c r="D292" s="2907"/>
      <c r="E292" s="2897">
        <f t="shared" si="149"/>
        <v>0</v>
      </c>
      <c r="F292" s="2898"/>
      <c r="G292" s="2899">
        <f t="shared" si="150"/>
        <v>0</v>
      </c>
      <c r="H292" s="2900">
        <f t="shared" si="151"/>
        <v>0</v>
      </c>
      <c r="I292" s="2918"/>
      <c r="J292" s="2918"/>
      <c r="K292" s="2918"/>
      <c r="L292" s="2918"/>
      <c r="M292" s="2918"/>
      <c r="N292" s="2918"/>
      <c r="O292" s="2918"/>
      <c r="P292" s="2918"/>
      <c r="Q292" s="2918"/>
      <c r="R292" s="2918"/>
      <c r="S292" s="2918"/>
      <c r="T292" s="2918"/>
      <c r="U292" s="2918"/>
      <c r="V292" s="2918"/>
      <c r="W292" s="2918"/>
      <c r="X292" s="2918"/>
      <c r="Y292" s="2918"/>
      <c r="Z292" s="2918"/>
      <c r="AA292" s="2918"/>
      <c r="AB292" s="2918"/>
      <c r="AC292" s="2897">
        <f t="shared" si="152"/>
        <v>0</v>
      </c>
      <c r="AD292" s="2929"/>
      <c r="AE292" s="2929"/>
      <c r="AF292" s="2929"/>
      <c r="AG292" s="2929"/>
      <c r="AH292" s="2929"/>
      <c r="AI292" s="2929"/>
      <c r="AJ292" s="2929"/>
      <c r="AK292" s="2929"/>
      <c r="AL292" s="2929"/>
      <c r="AM292" s="2929"/>
      <c r="AN292" s="2929"/>
      <c r="AO292" s="2929"/>
      <c r="AP292" s="2929"/>
      <c r="AQ292" s="2929"/>
      <c r="AR292" s="2929"/>
      <c r="AS292" s="2929"/>
      <c r="AT292" s="2949"/>
      <c r="AU292" s="2950"/>
      <c r="AV292" s="454">
        <f t="shared" si="153"/>
        <v>0</v>
      </c>
      <c r="AW292" s="454">
        <f t="shared" si="154"/>
        <v>0</v>
      </c>
      <c r="AX292" s="454">
        <f t="shared" si="155"/>
        <v>0</v>
      </c>
      <c r="AY292" s="2966">
        <f t="shared" si="156"/>
        <v>0</v>
      </c>
      <c r="AZ292" s="2897">
        <f t="shared" si="157"/>
        <v>0</v>
      </c>
      <c r="BA292" s="2897">
        <f t="shared" si="158"/>
        <v>0</v>
      </c>
      <c r="BB292" s="2897">
        <f t="shared" si="159"/>
        <v>0</v>
      </c>
      <c r="BC292" s="2897">
        <f t="shared" si="160"/>
        <v>0</v>
      </c>
      <c r="BD292" s="2897">
        <f t="shared" si="161"/>
        <v>0</v>
      </c>
      <c r="BE292" s="2897">
        <f t="shared" si="162"/>
        <v>0</v>
      </c>
      <c r="BF292" s="2897">
        <f t="shared" si="163"/>
        <v>0</v>
      </c>
      <c r="BG292" s="2897">
        <f t="shared" si="164"/>
        <v>0</v>
      </c>
      <c r="BH292" s="2897">
        <f t="shared" si="165"/>
        <v>0</v>
      </c>
      <c r="BI292" s="2897">
        <f t="shared" si="166"/>
        <v>0</v>
      </c>
      <c r="BJ292" s="2897">
        <f t="shared" si="167"/>
        <v>0</v>
      </c>
      <c r="BK292" s="2897">
        <f t="shared" si="168"/>
        <v>0</v>
      </c>
      <c r="BL292" s="2897">
        <f t="shared" si="169"/>
        <v>0</v>
      </c>
      <c r="BM292" s="2897">
        <f t="shared" si="170"/>
        <v>0</v>
      </c>
      <c r="BN292" s="2897">
        <f t="shared" si="171"/>
        <v>0</v>
      </c>
      <c r="BO292" s="2897">
        <f t="shared" si="172"/>
        <v>0</v>
      </c>
      <c r="BP292" s="2897">
        <f t="shared" si="173"/>
        <v>0</v>
      </c>
      <c r="BQ292" s="2897">
        <f t="shared" si="174"/>
        <v>0</v>
      </c>
      <c r="BR292" s="2897">
        <f t="shared" si="175"/>
        <v>0</v>
      </c>
      <c r="BS292" s="2897">
        <f t="shared" si="176"/>
        <v>0</v>
      </c>
      <c r="BT292" s="2971">
        <f t="shared" si="177"/>
        <v>0</v>
      </c>
    </row>
    <row r="293" spans="1:72">
      <c r="A293" s="2894"/>
      <c r="B293" s="2895"/>
      <c r="C293" s="2895"/>
      <c r="D293" s="2907"/>
      <c r="E293" s="2897">
        <f t="shared" si="149"/>
        <v>0</v>
      </c>
      <c r="F293" s="2898"/>
      <c r="G293" s="2899">
        <f t="shared" si="150"/>
        <v>0</v>
      </c>
      <c r="H293" s="2900">
        <f t="shared" si="151"/>
        <v>0</v>
      </c>
      <c r="I293" s="2918"/>
      <c r="J293" s="2918"/>
      <c r="K293" s="2918"/>
      <c r="L293" s="2918"/>
      <c r="M293" s="2918"/>
      <c r="N293" s="2918"/>
      <c r="O293" s="2918"/>
      <c r="P293" s="2918"/>
      <c r="Q293" s="2918"/>
      <c r="R293" s="2918"/>
      <c r="S293" s="2918"/>
      <c r="T293" s="2918"/>
      <c r="U293" s="2918"/>
      <c r="V293" s="2918"/>
      <c r="W293" s="2918"/>
      <c r="X293" s="2918"/>
      <c r="Y293" s="2918"/>
      <c r="Z293" s="2918"/>
      <c r="AA293" s="2918"/>
      <c r="AB293" s="2918"/>
      <c r="AC293" s="2897">
        <f t="shared" si="152"/>
        <v>0</v>
      </c>
      <c r="AD293" s="2929"/>
      <c r="AE293" s="2929"/>
      <c r="AF293" s="2929"/>
      <c r="AG293" s="2929"/>
      <c r="AH293" s="2929"/>
      <c r="AI293" s="2929"/>
      <c r="AJ293" s="2929"/>
      <c r="AK293" s="2929"/>
      <c r="AL293" s="2929"/>
      <c r="AM293" s="2929"/>
      <c r="AN293" s="2929"/>
      <c r="AO293" s="2929"/>
      <c r="AP293" s="2929"/>
      <c r="AQ293" s="2929"/>
      <c r="AR293" s="2929"/>
      <c r="AS293" s="2929"/>
      <c r="AT293" s="2949"/>
      <c r="AU293" s="2950"/>
      <c r="AV293" s="454">
        <f t="shared" si="153"/>
        <v>0</v>
      </c>
      <c r="AW293" s="454">
        <f t="shared" si="154"/>
        <v>0</v>
      </c>
      <c r="AX293" s="454">
        <f t="shared" si="155"/>
        <v>0</v>
      </c>
      <c r="AY293" s="2966">
        <f t="shared" si="156"/>
        <v>0</v>
      </c>
      <c r="AZ293" s="2897">
        <f t="shared" si="157"/>
        <v>0</v>
      </c>
      <c r="BA293" s="2897">
        <f t="shared" si="158"/>
        <v>0</v>
      </c>
      <c r="BB293" s="2897">
        <f t="shared" si="159"/>
        <v>0</v>
      </c>
      <c r="BC293" s="2897">
        <f t="shared" si="160"/>
        <v>0</v>
      </c>
      <c r="BD293" s="2897">
        <f t="shared" si="161"/>
        <v>0</v>
      </c>
      <c r="BE293" s="2897">
        <f t="shared" si="162"/>
        <v>0</v>
      </c>
      <c r="BF293" s="2897">
        <f t="shared" si="163"/>
        <v>0</v>
      </c>
      <c r="BG293" s="2897">
        <f t="shared" si="164"/>
        <v>0</v>
      </c>
      <c r="BH293" s="2897">
        <f t="shared" si="165"/>
        <v>0</v>
      </c>
      <c r="BI293" s="2897">
        <f t="shared" si="166"/>
        <v>0</v>
      </c>
      <c r="BJ293" s="2897">
        <f t="shared" si="167"/>
        <v>0</v>
      </c>
      <c r="BK293" s="2897">
        <f t="shared" si="168"/>
        <v>0</v>
      </c>
      <c r="BL293" s="2897">
        <f t="shared" si="169"/>
        <v>0</v>
      </c>
      <c r="BM293" s="2897">
        <f t="shared" si="170"/>
        <v>0</v>
      </c>
      <c r="BN293" s="2897">
        <f t="shared" si="171"/>
        <v>0</v>
      </c>
      <c r="BO293" s="2897">
        <f t="shared" si="172"/>
        <v>0</v>
      </c>
      <c r="BP293" s="2897">
        <f t="shared" si="173"/>
        <v>0</v>
      </c>
      <c r="BQ293" s="2897">
        <f t="shared" si="174"/>
        <v>0</v>
      </c>
      <c r="BR293" s="2897">
        <f t="shared" si="175"/>
        <v>0</v>
      </c>
      <c r="BS293" s="2897">
        <f t="shared" si="176"/>
        <v>0</v>
      </c>
      <c r="BT293" s="2971">
        <f t="shared" si="177"/>
        <v>0</v>
      </c>
    </row>
    <row r="294" spans="1:72">
      <c r="A294" s="2894"/>
      <c r="B294" s="2894"/>
      <c r="C294" s="2894"/>
      <c r="D294" s="2907"/>
      <c r="E294" s="2897">
        <f t="shared" si="149"/>
        <v>0</v>
      </c>
      <c r="F294" s="2972"/>
      <c r="G294" s="2899">
        <f t="shared" ref="G294:G325" si="178">H294+AC294+AT294</f>
        <v>0</v>
      </c>
      <c r="H294" s="2900">
        <f t="shared" ref="H294:H325" si="179">SUMIF(I$12:AB$12,"总值",I294:AB294)</f>
        <v>0</v>
      </c>
      <c r="I294" s="2973"/>
      <c r="J294" s="2973"/>
      <c r="K294" s="2918"/>
      <c r="L294" s="2918"/>
      <c r="M294" s="2918"/>
      <c r="N294" s="2918"/>
      <c r="O294" s="2918"/>
      <c r="P294" s="2918"/>
      <c r="Q294" s="2918"/>
      <c r="R294" s="2918"/>
      <c r="S294" s="2918"/>
      <c r="T294" s="2918"/>
      <c r="U294" s="2918"/>
      <c r="V294" s="2918"/>
      <c r="W294" s="2918"/>
      <c r="X294" s="2918"/>
      <c r="Y294" s="2918"/>
      <c r="Z294" s="2918"/>
      <c r="AA294" s="2918"/>
      <c r="AB294" s="2918"/>
      <c r="AC294" s="2897">
        <f t="shared" ref="AC294:AC325" si="180">SUMIF(AD$12:AS$12,"总值",AD294:AS294)</f>
        <v>0</v>
      </c>
      <c r="AD294" s="2929"/>
      <c r="AE294" s="2929"/>
      <c r="AF294" s="2929"/>
      <c r="AG294" s="2929"/>
      <c r="AH294" s="2929"/>
      <c r="AI294" s="2929"/>
      <c r="AJ294" s="2929"/>
      <c r="AK294" s="2929"/>
      <c r="AL294" s="2929"/>
      <c r="AM294" s="2929"/>
      <c r="AN294" s="2929"/>
      <c r="AO294" s="2929"/>
      <c r="AP294" s="2929"/>
      <c r="AQ294" s="2929"/>
      <c r="AR294" s="2929"/>
      <c r="AS294" s="2929"/>
      <c r="AT294" s="2929"/>
      <c r="AU294" s="2974"/>
      <c r="AV294" s="454">
        <f t="shared" si="153"/>
        <v>0</v>
      </c>
      <c r="AW294" s="454">
        <f t="shared" si="154"/>
        <v>0</v>
      </c>
      <c r="AX294" s="454">
        <f t="shared" si="155"/>
        <v>0</v>
      </c>
      <c r="AY294" s="2966">
        <f t="shared" ref="AY294:AY325" si="181">ROUND($AY$6*AZ294/$AZ$5,2)</f>
        <v>0</v>
      </c>
      <c r="AZ294" s="2897">
        <f t="shared" ref="AZ294:AZ325" si="182">BA294+BL294</f>
        <v>0</v>
      </c>
      <c r="BA294" s="2897">
        <f t="shared" ref="BA294:BA325" si="183">SUM(BB294:BK294)</f>
        <v>0</v>
      </c>
      <c r="BB294" s="2897">
        <f t="shared" ref="BB294:BB325" si="184">IF($D294="是",I294-J294,0)</f>
        <v>0</v>
      </c>
      <c r="BC294" s="2897">
        <f t="shared" ref="BC294:BC325" si="185">IF($D294="是",K294-L294,0)</f>
        <v>0</v>
      </c>
      <c r="BD294" s="2897">
        <f t="shared" ref="BD294:BD325" si="186">IF($D294="是",M294-N294,0)</f>
        <v>0</v>
      </c>
      <c r="BE294" s="2897">
        <f t="shared" ref="BE294:BE325" si="187">IF($D294="是",O294-P294,0)</f>
        <v>0</v>
      </c>
      <c r="BF294" s="2897">
        <f t="shared" ref="BF294:BF325" si="188">IF($D294="是",Q294-R294,0)</f>
        <v>0</v>
      </c>
      <c r="BG294" s="2897">
        <f t="shared" ref="BG294:BG325" si="189">IF($D294="是",S294-T294,0)</f>
        <v>0</v>
      </c>
      <c r="BH294" s="2897">
        <f t="shared" ref="BH294:BH325" si="190">IF($D294="是",U294-V294,0)</f>
        <v>0</v>
      </c>
      <c r="BI294" s="2897">
        <f t="shared" ref="BI294:BI325" si="191">IF($D294="是",W294-X294,0)</f>
        <v>0</v>
      </c>
      <c r="BJ294" s="2897">
        <f t="shared" ref="BJ294:BJ325" si="192">IF($D294="是",Y294-Z294,0)</f>
        <v>0</v>
      </c>
      <c r="BK294" s="2897">
        <f t="shared" ref="BK294:BK325" si="193">IF($D294="是",AA294-AB294,0)</f>
        <v>0</v>
      </c>
      <c r="BL294" s="2897">
        <f t="shared" ref="BL294:BL325" si="194">SUM(BM294:BT294)</f>
        <v>0</v>
      </c>
      <c r="BM294" s="2897">
        <f t="shared" ref="BM294:BM325" si="195">IF($D294="是",AD294-AE294,0)</f>
        <v>0</v>
      </c>
      <c r="BN294" s="2897">
        <f t="shared" ref="BN294:BN325" si="196">IF($D294="是",AF294-AG294,0)</f>
        <v>0</v>
      </c>
      <c r="BO294" s="2897">
        <f t="shared" ref="BO294:BO325" si="197">IF($D294="是",AH294-AI294,0)</f>
        <v>0</v>
      </c>
      <c r="BP294" s="2897">
        <f t="shared" ref="BP294:BP325" si="198">IF($D294="是",AJ294-AK294,0)</f>
        <v>0</v>
      </c>
      <c r="BQ294" s="2897">
        <f t="shared" ref="BQ294:BQ325" si="199">IF($D294="是",AL294-AM294,0)</f>
        <v>0</v>
      </c>
      <c r="BR294" s="2897">
        <f t="shared" ref="BR294:BR325" si="200">IF($D294="是",AN294-AO294,0)</f>
        <v>0</v>
      </c>
      <c r="BS294" s="2897">
        <f t="shared" ref="BS294:BS325" si="201">IF($D294="是",AP294-AQ294,0)</f>
        <v>0</v>
      </c>
      <c r="BT294" s="2971">
        <f t="shared" ref="BT294:BT325" si="202">IF($D294="是",AR294-AS294,0)</f>
        <v>0</v>
      </c>
    </row>
    <row r="295" spans="1:72">
      <c r="A295" s="2894"/>
      <c r="B295" s="2894"/>
      <c r="C295" s="2894"/>
      <c r="D295" s="2907"/>
      <c r="E295" s="2897">
        <f t="shared" si="149"/>
        <v>0</v>
      </c>
      <c r="F295" s="2972"/>
      <c r="G295" s="2899">
        <f t="shared" si="178"/>
        <v>0</v>
      </c>
      <c r="H295" s="2900">
        <f t="shared" si="179"/>
        <v>0</v>
      </c>
      <c r="I295" s="2918"/>
      <c r="J295" s="2918"/>
      <c r="K295" s="2918"/>
      <c r="L295" s="2918"/>
      <c r="M295" s="2918"/>
      <c r="N295" s="2918"/>
      <c r="O295" s="2918"/>
      <c r="P295" s="2918"/>
      <c r="Q295" s="2918"/>
      <c r="R295" s="2918"/>
      <c r="S295" s="2918"/>
      <c r="T295" s="2918"/>
      <c r="U295" s="2918"/>
      <c r="V295" s="2918"/>
      <c r="W295" s="2918"/>
      <c r="X295" s="2918"/>
      <c r="Y295" s="2918"/>
      <c r="Z295" s="2918"/>
      <c r="AA295" s="2918"/>
      <c r="AB295" s="2918"/>
      <c r="AC295" s="2897">
        <f t="shared" si="180"/>
        <v>0</v>
      </c>
      <c r="AD295" s="2929"/>
      <c r="AE295" s="2929"/>
      <c r="AF295" s="2929"/>
      <c r="AG295" s="2929"/>
      <c r="AH295" s="2929"/>
      <c r="AI295" s="2929"/>
      <c r="AJ295" s="2929"/>
      <c r="AK295" s="2929"/>
      <c r="AL295" s="2929"/>
      <c r="AM295" s="2929"/>
      <c r="AN295" s="2929"/>
      <c r="AO295" s="2929"/>
      <c r="AP295" s="2929"/>
      <c r="AQ295" s="2929"/>
      <c r="AR295" s="2929"/>
      <c r="AS295" s="2929"/>
      <c r="AT295" s="2929"/>
      <c r="AU295" s="2974"/>
      <c r="AV295" s="454">
        <f t="shared" si="153"/>
        <v>0</v>
      </c>
      <c r="AW295" s="454">
        <f t="shared" si="154"/>
        <v>0</v>
      </c>
      <c r="AX295" s="454">
        <f t="shared" si="155"/>
        <v>0</v>
      </c>
      <c r="AY295" s="2966">
        <f t="shared" si="181"/>
        <v>0</v>
      </c>
      <c r="AZ295" s="2897">
        <f t="shared" si="182"/>
        <v>0</v>
      </c>
      <c r="BA295" s="2897">
        <f t="shared" si="183"/>
        <v>0</v>
      </c>
      <c r="BB295" s="2897">
        <f t="shared" si="184"/>
        <v>0</v>
      </c>
      <c r="BC295" s="2897">
        <f t="shared" si="185"/>
        <v>0</v>
      </c>
      <c r="BD295" s="2897">
        <f t="shared" si="186"/>
        <v>0</v>
      </c>
      <c r="BE295" s="2897">
        <f t="shared" si="187"/>
        <v>0</v>
      </c>
      <c r="BF295" s="2897">
        <f t="shared" si="188"/>
        <v>0</v>
      </c>
      <c r="BG295" s="2897">
        <f t="shared" si="189"/>
        <v>0</v>
      </c>
      <c r="BH295" s="2897">
        <f t="shared" si="190"/>
        <v>0</v>
      </c>
      <c r="BI295" s="2897">
        <f t="shared" si="191"/>
        <v>0</v>
      </c>
      <c r="BJ295" s="2897">
        <f t="shared" si="192"/>
        <v>0</v>
      </c>
      <c r="BK295" s="2897">
        <f t="shared" si="193"/>
        <v>0</v>
      </c>
      <c r="BL295" s="2897">
        <f t="shared" si="194"/>
        <v>0</v>
      </c>
      <c r="BM295" s="2897">
        <f t="shared" si="195"/>
        <v>0</v>
      </c>
      <c r="BN295" s="2897">
        <f t="shared" si="196"/>
        <v>0</v>
      </c>
      <c r="BO295" s="2897">
        <f t="shared" si="197"/>
        <v>0</v>
      </c>
      <c r="BP295" s="2897">
        <f t="shared" si="198"/>
        <v>0</v>
      </c>
      <c r="BQ295" s="2897">
        <f t="shared" si="199"/>
        <v>0</v>
      </c>
      <c r="BR295" s="2897">
        <f t="shared" si="200"/>
        <v>0</v>
      </c>
      <c r="BS295" s="2897">
        <f t="shared" si="201"/>
        <v>0</v>
      </c>
      <c r="BT295" s="2971">
        <f t="shared" si="202"/>
        <v>0</v>
      </c>
    </row>
    <row r="296" spans="1:72">
      <c r="A296" s="2894"/>
      <c r="B296" s="2894"/>
      <c r="C296" s="2894"/>
      <c r="D296" s="2907"/>
      <c r="E296" s="2897">
        <f t="shared" si="149"/>
        <v>0</v>
      </c>
      <c r="F296" s="2972"/>
      <c r="G296" s="2899">
        <f t="shared" si="178"/>
        <v>0</v>
      </c>
      <c r="H296" s="2900">
        <f t="shared" si="179"/>
        <v>0</v>
      </c>
      <c r="I296" s="2918"/>
      <c r="J296" s="2918"/>
      <c r="K296" s="2918"/>
      <c r="L296" s="2918"/>
      <c r="M296" s="2918"/>
      <c r="N296" s="2918"/>
      <c r="O296" s="2918"/>
      <c r="P296" s="2918"/>
      <c r="Q296" s="2918"/>
      <c r="R296" s="2918"/>
      <c r="S296" s="2918"/>
      <c r="T296" s="2918"/>
      <c r="U296" s="2918"/>
      <c r="V296" s="2918"/>
      <c r="W296" s="2918"/>
      <c r="X296" s="2918"/>
      <c r="Y296" s="2918"/>
      <c r="Z296" s="2918"/>
      <c r="AA296" s="2918"/>
      <c r="AB296" s="2918"/>
      <c r="AC296" s="2897">
        <f t="shared" si="180"/>
        <v>0</v>
      </c>
      <c r="AD296" s="2929"/>
      <c r="AE296" s="2929"/>
      <c r="AF296" s="2929"/>
      <c r="AG296" s="2929"/>
      <c r="AH296" s="2929"/>
      <c r="AI296" s="2929"/>
      <c r="AJ296" s="2929"/>
      <c r="AK296" s="2929"/>
      <c r="AL296" s="2929"/>
      <c r="AM296" s="2929"/>
      <c r="AN296" s="2929"/>
      <c r="AO296" s="2929"/>
      <c r="AP296" s="2929"/>
      <c r="AQ296" s="2929"/>
      <c r="AR296" s="2929"/>
      <c r="AS296" s="2929"/>
      <c r="AT296" s="2929"/>
      <c r="AU296" s="2974"/>
      <c r="AV296" s="454">
        <f t="shared" si="153"/>
        <v>0</v>
      </c>
      <c r="AW296" s="454">
        <f t="shared" si="154"/>
        <v>0</v>
      </c>
      <c r="AX296" s="454">
        <f t="shared" si="155"/>
        <v>0</v>
      </c>
      <c r="AY296" s="2966">
        <f t="shared" si="181"/>
        <v>0</v>
      </c>
      <c r="AZ296" s="2897">
        <f t="shared" si="182"/>
        <v>0</v>
      </c>
      <c r="BA296" s="2897">
        <f t="shared" si="183"/>
        <v>0</v>
      </c>
      <c r="BB296" s="2897">
        <f t="shared" si="184"/>
        <v>0</v>
      </c>
      <c r="BC296" s="2897">
        <f t="shared" si="185"/>
        <v>0</v>
      </c>
      <c r="BD296" s="2897">
        <f t="shared" si="186"/>
        <v>0</v>
      </c>
      <c r="BE296" s="2897">
        <f t="shared" si="187"/>
        <v>0</v>
      </c>
      <c r="BF296" s="2897">
        <f t="shared" si="188"/>
        <v>0</v>
      </c>
      <c r="BG296" s="2897">
        <f t="shared" si="189"/>
        <v>0</v>
      </c>
      <c r="BH296" s="2897">
        <f t="shared" si="190"/>
        <v>0</v>
      </c>
      <c r="BI296" s="2897">
        <f t="shared" si="191"/>
        <v>0</v>
      </c>
      <c r="BJ296" s="2897">
        <f t="shared" si="192"/>
        <v>0</v>
      </c>
      <c r="BK296" s="2897">
        <f t="shared" si="193"/>
        <v>0</v>
      </c>
      <c r="BL296" s="2897">
        <f t="shared" si="194"/>
        <v>0</v>
      </c>
      <c r="BM296" s="2897">
        <f t="shared" si="195"/>
        <v>0</v>
      </c>
      <c r="BN296" s="2897">
        <f t="shared" si="196"/>
        <v>0</v>
      </c>
      <c r="BO296" s="2897">
        <f t="shared" si="197"/>
        <v>0</v>
      </c>
      <c r="BP296" s="2897">
        <f t="shared" si="198"/>
        <v>0</v>
      </c>
      <c r="BQ296" s="2897">
        <f t="shared" si="199"/>
        <v>0</v>
      </c>
      <c r="BR296" s="2897">
        <f t="shared" si="200"/>
        <v>0</v>
      </c>
      <c r="BS296" s="2897">
        <f t="shared" si="201"/>
        <v>0</v>
      </c>
      <c r="BT296" s="2971">
        <f t="shared" si="202"/>
        <v>0</v>
      </c>
    </row>
    <row r="297" spans="1:72">
      <c r="A297" s="2894"/>
      <c r="B297" s="2904"/>
      <c r="C297" s="2902"/>
      <c r="D297" s="2903"/>
      <c r="E297" s="2897">
        <f t="shared" ref="E297:E328" si="203">IF($C$3="是",ROUND($A$3*G297/$B$3,2),ROUND($A$3*(G297-AT297)/$B$3,2))</f>
        <v>0</v>
      </c>
      <c r="F297" s="2898"/>
      <c r="G297" s="2899">
        <f t="shared" si="178"/>
        <v>0</v>
      </c>
      <c r="H297" s="2900">
        <f t="shared" si="179"/>
        <v>0</v>
      </c>
      <c r="I297" s="2906"/>
      <c r="J297" s="2918"/>
      <c r="K297" s="2906"/>
      <c r="L297" s="2918"/>
      <c r="M297" s="2918"/>
      <c r="N297" s="2918"/>
      <c r="O297" s="2918"/>
      <c r="P297" s="2918"/>
      <c r="Q297" s="2918"/>
      <c r="R297" s="2918"/>
      <c r="S297" s="2918"/>
      <c r="T297" s="2918"/>
      <c r="U297" s="2918"/>
      <c r="V297" s="2918"/>
      <c r="W297" s="2918"/>
      <c r="X297" s="2918"/>
      <c r="Y297" s="2918"/>
      <c r="Z297" s="2918"/>
      <c r="AA297" s="2918"/>
      <c r="AB297" s="2918"/>
      <c r="AC297" s="2897">
        <f t="shared" si="180"/>
        <v>0</v>
      </c>
      <c r="AD297" s="2929"/>
      <c r="AE297" s="2929"/>
      <c r="AF297" s="2930"/>
      <c r="AG297" s="2929"/>
      <c r="AH297" s="2929"/>
      <c r="AI297" s="2929"/>
      <c r="AJ297" s="2929"/>
      <c r="AK297" s="2929"/>
      <c r="AL297" s="2929"/>
      <c r="AM297" s="2929"/>
      <c r="AN297" s="2919"/>
      <c r="AO297" s="2929"/>
      <c r="AP297" s="2929"/>
      <c r="AQ297" s="2929"/>
      <c r="AR297" s="2929"/>
      <c r="AS297" s="2929"/>
      <c r="AT297" s="2949"/>
      <c r="AU297" s="2950"/>
      <c r="AV297" s="454">
        <f t="shared" ref="AV297:AV328" si="204">A297</f>
        <v>0</v>
      </c>
      <c r="AW297" s="454">
        <f t="shared" ref="AW297:AW328" si="205">B297</f>
        <v>0</v>
      </c>
      <c r="AX297" s="454">
        <f t="shared" ref="AX297:AX328" si="206">C297</f>
        <v>0</v>
      </c>
      <c r="AY297" s="2966">
        <f t="shared" si="181"/>
        <v>0</v>
      </c>
      <c r="AZ297" s="2897">
        <f t="shared" si="182"/>
        <v>0</v>
      </c>
      <c r="BA297" s="2897">
        <f t="shared" si="183"/>
        <v>0</v>
      </c>
      <c r="BB297" s="2897">
        <f t="shared" si="184"/>
        <v>0</v>
      </c>
      <c r="BC297" s="2897">
        <f t="shared" si="185"/>
        <v>0</v>
      </c>
      <c r="BD297" s="2897">
        <f t="shared" si="186"/>
        <v>0</v>
      </c>
      <c r="BE297" s="2897">
        <f t="shared" si="187"/>
        <v>0</v>
      </c>
      <c r="BF297" s="2897">
        <f t="shared" si="188"/>
        <v>0</v>
      </c>
      <c r="BG297" s="2897">
        <f t="shared" si="189"/>
        <v>0</v>
      </c>
      <c r="BH297" s="2897">
        <f t="shared" si="190"/>
        <v>0</v>
      </c>
      <c r="BI297" s="2897">
        <f t="shared" si="191"/>
        <v>0</v>
      </c>
      <c r="BJ297" s="2897">
        <f t="shared" si="192"/>
        <v>0</v>
      </c>
      <c r="BK297" s="2897">
        <f t="shared" si="193"/>
        <v>0</v>
      </c>
      <c r="BL297" s="2897">
        <f t="shared" si="194"/>
        <v>0</v>
      </c>
      <c r="BM297" s="2897">
        <f t="shared" si="195"/>
        <v>0</v>
      </c>
      <c r="BN297" s="2897">
        <f t="shared" si="196"/>
        <v>0</v>
      </c>
      <c r="BO297" s="2897">
        <f t="shared" si="197"/>
        <v>0</v>
      </c>
      <c r="BP297" s="2897">
        <f t="shared" si="198"/>
        <v>0</v>
      </c>
      <c r="BQ297" s="2897">
        <f t="shared" si="199"/>
        <v>0</v>
      </c>
      <c r="BR297" s="2897">
        <f t="shared" si="200"/>
        <v>0</v>
      </c>
      <c r="BS297" s="2897">
        <f t="shared" si="201"/>
        <v>0</v>
      </c>
      <c r="BT297" s="2971">
        <f t="shared" si="202"/>
        <v>0</v>
      </c>
    </row>
    <row r="298" spans="1:72">
      <c r="A298" s="2894"/>
      <c r="B298" s="2904"/>
      <c r="C298" s="2902"/>
      <c r="D298" s="2903"/>
      <c r="E298" s="2897">
        <f t="shared" si="203"/>
        <v>0</v>
      </c>
      <c r="F298" s="2898"/>
      <c r="G298" s="2899">
        <f t="shared" si="178"/>
        <v>0</v>
      </c>
      <c r="H298" s="2900">
        <f t="shared" si="179"/>
        <v>0</v>
      </c>
      <c r="I298" s="2906"/>
      <c r="J298" s="2918"/>
      <c r="K298" s="2906"/>
      <c r="L298" s="2918"/>
      <c r="M298" s="2919"/>
      <c r="N298" s="2918"/>
      <c r="O298" s="2918"/>
      <c r="P298" s="2918"/>
      <c r="Q298" s="2918"/>
      <c r="R298" s="2918"/>
      <c r="S298" s="2918"/>
      <c r="T298" s="2918"/>
      <c r="U298" s="2918"/>
      <c r="V298" s="2918"/>
      <c r="W298" s="2918"/>
      <c r="X298" s="2918"/>
      <c r="Y298" s="2918"/>
      <c r="Z298" s="2918"/>
      <c r="AA298" s="2918"/>
      <c r="AB298" s="2918"/>
      <c r="AC298" s="2897">
        <f t="shared" si="180"/>
        <v>0</v>
      </c>
      <c r="AD298" s="2919"/>
      <c r="AE298" s="2929"/>
      <c r="AF298" s="2930"/>
      <c r="AG298" s="2929"/>
      <c r="AH298" s="2929"/>
      <c r="AI298" s="2929"/>
      <c r="AJ298" s="2929"/>
      <c r="AK298" s="2929"/>
      <c r="AL298" s="2919"/>
      <c r="AM298" s="2929"/>
      <c r="AN298" s="2919"/>
      <c r="AO298" s="2929"/>
      <c r="AP298" s="2929"/>
      <c r="AQ298" s="2929"/>
      <c r="AR298" s="2929"/>
      <c r="AS298" s="2929"/>
      <c r="AT298" s="2949"/>
      <c r="AU298" s="2950"/>
      <c r="AV298" s="454">
        <f t="shared" si="204"/>
        <v>0</v>
      </c>
      <c r="AW298" s="454">
        <f t="shared" si="205"/>
        <v>0</v>
      </c>
      <c r="AX298" s="454">
        <f t="shared" si="206"/>
        <v>0</v>
      </c>
      <c r="AY298" s="2966">
        <f t="shared" si="181"/>
        <v>0</v>
      </c>
      <c r="AZ298" s="2897">
        <f t="shared" si="182"/>
        <v>0</v>
      </c>
      <c r="BA298" s="2897">
        <f t="shared" si="183"/>
        <v>0</v>
      </c>
      <c r="BB298" s="2897">
        <f t="shared" si="184"/>
        <v>0</v>
      </c>
      <c r="BC298" s="2897">
        <f t="shared" si="185"/>
        <v>0</v>
      </c>
      <c r="BD298" s="2897">
        <f t="shared" si="186"/>
        <v>0</v>
      </c>
      <c r="BE298" s="2897">
        <f t="shared" si="187"/>
        <v>0</v>
      </c>
      <c r="BF298" s="2897">
        <f t="shared" si="188"/>
        <v>0</v>
      </c>
      <c r="BG298" s="2897">
        <f t="shared" si="189"/>
        <v>0</v>
      </c>
      <c r="BH298" s="2897">
        <f t="shared" si="190"/>
        <v>0</v>
      </c>
      <c r="BI298" s="2897">
        <f t="shared" si="191"/>
        <v>0</v>
      </c>
      <c r="BJ298" s="2897">
        <f t="shared" si="192"/>
        <v>0</v>
      </c>
      <c r="BK298" s="2897">
        <f t="shared" si="193"/>
        <v>0</v>
      </c>
      <c r="BL298" s="2897">
        <f t="shared" si="194"/>
        <v>0</v>
      </c>
      <c r="BM298" s="2897">
        <f t="shared" si="195"/>
        <v>0</v>
      </c>
      <c r="BN298" s="2897">
        <f t="shared" si="196"/>
        <v>0</v>
      </c>
      <c r="BO298" s="2897">
        <f t="shared" si="197"/>
        <v>0</v>
      </c>
      <c r="BP298" s="2897">
        <f t="shared" si="198"/>
        <v>0</v>
      </c>
      <c r="BQ298" s="2897">
        <f t="shared" si="199"/>
        <v>0</v>
      </c>
      <c r="BR298" s="2897">
        <f t="shared" si="200"/>
        <v>0</v>
      </c>
      <c r="BS298" s="2897">
        <f t="shared" si="201"/>
        <v>0</v>
      </c>
      <c r="BT298" s="2971">
        <f t="shared" si="202"/>
        <v>0</v>
      </c>
    </row>
    <row r="299" spans="1:72">
      <c r="A299" s="2894"/>
      <c r="B299" s="2904"/>
      <c r="C299" s="2902"/>
      <c r="D299" s="2903"/>
      <c r="E299" s="2897">
        <f t="shared" si="203"/>
        <v>0</v>
      </c>
      <c r="F299" s="2898"/>
      <c r="G299" s="2899">
        <f t="shared" si="178"/>
        <v>0</v>
      </c>
      <c r="H299" s="2900">
        <f t="shared" si="179"/>
        <v>0</v>
      </c>
      <c r="I299" s="2906"/>
      <c r="J299" s="2918"/>
      <c r="K299" s="2906"/>
      <c r="L299" s="2918"/>
      <c r="M299" s="2919"/>
      <c r="N299" s="2918"/>
      <c r="O299" s="2918"/>
      <c r="P299" s="2918"/>
      <c r="Q299" s="2918"/>
      <c r="R299" s="2918"/>
      <c r="S299" s="2918"/>
      <c r="T299" s="2918"/>
      <c r="U299" s="2918"/>
      <c r="V299" s="2918"/>
      <c r="W299" s="2918"/>
      <c r="X299" s="2918"/>
      <c r="Y299" s="2918"/>
      <c r="Z299" s="2918"/>
      <c r="AA299" s="2918"/>
      <c r="AB299" s="2918"/>
      <c r="AC299" s="2897">
        <f t="shared" si="180"/>
        <v>0</v>
      </c>
      <c r="AD299" s="2929"/>
      <c r="AE299" s="2929"/>
      <c r="AF299" s="2930"/>
      <c r="AG299" s="2929"/>
      <c r="AH299" s="2929"/>
      <c r="AI299" s="2929"/>
      <c r="AJ299" s="2929"/>
      <c r="AK299" s="2929"/>
      <c r="AL299" s="2919"/>
      <c r="AM299" s="2929"/>
      <c r="AN299" s="2919"/>
      <c r="AO299" s="2929"/>
      <c r="AP299" s="2929"/>
      <c r="AQ299" s="2929"/>
      <c r="AR299" s="2929"/>
      <c r="AS299" s="2929"/>
      <c r="AT299" s="2949"/>
      <c r="AU299" s="2950"/>
      <c r="AV299" s="454">
        <f t="shared" si="204"/>
        <v>0</v>
      </c>
      <c r="AW299" s="454">
        <f t="shared" si="205"/>
        <v>0</v>
      </c>
      <c r="AX299" s="454">
        <f t="shared" si="206"/>
        <v>0</v>
      </c>
      <c r="AY299" s="2966">
        <f t="shared" si="181"/>
        <v>0</v>
      </c>
      <c r="AZ299" s="2897">
        <f t="shared" si="182"/>
        <v>0</v>
      </c>
      <c r="BA299" s="2897">
        <f t="shared" si="183"/>
        <v>0</v>
      </c>
      <c r="BB299" s="2897">
        <f t="shared" si="184"/>
        <v>0</v>
      </c>
      <c r="BC299" s="2897">
        <f t="shared" si="185"/>
        <v>0</v>
      </c>
      <c r="BD299" s="2897">
        <f t="shared" si="186"/>
        <v>0</v>
      </c>
      <c r="BE299" s="2897">
        <f t="shared" si="187"/>
        <v>0</v>
      </c>
      <c r="BF299" s="2897">
        <f t="shared" si="188"/>
        <v>0</v>
      </c>
      <c r="BG299" s="2897">
        <f t="shared" si="189"/>
        <v>0</v>
      </c>
      <c r="BH299" s="2897">
        <f t="shared" si="190"/>
        <v>0</v>
      </c>
      <c r="BI299" s="2897">
        <f t="shared" si="191"/>
        <v>0</v>
      </c>
      <c r="BJ299" s="2897">
        <f t="shared" si="192"/>
        <v>0</v>
      </c>
      <c r="BK299" s="2897">
        <f t="shared" si="193"/>
        <v>0</v>
      </c>
      <c r="BL299" s="2897">
        <f t="shared" si="194"/>
        <v>0</v>
      </c>
      <c r="BM299" s="2897">
        <f t="shared" si="195"/>
        <v>0</v>
      </c>
      <c r="BN299" s="2897">
        <f t="shared" si="196"/>
        <v>0</v>
      </c>
      <c r="BO299" s="2897">
        <f t="shared" si="197"/>
        <v>0</v>
      </c>
      <c r="BP299" s="2897">
        <f t="shared" si="198"/>
        <v>0</v>
      </c>
      <c r="BQ299" s="2897">
        <f t="shared" si="199"/>
        <v>0</v>
      </c>
      <c r="BR299" s="2897">
        <f t="shared" si="200"/>
        <v>0</v>
      </c>
      <c r="BS299" s="2897">
        <f t="shared" si="201"/>
        <v>0</v>
      </c>
      <c r="BT299" s="2971">
        <f t="shared" si="202"/>
        <v>0</v>
      </c>
    </row>
    <row r="300" spans="1:72">
      <c r="A300" s="2894"/>
      <c r="B300" s="2904"/>
      <c r="C300" s="2902"/>
      <c r="D300" s="2903"/>
      <c r="E300" s="2897">
        <f t="shared" si="203"/>
        <v>0</v>
      </c>
      <c r="F300" s="2898"/>
      <c r="G300" s="2899">
        <f t="shared" si="178"/>
        <v>0</v>
      </c>
      <c r="H300" s="2900">
        <f t="shared" si="179"/>
        <v>0</v>
      </c>
      <c r="I300" s="2906"/>
      <c r="J300" s="2918"/>
      <c r="K300" s="2906"/>
      <c r="L300" s="2918"/>
      <c r="M300" s="2918"/>
      <c r="N300" s="2918"/>
      <c r="O300" s="2919"/>
      <c r="P300" s="2918"/>
      <c r="Q300" s="2918"/>
      <c r="R300" s="2918"/>
      <c r="S300" s="2918"/>
      <c r="T300" s="2918"/>
      <c r="U300" s="2918"/>
      <c r="V300" s="2918"/>
      <c r="W300" s="2918"/>
      <c r="X300" s="2918"/>
      <c r="Y300" s="2918"/>
      <c r="Z300" s="2918"/>
      <c r="AA300" s="2918"/>
      <c r="AB300" s="2918"/>
      <c r="AC300" s="2897">
        <f t="shared" si="180"/>
        <v>0</v>
      </c>
      <c r="AD300" s="2929"/>
      <c r="AE300" s="2929"/>
      <c r="AF300" s="2930"/>
      <c r="AG300" s="2929"/>
      <c r="AH300" s="2929"/>
      <c r="AI300" s="2929"/>
      <c r="AJ300" s="2929"/>
      <c r="AK300" s="2929"/>
      <c r="AL300" s="2929"/>
      <c r="AM300" s="2929"/>
      <c r="AN300" s="2919"/>
      <c r="AO300" s="2929"/>
      <c r="AP300" s="2929"/>
      <c r="AQ300" s="2929"/>
      <c r="AR300" s="2929"/>
      <c r="AS300" s="2929"/>
      <c r="AT300" s="2949"/>
      <c r="AU300" s="2950"/>
      <c r="AV300" s="454">
        <f t="shared" si="204"/>
        <v>0</v>
      </c>
      <c r="AW300" s="454">
        <f t="shared" si="205"/>
        <v>0</v>
      </c>
      <c r="AX300" s="454">
        <f t="shared" si="206"/>
        <v>0</v>
      </c>
      <c r="AY300" s="2966">
        <f t="shared" si="181"/>
        <v>0</v>
      </c>
      <c r="AZ300" s="2897">
        <f t="shared" si="182"/>
        <v>0</v>
      </c>
      <c r="BA300" s="2897">
        <f t="shared" si="183"/>
        <v>0</v>
      </c>
      <c r="BB300" s="2897">
        <f t="shared" si="184"/>
        <v>0</v>
      </c>
      <c r="BC300" s="2897">
        <f t="shared" si="185"/>
        <v>0</v>
      </c>
      <c r="BD300" s="2897">
        <f t="shared" si="186"/>
        <v>0</v>
      </c>
      <c r="BE300" s="2897">
        <f t="shared" si="187"/>
        <v>0</v>
      </c>
      <c r="BF300" s="2897">
        <f t="shared" si="188"/>
        <v>0</v>
      </c>
      <c r="BG300" s="2897">
        <f t="shared" si="189"/>
        <v>0</v>
      </c>
      <c r="BH300" s="2897">
        <f t="shared" si="190"/>
        <v>0</v>
      </c>
      <c r="BI300" s="2897">
        <f t="shared" si="191"/>
        <v>0</v>
      </c>
      <c r="BJ300" s="2897">
        <f t="shared" si="192"/>
        <v>0</v>
      </c>
      <c r="BK300" s="2897">
        <f t="shared" si="193"/>
        <v>0</v>
      </c>
      <c r="BL300" s="2897">
        <f t="shared" si="194"/>
        <v>0</v>
      </c>
      <c r="BM300" s="2897">
        <f t="shared" si="195"/>
        <v>0</v>
      </c>
      <c r="BN300" s="2897">
        <f t="shared" si="196"/>
        <v>0</v>
      </c>
      <c r="BO300" s="2897">
        <f t="shared" si="197"/>
        <v>0</v>
      </c>
      <c r="BP300" s="2897">
        <f t="shared" si="198"/>
        <v>0</v>
      </c>
      <c r="BQ300" s="2897">
        <f t="shared" si="199"/>
        <v>0</v>
      </c>
      <c r="BR300" s="2897">
        <f t="shared" si="200"/>
        <v>0</v>
      </c>
      <c r="BS300" s="2897">
        <f t="shared" si="201"/>
        <v>0</v>
      </c>
      <c r="BT300" s="2971">
        <f t="shared" si="202"/>
        <v>0</v>
      </c>
    </row>
    <row r="301" spans="1:72">
      <c r="A301" s="2894"/>
      <c r="B301" s="2904"/>
      <c r="C301" s="2902"/>
      <c r="D301" s="2903"/>
      <c r="E301" s="2897">
        <f t="shared" si="203"/>
        <v>0</v>
      </c>
      <c r="F301" s="2898"/>
      <c r="G301" s="2899">
        <f t="shared" si="178"/>
        <v>0</v>
      </c>
      <c r="H301" s="2900">
        <f t="shared" si="179"/>
        <v>0</v>
      </c>
      <c r="I301" s="2906"/>
      <c r="J301" s="2918"/>
      <c r="K301" s="2906"/>
      <c r="L301" s="2918"/>
      <c r="M301" s="2918"/>
      <c r="N301" s="2918"/>
      <c r="O301" s="2918"/>
      <c r="P301" s="2918"/>
      <c r="Q301" s="2918"/>
      <c r="R301" s="2918"/>
      <c r="S301" s="2918"/>
      <c r="T301" s="2918"/>
      <c r="U301" s="2918"/>
      <c r="V301" s="2918"/>
      <c r="W301" s="2918"/>
      <c r="X301" s="2918"/>
      <c r="Y301" s="2918"/>
      <c r="Z301" s="2918"/>
      <c r="AA301" s="2918"/>
      <c r="AB301" s="2918"/>
      <c r="AC301" s="2897">
        <f t="shared" si="180"/>
        <v>0</v>
      </c>
      <c r="AD301" s="2929"/>
      <c r="AE301" s="2929"/>
      <c r="AF301" s="2930"/>
      <c r="AG301" s="2929"/>
      <c r="AH301" s="2929"/>
      <c r="AI301" s="2929"/>
      <c r="AJ301" s="2929"/>
      <c r="AK301" s="2929"/>
      <c r="AL301" s="2929"/>
      <c r="AM301" s="2929"/>
      <c r="AN301" s="2929"/>
      <c r="AO301" s="2929"/>
      <c r="AP301" s="2929"/>
      <c r="AQ301" s="2929"/>
      <c r="AR301" s="2929"/>
      <c r="AS301" s="2929"/>
      <c r="AT301" s="2949"/>
      <c r="AU301" s="2950"/>
      <c r="AV301" s="454">
        <f t="shared" si="204"/>
        <v>0</v>
      </c>
      <c r="AW301" s="454">
        <f t="shared" si="205"/>
        <v>0</v>
      </c>
      <c r="AX301" s="454">
        <f t="shared" si="206"/>
        <v>0</v>
      </c>
      <c r="AY301" s="2966">
        <f t="shared" si="181"/>
        <v>0</v>
      </c>
      <c r="AZ301" s="2897">
        <f t="shared" si="182"/>
        <v>0</v>
      </c>
      <c r="BA301" s="2897">
        <f t="shared" si="183"/>
        <v>0</v>
      </c>
      <c r="BB301" s="2897">
        <f t="shared" si="184"/>
        <v>0</v>
      </c>
      <c r="BC301" s="2897">
        <f t="shared" si="185"/>
        <v>0</v>
      </c>
      <c r="BD301" s="2897">
        <f t="shared" si="186"/>
        <v>0</v>
      </c>
      <c r="BE301" s="2897">
        <f t="shared" si="187"/>
        <v>0</v>
      </c>
      <c r="BF301" s="2897">
        <f t="shared" si="188"/>
        <v>0</v>
      </c>
      <c r="BG301" s="2897">
        <f t="shared" si="189"/>
        <v>0</v>
      </c>
      <c r="BH301" s="2897">
        <f t="shared" si="190"/>
        <v>0</v>
      </c>
      <c r="BI301" s="2897">
        <f t="shared" si="191"/>
        <v>0</v>
      </c>
      <c r="BJ301" s="2897">
        <f t="shared" si="192"/>
        <v>0</v>
      </c>
      <c r="BK301" s="2897">
        <f t="shared" si="193"/>
        <v>0</v>
      </c>
      <c r="BL301" s="2897">
        <f t="shared" si="194"/>
        <v>0</v>
      </c>
      <c r="BM301" s="2897">
        <f t="shared" si="195"/>
        <v>0</v>
      </c>
      <c r="BN301" s="2897">
        <f t="shared" si="196"/>
        <v>0</v>
      </c>
      <c r="BO301" s="2897">
        <f t="shared" si="197"/>
        <v>0</v>
      </c>
      <c r="BP301" s="2897">
        <f t="shared" si="198"/>
        <v>0</v>
      </c>
      <c r="BQ301" s="2897">
        <f t="shared" si="199"/>
        <v>0</v>
      </c>
      <c r="BR301" s="2897">
        <f t="shared" si="200"/>
        <v>0</v>
      </c>
      <c r="BS301" s="2897">
        <f t="shared" si="201"/>
        <v>0</v>
      </c>
      <c r="BT301" s="2971">
        <f t="shared" si="202"/>
        <v>0</v>
      </c>
    </row>
    <row r="302" spans="1:72">
      <c r="A302" s="2894"/>
      <c r="B302" s="2904"/>
      <c r="C302" s="2902"/>
      <c r="D302" s="2903"/>
      <c r="E302" s="2897">
        <f t="shared" si="203"/>
        <v>0</v>
      </c>
      <c r="F302" s="2898"/>
      <c r="G302" s="2899">
        <f t="shared" si="178"/>
        <v>0</v>
      </c>
      <c r="H302" s="2900">
        <f t="shared" si="179"/>
        <v>0</v>
      </c>
      <c r="I302" s="2906"/>
      <c r="J302" s="2918"/>
      <c r="K302" s="2906"/>
      <c r="L302" s="2918"/>
      <c r="M302" s="2918"/>
      <c r="N302" s="2918"/>
      <c r="O302" s="2918"/>
      <c r="P302" s="2918"/>
      <c r="Q302" s="2918"/>
      <c r="R302" s="2918"/>
      <c r="S302" s="2918"/>
      <c r="T302" s="2918"/>
      <c r="U302" s="2918"/>
      <c r="V302" s="2918"/>
      <c r="W302" s="2918"/>
      <c r="X302" s="2918"/>
      <c r="Y302" s="2918"/>
      <c r="Z302" s="2918"/>
      <c r="AA302" s="2918"/>
      <c r="AB302" s="2918"/>
      <c r="AC302" s="2897">
        <f t="shared" si="180"/>
        <v>0</v>
      </c>
      <c r="AD302" s="2929"/>
      <c r="AE302" s="2929"/>
      <c r="AF302" s="2930"/>
      <c r="AG302" s="2929"/>
      <c r="AH302" s="2929"/>
      <c r="AI302" s="2929"/>
      <c r="AJ302" s="2929"/>
      <c r="AK302" s="2929"/>
      <c r="AL302" s="2929"/>
      <c r="AM302" s="2929"/>
      <c r="AN302" s="2929"/>
      <c r="AO302" s="2929"/>
      <c r="AP302" s="2929"/>
      <c r="AQ302" s="2929"/>
      <c r="AR302" s="2929"/>
      <c r="AS302" s="2929"/>
      <c r="AT302" s="2949"/>
      <c r="AU302" s="2950"/>
      <c r="AV302" s="454">
        <f t="shared" si="204"/>
        <v>0</v>
      </c>
      <c r="AW302" s="454">
        <f t="shared" si="205"/>
        <v>0</v>
      </c>
      <c r="AX302" s="454">
        <f t="shared" si="206"/>
        <v>0</v>
      </c>
      <c r="AY302" s="2966">
        <f t="shared" si="181"/>
        <v>0</v>
      </c>
      <c r="AZ302" s="2897">
        <f t="shared" si="182"/>
        <v>0</v>
      </c>
      <c r="BA302" s="2897">
        <f t="shared" si="183"/>
        <v>0</v>
      </c>
      <c r="BB302" s="2897">
        <f t="shared" si="184"/>
        <v>0</v>
      </c>
      <c r="BC302" s="2897">
        <f t="shared" si="185"/>
        <v>0</v>
      </c>
      <c r="BD302" s="2897">
        <f t="shared" si="186"/>
        <v>0</v>
      </c>
      <c r="BE302" s="2897">
        <f t="shared" si="187"/>
        <v>0</v>
      </c>
      <c r="BF302" s="2897">
        <f t="shared" si="188"/>
        <v>0</v>
      </c>
      <c r="BG302" s="2897">
        <f t="shared" si="189"/>
        <v>0</v>
      </c>
      <c r="BH302" s="2897">
        <f t="shared" si="190"/>
        <v>0</v>
      </c>
      <c r="BI302" s="2897">
        <f t="shared" si="191"/>
        <v>0</v>
      </c>
      <c r="BJ302" s="2897">
        <f t="shared" si="192"/>
        <v>0</v>
      </c>
      <c r="BK302" s="2897">
        <f t="shared" si="193"/>
        <v>0</v>
      </c>
      <c r="BL302" s="2897">
        <f t="shared" si="194"/>
        <v>0</v>
      </c>
      <c r="BM302" s="2897">
        <f t="shared" si="195"/>
        <v>0</v>
      </c>
      <c r="BN302" s="2897">
        <f t="shared" si="196"/>
        <v>0</v>
      </c>
      <c r="BO302" s="2897">
        <f t="shared" si="197"/>
        <v>0</v>
      </c>
      <c r="BP302" s="2897">
        <f t="shared" si="198"/>
        <v>0</v>
      </c>
      <c r="BQ302" s="2897">
        <f t="shared" si="199"/>
        <v>0</v>
      </c>
      <c r="BR302" s="2897">
        <f t="shared" si="200"/>
        <v>0</v>
      </c>
      <c r="BS302" s="2897">
        <f t="shared" si="201"/>
        <v>0</v>
      </c>
      <c r="BT302" s="2971">
        <f t="shared" si="202"/>
        <v>0</v>
      </c>
    </row>
    <row r="303" spans="1:72">
      <c r="A303" s="2894"/>
      <c r="B303" s="2904"/>
      <c r="C303" s="2902"/>
      <c r="D303" s="2903"/>
      <c r="E303" s="2897">
        <f t="shared" si="203"/>
        <v>0</v>
      </c>
      <c r="F303" s="2898"/>
      <c r="G303" s="2899">
        <f t="shared" si="178"/>
        <v>0</v>
      </c>
      <c r="H303" s="2900">
        <f t="shared" si="179"/>
        <v>0</v>
      </c>
      <c r="I303" s="2906"/>
      <c r="J303" s="2918"/>
      <c r="K303" s="2906"/>
      <c r="L303" s="2918"/>
      <c r="M303" s="2918"/>
      <c r="N303" s="2918"/>
      <c r="O303" s="2918"/>
      <c r="P303" s="2918"/>
      <c r="Q303" s="2918"/>
      <c r="R303" s="2918"/>
      <c r="S303" s="2918"/>
      <c r="T303" s="2918"/>
      <c r="U303" s="2918"/>
      <c r="V303" s="2918"/>
      <c r="W303" s="2918"/>
      <c r="X303" s="2918"/>
      <c r="Y303" s="2918"/>
      <c r="Z303" s="2918"/>
      <c r="AA303" s="2918"/>
      <c r="AB303" s="2918"/>
      <c r="AC303" s="2897">
        <f t="shared" si="180"/>
        <v>0</v>
      </c>
      <c r="AD303" s="2929"/>
      <c r="AE303" s="2929"/>
      <c r="AF303" s="2930"/>
      <c r="AG303" s="2929"/>
      <c r="AH303" s="2929"/>
      <c r="AI303" s="2929"/>
      <c r="AJ303" s="2929"/>
      <c r="AK303" s="2929"/>
      <c r="AL303" s="2929"/>
      <c r="AM303" s="2929"/>
      <c r="AN303" s="2929"/>
      <c r="AO303" s="2929"/>
      <c r="AP303" s="2929"/>
      <c r="AQ303" s="2929"/>
      <c r="AR303" s="2929"/>
      <c r="AS303" s="2929"/>
      <c r="AT303" s="2949"/>
      <c r="AU303" s="2950"/>
      <c r="AV303" s="454">
        <f t="shared" si="204"/>
        <v>0</v>
      </c>
      <c r="AW303" s="454">
        <f t="shared" si="205"/>
        <v>0</v>
      </c>
      <c r="AX303" s="454">
        <f t="shared" si="206"/>
        <v>0</v>
      </c>
      <c r="AY303" s="2966">
        <f t="shared" si="181"/>
        <v>0</v>
      </c>
      <c r="AZ303" s="2897">
        <f t="shared" si="182"/>
        <v>0</v>
      </c>
      <c r="BA303" s="2897">
        <f t="shared" si="183"/>
        <v>0</v>
      </c>
      <c r="BB303" s="2897">
        <f t="shared" si="184"/>
        <v>0</v>
      </c>
      <c r="BC303" s="2897">
        <f t="shared" si="185"/>
        <v>0</v>
      </c>
      <c r="BD303" s="2897">
        <f t="shared" si="186"/>
        <v>0</v>
      </c>
      <c r="BE303" s="2897">
        <f t="shared" si="187"/>
        <v>0</v>
      </c>
      <c r="BF303" s="2897">
        <f t="shared" si="188"/>
        <v>0</v>
      </c>
      <c r="BG303" s="2897">
        <f t="shared" si="189"/>
        <v>0</v>
      </c>
      <c r="BH303" s="2897">
        <f t="shared" si="190"/>
        <v>0</v>
      </c>
      <c r="BI303" s="2897">
        <f t="shared" si="191"/>
        <v>0</v>
      </c>
      <c r="BJ303" s="2897">
        <f t="shared" si="192"/>
        <v>0</v>
      </c>
      <c r="BK303" s="2897">
        <f t="shared" si="193"/>
        <v>0</v>
      </c>
      <c r="BL303" s="2897">
        <f t="shared" si="194"/>
        <v>0</v>
      </c>
      <c r="BM303" s="2897">
        <f t="shared" si="195"/>
        <v>0</v>
      </c>
      <c r="BN303" s="2897">
        <f t="shared" si="196"/>
        <v>0</v>
      </c>
      <c r="BO303" s="2897">
        <f t="shared" si="197"/>
        <v>0</v>
      </c>
      <c r="BP303" s="2897">
        <f t="shared" si="198"/>
        <v>0</v>
      </c>
      <c r="BQ303" s="2897">
        <f t="shared" si="199"/>
        <v>0</v>
      </c>
      <c r="BR303" s="2897">
        <f t="shared" si="200"/>
        <v>0</v>
      </c>
      <c r="BS303" s="2897">
        <f t="shared" si="201"/>
        <v>0</v>
      </c>
      <c r="BT303" s="2971">
        <f t="shared" si="202"/>
        <v>0</v>
      </c>
    </row>
    <row r="304" spans="1:72">
      <c r="A304" s="2894"/>
      <c r="B304" s="2904"/>
      <c r="C304" s="2902"/>
      <c r="D304" s="2903"/>
      <c r="E304" s="2897">
        <f t="shared" si="203"/>
        <v>0</v>
      </c>
      <c r="F304" s="2898"/>
      <c r="G304" s="2899">
        <f t="shared" si="178"/>
        <v>0</v>
      </c>
      <c r="H304" s="2900">
        <f t="shared" si="179"/>
        <v>0</v>
      </c>
      <c r="I304" s="2906"/>
      <c r="J304" s="2918"/>
      <c r="K304" s="2906"/>
      <c r="L304" s="2918"/>
      <c r="M304" s="2918"/>
      <c r="N304" s="2918"/>
      <c r="O304" s="2918"/>
      <c r="P304" s="2918"/>
      <c r="Q304" s="2918"/>
      <c r="R304" s="2918"/>
      <c r="S304" s="2918"/>
      <c r="T304" s="2918"/>
      <c r="U304" s="2918"/>
      <c r="V304" s="2918"/>
      <c r="W304" s="2918"/>
      <c r="X304" s="2918"/>
      <c r="Y304" s="2918"/>
      <c r="Z304" s="2918"/>
      <c r="AA304" s="2918"/>
      <c r="AB304" s="2918"/>
      <c r="AC304" s="2897">
        <f t="shared" si="180"/>
        <v>0</v>
      </c>
      <c r="AD304" s="2929"/>
      <c r="AE304" s="2929"/>
      <c r="AF304" s="2906"/>
      <c r="AG304" s="2929"/>
      <c r="AH304" s="2929"/>
      <c r="AI304" s="2929"/>
      <c r="AJ304" s="2929"/>
      <c r="AK304" s="2929"/>
      <c r="AL304" s="2929"/>
      <c r="AM304" s="2929"/>
      <c r="AN304" s="2929"/>
      <c r="AO304" s="2929"/>
      <c r="AP304" s="2929"/>
      <c r="AQ304" s="2929"/>
      <c r="AR304" s="2929"/>
      <c r="AS304" s="2929"/>
      <c r="AT304" s="2949"/>
      <c r="AU304" s="2950"/>
      <c r="AV304" s="454">
        <f t="shared" si="204"/>
        <v>0</v>
      </c>
      <c r="AW304" s="454">
        <f t="shared" si="205"/>
        <v>0</v>
      </c>
      <c r="AX304" s="454">
        <f t="shared" si="206"/>
        <v>0</v>
      </c>
      <c r="AY304" s="2966">
        <f t="shared" si="181"/>
        <v>0</v>
      </c>
      <c r="AZ304" s="2897">
        <f t="shared" si="182"/>
        <v>0</v>
      </c>
      <c r="BA304" s="2897">
        <f t="shared" si="183"/>
        <v>0</v>
      </c>
      <c r="BB304" s="2897">
        <f t="shared" si="184"/>
        <v>0</v>
      </c>
      <c r="BC304" s="2897">
        <f t="shared" si="185"/>
        <v>0</v>
      </c>
      <c r="BD304" s="2897">
        <f t="shared" si="186"/>
        <v>0</v>
      </c>
      <c r="BE304" s="2897">
        <f t="shared" si="187"/>
        <v>0</v>
      </c>
      <c r="BF304" s="2897">
        <f t="shared" si="188"/>
        <v>0</v>
      </c>
      <c r="BG304" s="2897">
        <f t="shared" si="189"/>
        <v>0</v>
      </c>
      <c r="BH304" s="2897">
        <f t="shared" si="190"/>
        <v>0</v>
      </c>
      <c r="BI304" s="2897">
        <f t="shared" si="191"/>
        <v>0</v>
      </c>
      <c r="BJ304" s="2897">
        <f t="shared" si="192"/>
        <v>0</v>
      </c>
      <c r="BK304" s="2897">
        <f t="shared" si="193"/>
        <v>0</v>
      </c>
      <c r="BL304" s="2897">
        <f t="shared" si="194"/>
        <v>0</v>
      </c>
      <c r="BM304" s="2897">
        <f t="shared" si="195"/>
        <v>0</v>
      </c>
      <c r="BN304" s="2897">
        <f t="shared" si="196"/>
        <v>0</v>
      </c>
      <c r="BO304" s="2897">
        <f t="shared" si="197"/>
        <v>0</v>
      </c>
      <c r="BP304" s="2897">
        <f t="shared" si="198"/>
        <v>0</v>
      </c>
      <c r="BQ304" s="2897">
        <f t="shared" si="199"/>
        <v>0</v>
      </c>
      <c r="BR304" s="2897">
        <f t="shared" si="200"/>
        <v>0</v>
      </c>
      <c r="BS304" s="2897">
        <f t="shared" si="201"/>
        <v>0</v>
      </c>
      <c r="BT304" s="2971">
        <f t="shared" si="202"/>
        <v>0</v>
      </c>
    </row>
    <row r="305" spans="1:72">
      <c r="A305" s="2894"/>
      <c r="B305" s="2905"/>
      <c r="C305" s="2906"/>
      <c r="D305" s="2903"/>
      <c r="E305" s="2897">
        <f t="shared" si="203"/>
        <v>0</v>
      </c>
      <c r="F305" s="2898"/>
      <c r="G305" s="2899">
        <f t="shared" si="178"/>
        <v>0</v>
      </c>
      <c r="H305" s="2900">
        <f t="shared" si="179"/>
        <v>0</v>
      </c>
      <c r="I305" s="2906"/>
      <c r="J305" s="2918"/>
      <c r="K305" s="2906"/>
      <c r="L305" s="2918"/>
      <c r="M305" s="2918"/>
      <c r="N305" s="2918"/>
      <c r="O305" s="2918"/>
      <c r="P305" s="2918"/>
      <c r="Q305" s="2918"/>
      <c r="R305" s="2918"/>
      <c r="S305" s="2918"/>
      <c r="T305" s="2918"/>
      <c r="U305" s="2918"/>
      <c r="V305" s="2918"/>
      <c r="W305" s="2918"/>
      <c r="X305" s="2918"/>
      <c r="Y305" s="2918"/>
      <c r="Z305" s="2918"/>
      <c r="AA305" s="2918"/>
      <c r="AB305" s="2918"/>
      <c r="AC305" s="2897">
        <f t="shared" si="180"/>
        <v>0</v>
      </c>
      <c r="AD305" s="2929"/>
      <c r="AE305" s="2929"/>
      <c r="AF305" s="2906"/>
      <c r="AG305" s="2929"/>
      <c r="AH305" s="2929"/>
      <c r="AI305" s="2929"/>
      <c r="AJ305" s="2929"/>
      <c r="AK305" s="2929"/>
      <c r="AL305" s="2929"/>
      <c r="AM305" s="2929"/>
      <c r="AN305" s="2929"/>
      <c r="AO305" s="2929"/>
      <c r="AP305" s="2929"/>
      <c r="AQ305" s="2929"/>
      <c r="AR305" s="2929"/>
      <c r="AS305" s="2929"/>
      <c r="AT305" s="2949"/>
      <c r="AU305" s="2950"/>
      <c r="AV305" s="454">
        <f t="shared" si="204"/>
        <v>0</v>
      </c>
      <c r="AW305" s="454">
        <f t="shared" si="205"/>
        <v>0</v>
      </c>
      <c r="AX305" s="454">
        <f t="shared" si="206"/>
        <v>0</v>
      </c>
      <c r="AY305" s="2966">
        <f t="shared" si="181"/>
        <v>0</v>
      </c>
      <c r="AZ305" s="2897">
        <f t="shared" si="182"/>
        <v>0</v>
      </c>
      <c r="BA305" s="2897">
        <f t="shared" si="183"/>
        <v>0</v>
      </c>
      <c r="BB305" s="2897">
        <f t="shared" si="184"/>
        <v>0</v>
      </c>
      <c r="BC305" s="2897">
        <f t="shared" si="185"/>
        <v>0</v>
      </c>
      <c r="BD305" s="2897">
        <f t="shared" si="186"/>
        <v>0</v>
      </c>
      <c r="BE305" s="2897">
        <f t="shared" si="187"/>
        <v>0</v>
      </c>
      <c r="BF305" s="2897">
        <f t="shared" si="188"/>
        <v>0</v>
      </c>
      <c r="BG305" s="2897">
        <f t="shared" si="189"/>
        <v>0</v>
      </c>
      <c r="BH305" s="2897">
        <f t="shared" si="190"/>
        <v>0</v>
      </c>
      <c r="BI305" s="2897">
        <f t="shared" si="191"/>
        <v>0</v>
      </c>
      <c r="BJ305" s="2897">
        <f t="shared" si="192"/>
        <v>0</v>
      </c>
      <c r="BK305" s="2897">
        <f t="shared" si="193"/>
        <v>0</v>
      </c>
      <c r="BL305" s="2897">
        <f t="shared" si="194"/>
        <v>0</v>
      </c>
      <c r="BM305" s="2897">
        <f t="shared" si="195"/>
        <v>0</v>
      </c>
      <c r="BN305" s="2897">
        <f t="shared" si="196"/>
        <v>0</v>
      </c>
      <c r="BO305" s="2897">
        <f t="shared" si="197"/>
        <v>0</v>
      </c>
      <c r="BP305" s="2897">
        <f t="shared" si="198"/>
        <v>0</v>
      </c>
      <c r="BQ305" s="2897">
        <f t="shared" si="199"/>
        <v>0</v>
      </c>
      <c r="BR305" s="2897">
        <f t="shared" si="200"/>
        <v>0</v>
      </c>
      <c r="BS305" s="2897">
        <f t="shared" si="201"/>
        <v>0</v>
      </c>
      <c r="BT305" s="2971">
        <f t="shared" si="202"/>
        <v>0</v>
      </c>
    </row>
    <row r="306" spans="1:72">
      <c r="A306" s="2894"/>
      <c r="B306" s="2904"/>
      <c r="C306" s="2902"/>
      <c r="D306" s="2903"/>
      <c r="E306" s="2897">
        <f t="shared" si="203"/>
        <v>0</v>
      </c>
      <c r="F306" s="2898"/>
      <c r="G306" s="2899">
        <f t="shared" si="178"/>
        <v>0</v>
      </c>
      <c r="H306" s="2900">
        <f t="shared" si="179"/>
        <v>0</v>
      </c>
      <c r="I306" s="2906"/>
      <c r="J306" s="2918"/>
      <c r="K306" s="2906"/>
      <c r="L306" s="2918"/>
      <c r="M306" s="2918"/>
      <c r="N306" s="2918"/>
      <c r="O306" s="2918"/>
      <c r="P306" s="2918"/>
      <c r="Q306" s="2918"/>
      <c r="R306" s="2918"/>
      <c r="S306" s="2918"/>
      <c r="T306" s="2918"/>
      <c r="U306" s="2918"/>
      <c r="V306" s="2918"/>
      <c r="W306" s="2918"/>
      <c r="X306" s="2918"/>
      <c r="Y306" s="2918"/>
      <c r="Z306" s="2918"/>
      <c r="AA306" s="2918"/>
      <c r="AB306" s="2918"/>
      <c r="AC306" s="2897">
        <f t="shared" si="180"/>
        <v>0</v>
      </c>
      <c r="AD306" s="2929"/>
      <c r="AE306" s="2929"/>
      <c r="AF306" s="2906"/>
      <c r="AG306" s="2929"/>
      <c r="AH306" s="2929"/>
      <c r="AI306" s="2929"/>
      <c r="AJ306" s="2929"/>
      <c r="AK306" s="2929"/>
      <c r="AL306" s="2929"/>
      <c r="AM306" s="2929"/>
      <c r="AN306" s="2929"/>
      <c r="AO306" s="2929"/>
      <c r="AP306" s="2929"/>
      <c r="AQ306" s="2929"/>
      <c r="AR306" s="2929"/>
      <c r="AS306" s="2929"/>
      <c r="AT306" s="2949"/>
      <c r="AU306" s="2950"/>
      <c r="AV306" s="454">
        <f t="shared" si="204"/>
        <v>0</v>
      </c>
      <c r="AW306" s="454">
        <f t="shared" si="205"/>
        <v>0</v>
      </c>
      <c r="AX306" s="454">
        <f t="shared" si="206"/>
        <v>0</v>
      </c>
      <c r="AY306" s="2966">
        <f t="shared" si="181"/>
        <v>0</v>
      </c>
      <c r="AZ306" s="2897">
        <f t="shared" si="182"/>
        <v>0</v>
      </c>
      <c r="BA306" s="2897">
        <f t="shared" si="183"/>
        <v>0</v>
      </c>
      <c r="BB306" s="2897">
        <f t="shared" si="184"/>
        <v>0</v>
      </c>
      <c r="BC306" s="2897">
        <f t="shared" si="185"/>
        <v>0</v>
      </c>
      <c r="BD306" s="2897">
        <f t="shared" si="186"/>
        <v>0</v>
      </c>
      <c r="BE306" s="2897">
        <f t="shared" si="187"/>
        <v>0</v>
      </c>
      <c r="BF306" s="2897">
        <f t="shared" si="188"/>
        <v>0</v>
      </c>
      <c r="BG306" s="2897">
        <f t="shared" si="189"/>
        <v>0</v>
      </c>
      <c r="BH306" s="2897">
        <f t="shared" si="190"/>
        <v>0</v>
      </c>
      <c r="BI306" s="2897">
        <f t="shared" si="191"/>
        <v>0</v>
      </c>
      <c r="BJ306" s="2897">
        <f t="shared" si="192"/>
        <v>0</v>
      </c>
      <c r="BK306" s="2897">
        <f t="shared" si="193"/>
        <v>0</v>
      </c>
      <c r="BL306" s="2897">
        <f t="shared" si="194"/>
        <v>0</v>
      </c>
      <c r="BM306" s="2897">
        <f t="shared" si="195"/>
        <v>0</v>
      </c>
      <c r="BN306" s="2897">
        <f t="shared" si="196"/>
        <v>0</v>
      </c>
      <c r="BO306" s="2897">
        <f t="shared" si="197"/>
        <v>0</v>
      </c>
      <c r="BP306" s="2897">
        <f t="shared" si="198"/>
        <v>0</v>
      </c>
      <c r="BQ306" s="2897">
        <f t="shared" si="199"/>
        <v>0</v>
      </c>
      <c r="BR306" s="2897">
        <f t="shared" si="200"/>
        <v>0</v>
      </c>
      <c r="BS306" s="2897">
        <f t="shared" si="201"/>
        <v>0</v>
      </c>
      <c r="BT306" s="2971">
        <f t="shared" si="202"/>
        <v>0</v>
      </c>
    </row>
    <row r="307" spans="1:72">
      <c r="A307" s="2894"/>
      <c r="B307" s="2904"/>
      <c r="C307" s="2902"/>
      <c r="D307" s="2903"/>
      <c r="E307" s="2897">
        <f t="shared" si="203"/>
        <v>0</v>
      </c>
      <c r="F307" s="2898"/>
      <c r="G307" s="2899">
        <f t="shared" si="178"/>
        <v>0</v>
      </c>
      <c r="H307" s="2900">
        <f t="shared" si="179"/>
        <v>0</v>
      </c>
      <c r="I307" s="2906"/>
      <c r="J307" s="2918"/>
      <c r="K307" s="2906"/>
      <c r="L307" s="2918"/>
      <c r="M307" s="2918"/>
      <c r="N307" s="2918"/>
      <c r="O307" s="2918"/>
      <c r="P307" s="2918"/>
      <c r="Q307" s="2918"/>
      <c r="R307" s="2918"/>
      <c r="S307" s="2918"/>
      <c r="T307" s="2918"/>
      <c r="U307" s="2918"/>
      <c r="V307" s="2918"/>
      <c r="W307" s="2918"/>
      <c r="X307" s="2918"/>
      <c r="Y307" s="2918"/>
      <c r="Z307" s="2918"/>
      <c r="AA307" s="2918"/>
      <c r="AB307" s="2918"/>
      <c r="AC307" s="2897">
        <f t="shared" si="180"/>
        <v>0</v>
      </c>
      <c r="AD307" s="2929"/>
      <c r="AE307" s="2929"/>
      <c r="AF307" s="2906"/>
      <c r="AG307" s="2929"/>
      <c r="AH307" s="2929"/>
      <c r="AI307" s="2929"/>
      <c r="AJ307" s="2929"/>
      <c r="AK307" s="2929"/>
      <c r="AL307" s="2929"/>
      <c r="AM307" s="2929"/>
      <c r="AN307" s="2929"/>
      <c r="AO307" s="2929"/>
      <c r="AP307" s="2929"/>
      <c r="AQ307" s="2929"/>
      <c r="AR307" s="2929"/>
      <c r="AS307" s="2929"/>
      <c r="AT307" s="2949"/>
      <c r="AU307" s="2950"/>
      <c r="AV307" s="454">
        <f t="shared" si="204"/>
        <v>0</v>
      </c>
      <c r="AW307" s="454">
        <f t="shared" si="205"/>
        <v>0</v>
      </c>
      <c r="AX307" s="454">
        <f t="shared" si="206"/>
        <v>0</v>
      </c>
      <c r="AY307" s="2966">
        <f t="shared" si="181"/>
        <v>0</v>
      </c>
      <c r="AZ307" s="2897">
        <f t="shared" si="182"/>
        <v>0</v>
      </c>
      <c r="BA307" s="2897">
        <f t="shared" si="183"/>
        <v>0</v>
      </c>
      <c r="BB307" s="2897">
        <f t="shared" si="184"/>
        <v>0</v>
      </c>
      <c r="BC307" s="2897">
        <f t="shared" si="185"/>
        <v>0</v>
      </c>
      <c r="BD307" s="2897">
        <f t="shared" si="186"/>
        <v>0</v>
      </c>
      <c r="BE307" s="2897">
        <f t="shared" si="187"/>
        <v>0</v>
      </c>
      <c r="BF307" s="2897">
        <f t="shared" si="188"/>
        <v>0</v>
      </c>
      <c r="BG307" s="2897">
        <f t="shared" si="189"/>
        <v>0</v>
      </c>
      <c r="BH307" s="2897">
        <f t="shared" si="190"/>
        <v>0</v>
      </c>
      <c r="BI307" s="2897">
        <f t="shared" si="191"/>
        <v>0</v>
      </c>
      <c r="BJ307" s="2897">
        <f t="shared" si="192"/>
        <v>0</v>
      </c>
      <c r="BK307" s="2897">
        <f t="shared" si="193"/>
        <v>0</v>
      </c>
      <c r="BL307" s="2897">
        <f t="shared" si="194"/>
        <v>0</v>
      </c>
      <c r="BM307" s="2897">
        <f t="shared" si="195"/>
        <v>0</v>
      </c>
      <c r="BN307" s="2897">
        <f t="shared" si="196"/>
        <v>0</v>
      </c>
      <c r="BO307" s="2897">
        <f t="shared" si="197"/>
        <v>0</v>
      </c>
      <c r="BP307" s="2897">
        <f t="shared" si="198"/>
        <v>0</v>
      </c>
      <c r="BQ307" s="2897">
        <f t="shared" si="199"/>
        <v>0</v>
      </c>
      <c r="BR307" s="2897">
        <f t="shared" si="200"/>
        <v>0</v>
      </c>
      <c r="BS307" s="2897">
        <f t="shared" si="201"/>
        <v>0</v>
      </c>
      <c r="BT307" s="2971">
        <f t="shared" si="202"/>
        <v>0</v>
      </c>
    </row>
    <row r="308" spans="1:72">
      <c r="A308" s="2894"/>
      <c r="B308" s="2904"/>
      <c r="C308" s="2902"/>
      <c r="D308" s="2903"/>
      <c r="E308" s="2897">
        <f t="shared" si="203"/>
        <v>0</v>
      </c>
      <c r="F308" s="2898"/>
      <c r="G308" s="2899">
        <f t="shared" si="178"/>
        <v>0</v>
      </c>
      <c r="H308" s="2900">
        <f t="shared" si="179"/>
        <v>0</v>
      </c>
      <c r="I308" s="2906"/>
      <c r="J308" s="2918"/>
      <c r="K308" s="2906"/>
      <c r="L308" s="2918"/>
      <c r="M308" s="2918"/>
      <c r="N308" s="2918"/>
      <c r="O308" s="2918"/>
      <c r="P308" s="2918"/>
      <c r="Q308" s="2918"/>
      <c r="R308" s="2918"/>
      <c r="S308" s="2918"/>
      <c r="T308" s="2918"/>
      <c r="U308" s="2918"/>
      <c r="V308" s="2918"/>
      <c r="W308" s="2918"/>
      <c r="X308" s="2918"/>
      <c r="Y308" s="2918"/>
      <c r="Z308" s="2918"/>
      <c r="AA308" s="2918"/>
      <c r="AB308" s="2918"/>
      <c r="AC308" s="2897">
        <f t="shared" si="180"/>
        <v>0</v>
      </c>
      <c r="AD308" s="2929"/>
      <c r="AE308" s="2929"/>
      <c r="AF308" s="2906"/>
      <c r="AG308" s="2929"/>
      <c r="AH308" s="2929"/>
      <c r="AI308" s="2929"/>
      <c r="AJ308" s="2929"/>
      <c r="AK308" s="2929"/>
      <c r="AL308" s="2929"/>
      <c r="AM308" s="2929"/>
      <c r="AN308" s="2929"/>
      <c r="AO308" s="2929"/>
      <c r="AP308" s="2929"/>
      <c r="AQ308" s="2929"/>
      <c r="AR308" s="2929"/>
      <c r="AS308" s="2929"/>
      <c r="AT308" s="2949"/>
      <c r="AU308" s="2950"/>
      <c r="AV308" s="454">
        <f t="shared" si="204"/>
        <v>0</v>
      </c>
      <c r="AW308" s="454">
        <f t="shared" si="205"/>
        <v>0</v>
      </c>
      <c r="AX308" s="454">
        <f t="shared" si="206"/>
        <v>0</v>
      </c>
      <c r="AY308" s="2966">
        <f t="shared" si="181"/>
        <v>0</v>
      </c>
      <c r="AZ308" s="2897">
        <f t="shared" si="182"/>
        <v>0</v>
      </c>
      <c r="BA308" s="2897">
        <f t="shared" si="183"/>
        <v>0</v>
      </c>
      <c r="BB308" s="2897">
        <f t="shared" si="184"/>
        <v>0</v>
      </c>
      <c r="BC308" s="2897">
        <f t="shared" si="185"/>
        <v>0</v>
      </c>
      <c r="BD308" s="2897">
        <f t="shared" si="186"/>
        <v>0</v>
      </c>
      <c r="BE308" s="2897">
        <f t="shared" si="187"/>
        <v>0</v>
      </c>
      <c r="BF308" s="2897">
        <f t="shared" si="188"/>
        <v>0</v>
      </c>
      <c r="BG308" s="2897">
        <f t="shared" si="189"/>
        <v>0</v>
      </c>
      <c r="BH308" s="2897">
        <f t="shared" si="190"/>
        <v>0</v>
      </c>
      <c r="BI308" s="2897">
        <f t="shared" si="191"/>
        <v>0</v>
      </c>
      <c r="BJ308" s="2897">
        <f t="shared" si="192"/>
        <v>0</v>
      </c>
      <c r="BK308" s="2897">
        <f t="shared" si="193"/>
        <v>0</v>
      </c>
      <c r="BL308" s="2897">
        <f t="shared" si="194"/>
        <v>0</v>
      </c>
      <c r="BM308" s="2897">
        <f t="shared" si="195"/>
        <v>0</v>
      </c>
      <c r="BN308" s="2897">
        <f t="shared" si="196"/>
        <v>0</v>
      </c>
      <c r="BO308" s="2897">
        <f t="shared" si="197"/>
        <v>0</v>
      </c>
      <c r="BP308" s="2897">
        <f t="shared" si="198"/>
        <v>0</v>
      </c>
      <c r="BQ308" s="2897">
        <f t="shared" si="199"/>
        <v>0</v>
      </c>
      <c r="BR308" s="2897">
        <f t="shared" si="200"/>
        <v>0</v>
      </c>
      <c r="BS308" s="2897">
        <f t="shared" si="201"/>
        <v>0</v>
      </c>
      <c r="BT308" s="2971">
        <f t="shared" si="202"/>
        <v>0</v>
      </c>
    </row>
    <row r="309" spans="1:72">
      <c r="A309" s="2894"/>
      <c r="B309" s="2904"/>
      <c r="C309" s="2902"/>
      <c r="D309" s="2903"/>
      <c r="E309" s="2897">
        <f t="shared" si="203"/>
        <v>0</v>
      </c>
      <c r="F309" s="2898"/>
      <c r="G309" s="2899">
        <f t="shared" si="178"/>
        <v>0</v>
      </c>
      <c r="H309" s="2900">
        <f t="shared" si="179"/>
        <v>0</v>
      </c>
      <c r="I309" s="2906"/>
      <c r="J309" s="2918"/>
      <c r="K309" s="2906"/>
      <c r="L309" s="2918"/>
      <c r="M309" s="2918"/>
      <c r="N309" s="2918"/>
      <c r="O309" s="2918"/>
      <c r="P309" s="2918"/>
      <c r="Q309" s="2918"/>
      <c r="R309" s="2918"/>
      <c r="S309" s="2918"/>
      <c r="T309" s="2918"/>
      <c r="U309" s="2918"/>
      <c r="V309" s="2918"/>
      <c r="W309" s="2918"/>
      <c r="X309" s="2918"/>
      <c r="Y309" s="2918"/>
      <c r="Z309" s="2918"/>
      <c r="AA309" s="2918"/>
      <c r="AB309" s="2918"/>
      <c r="AC309" s="2897">
        <f t="shared" si="180"/>
        <v>0</v>
      </c>
      <c r="AD309" s="2929"/>
      <c r="AE309" s="2929"/>
      <c r="AF309" s="2906"/>
      <c r="AG309" s="2929"/>
      <c r="AH309" s="2929"/>
      <c r="AI309" s="2929"/>
      <c r="AJ309" s="2929"/>
      <c r="AK309" s="2929"/>
      <c r="AL309" s="2929"/>
      <c r="AM309" s="2929"/>
      <c r="AN309" s="2929"/>
      <c r="AO309" s="2929"/>
      <c r="AP309" s="2929"/>
      <c r="AQ309" s="2929"/>
      <c r="AR309" s="2929"/>
      <c r="AS309" s="2929"/>
      <c r="AT309" s="2949"/>
      <c r="AU309" s="2950"/>
      <c r="AV309" s="454">
        <f t="shared" si="204"/>
        <v>0</v>
      </c>
      <c r="AW309" s="454">
        <f t="shared" si="205"/>
        <v>0</v>
      </c>
      <c r="AX309" s="454">
        <f t="shared" si="206"/>
        <v>0</v>
      </c>
      <c r="AY309" s="2966">
        <f t="shared" si="181"/>
        <v>0</v>
      </c>
      <c r="AZ309" s="2897">
        <f t="shared" si="182"/>
        <v>0</v>
      </c>
      <c r="BA309" s="2897">
        <f t="shared" si="183"/>
        <v>0</v>
      </c>
      <c r="BB309" s="2897">
        <f t="shared" si="184"/>
        <v>0</v>
      </c>
      <c r="BC309" s="2897">
        <f t="shared" si="185"/>
        <v>0</v>
      </c>
      <c r="BD309" s="2897">
        <f t="shared" si="186"/>
        <v>0</v>
      </c>
      <c r="BE309" s="2897">
        <f t="shared" si="187"/>
        <v>0</v>
      </c>
      <c r="BF309" s="2897">
        <f t="shared" si="188"/>
        <v>0</v>
      </c>
      <c r="BG309" s="2897">
        <f t="shared" si="189"/>
        <v>0</v>
      </c>
      <c r="BH309" s="2897">
        <f t="shared" si="190"/>
        <v>0</v>
      </c>
      <c r="BI309" s="2897">
        <f t="shared" si="191"/>
        <v>0</v>
      </c>
      <c r="BJ309" s="2897">
        <f t="shared" si="192"/>
        <v>0</v>
      </c>
      <c r="BK309" s="2897">
        <f t="shared" si="193"/>
        <v>0</v>
      </c>
      <c r="BL309" s="2897">
        <f t="shared" si="194"/>
        <v>0</v>
      </c>
      <c r="BM309" s="2897">
        <f t="shared" si="195"/>
        <v>0</v>
      </c>
      <c r="BN309" s="2897">
        <f t="shared" si="196"/>
        <v>0</v>
      </c>
      <c r="BO309" s="2897">
        <f t="shared" si="197"/>
        <v>0</v>
      </c>
      <c r="BP309" s="2897">
        <f t="shared" si="198"/>
        <v>0</v>
      </c>
      <c r="BQ309" s="2897">
        <f t="shared" si="199"/>
        <v>0</v>
      </c>
      <c r="BR309" s="2897">
        <f t="shared" si="200"/>
        <v>0</v>
      </c>
      <c r="BS309" s="2897">
        <f t="shared" si="201"/>
        <v>0</v>
      </c>
      <c r="BT309" s="2971">
        <f t="shared" si="202"/>
        <v>0</v>
      </c>
    </row>
    <row r="310" spans="1:72">
      <c r="A310" s="2894"/>
      <c r="B310" s="2904"/>
      <c r="C310" s="2902"/>
      <c r="D310" s="2903"/>
      <c r="E310" s="2897">
        <f t="shared" si="203"/>
        <v>0</v>
      </c>
      <c r="F310" s="2898"/>
      <c r="G310" s="2899">
        <f t="shared" si="178"/>
        <v>0</v>
      </c>
      <c r="H310" s="2900">
        <f t="shared" si="179"/>
        <v>0</v>
      </c>
      <c r="I310" s="2906"/>
      <c r="J310" s="2918"/>
      <c r="K310" s="2906"/>
      <c r="L310" s="2918"/>
      <c r="M310" s="2918"/>
      <c r="N310" s="2918"/>
      <c r="O310" s="2918"/>
      <c r="P310" s="2918"/>
      <c r="Q310" s="2918"/>
      <c r="R310" s="2918"/>
      <c r="S310" s="2918"/>
      <c r="T310" s="2918"/>
      <c r="U310" s="2918"/>
      <c r="V310" s="2918"/>
      <c r="W310" s="2918"/>
      <c r="X310" s="2918"/>
      <c r="Y310" s="2918"/>
      <c r="Z310" s="2918"/>
      <c r="AA310" s="2918"/>
      <c r="AB310" s="2918"/>
      <c r="AC310" s="2897">
        <f t="shared" si="180"/>
        <v>0</v>
      </c>
      <c r="AD310" s="2929"/>
      <c r="AE310" s="2929"/>
      <c r="AF310" s="2906"/>
      <c r="AG310" s="2929"/>
      <c r="AH310" s="2929"/>
      <c r="AI310" s="2929"/>
      <c r="AJ310" s="2929"/>
      <c r="AK310" s="2929"/>
      <c r="AL310" s="2929"/>
      <c r="AM310" s="2929"/>
      <c r="AN310" s="2929"/>
      <c r="AO310" s="2929"/>
      <c r="AP310" s="2929"/>
      <c r="AQ310" s="2929"/>
      <c r="AR310" s="2929"/>
      <c r="AS310" s="2929"/>
      <c r="AT310" s="2949"/>
      <c r="AU310" s="2950"/>
      <c r="AV310" s="454">
        <f t="shared" si="204"/>
        <v>0</v>
      </c>
      <c r="AW310" s="454">
        <f t="shared" si="205"/>
        <v>0</v>
      </c>
      <c r="AX310" s="454">
        <f t="shared" si="206"/>
        <v>0</v>
      </c>
      <c r="AY310" s="2966">
        <f t="shared" si="181"/>
        <v>0</v>
      </c>
      <c r="AZ310" s="2897">
        <f t="shared" si="182"/>
        <v>0</v>
      </c>
      <c r="BA310" s="2897">
        <f t="shared" si="183"/>
        <v>0</v>
      </c>
      <c r="BB310" s="2897">
        <f t="shared" si="184"/>
        <v>0</v>
      </c>
      <c r="BC310" s="2897">
        <f t="shared" si="185"/>
        <v>0</v>
      </c>
      <c r="BD310" s="2897">
        <f t="shared" si="186"/>
        <v>0</v>
      </c>
      <c r="BE310" s="2897">
        <f t="shared" si="187"/>
        <v>0</v>
      </c>
      <c r="BF310" s="2897">
        <f t="shared" si="188"/>
        <v>0</v>
      </c>
      <c r="BG310" s="2897">
        <f t="shared" si="189"/>
        <v>0</v>
      </c>
      <c r="BH310" s="2897">
        <f t="shared" si="190"/>
        <v>0</v>
      </c>
      <c r="BI310" s="2897">
        <f t="shared" si="191"/>
        <v>0</v>
      </c>
      <c r="BJ310" s="2897">
        <f t="shared" si="192"/>
        <v>0</v>
      </c>
      <c r="BK310" s="2897">
        <f t="shared" si="193"/>
        <v>0</v>
      </c>
      <c r="BL310" s="2897">
        <f t="shared" si="194"/>
        <v>0</v>
      </c>
      <c r="BM310" s="2897">
        <f t="shared" si="195"/>
        <v>0</v>
      </c>
      <c r="BN310" s="2897">
        <f t="shared" si="196"/>
        <v>0</v>
      </c>
      <c r="BO310" s="2897">
        <f t="shared" si="197"/>
        <v>0</v>
      </c>
      <c r="BP310" s="2897">
        <f t="shared" si="198"/>
        <v>0</v>
      </c>
      <c r="BQ310" s="2897">
        <f t="shared" si="199"/>
        <v>0</v>
      </c>
      <c r="BR310" s="2897">
        <f t="shared" si="200"/>
        <v>0</v>
      </c>
      <c r="BS310" s="2897">
        <f t="shared" si="201"/>
        <v>0</v>
      </c>
      <c r="BT310" s="2971">
        <f t="shared" si="202"/>
        <v>0</v>
      </c>
    </row>
    <row r="311" spans="1:72">
      <c r="A311" s="2894"/>
      <c r="B311" s="2904"/>
      <c r="C311" s="2902"/>
      <c r="D311" s="2903"/>
      <c r="E311" s="2897">
        <f t="shared" si="203"/>
        <v>0</v>
      </c>
      <c r="F311" s="2898"/>
      <c r="G311" s="2899">
        <f t="shared" si="178"/>
        <v>0</v>
      </c>
      <c r="H311" s="2900">
        <f t="shared" si="179"/>
        <v>0</v>
      </c>
      <c r="I311" s="2906"/>
      <c r="J311" s="2918"/>
      <c r="K311" s="2906"/>
      <c r="L311" s="2918"/>
      <c r="M311" s="2918"/>
      <c r="N311" s="2918"/>
      <c r="O311" s="2918"/>
      <c r="P311" s="2918"/>
      <c r="Q311" s="2918"/>
      <c r="R311" s="2918"/>
      <c r="S311" s="2918"/>
      <c r="T311" s="2918"/>
      <c r="U311" s="2918"/>
      <c r="V311" s="2918"/>
      <c r="W311" s="2918"/>
      <c r="X311" s="2918"/>
      <c r="Y311" s="2918"/>
      <c r="Z311" s="2918"/>
      <c r="AA311" s="2918"/>
      <c r="AB311" s="2918"/>
      <c r="AC311" s="2897">
        <f t="shared" si="180"/>
        <v>0</v>
      </c>
      <c r="AD311" s="2929"/>
      <c r="AE311" s="2929"/>
      <c r="AF311" s="2906"/>
      <c r="AG311" s="2929"/>
      <c r="AH311" s="2929"/>
      <c r="AI311" s="2929"/>
      <c r="AJ311" s="2929"/>
      <c r="AK311" s="2929"/>
      <c r="AL311" s="2929"/>
      <c r="AM311" s="2929"/>
      <c r="AN311" s="2929"/>
      <c r="AO311" s="2929"/>
      <c r="AP311" s="2929"/>
      <c r="AQ311" s="2929"/>
      <c r="AR311" s="2929"/>
      <c r="AS311" s="2929"/>
      <c r="AT311" s="2949"/>
      <c r="AU311" s="2950"/>
      <c r="AV311" s="454">
        <f t="shared" si="204"/>
        <v>0</v>
      </c>
      <c r="AW311" s="454">
        <f t="shared" si="205"/>
        <v>0</v>
      </c>
      <c r="AX311" s="454">
        <f t="shared" si="206"/>
        <v>0</v>
      </c>
      <c r="AY311" s="2966">
        <f t="shared" si="181"/>
        <v>0</v>
      </c>
      <c r="AZ311" s="2897">
        <f t="shared" si="182"/>
        <v>0</v>
      </c>
      <c r="BA311" s="2897">
        <f t="shared" si="183"/>
        <v>0</v>
      </c>
      <c r="BB311" s="2897">
        <f t="shared" si="184"/>
        <v>0</v>
      </c>
      <c r="BC311" s="2897">
        <f t="shared" si="185"/>
        <v>0</v>
      </c>
      <c r="BD311" s="2897">
        <f t="shared" si="186"/>
        <v>0</v>
      </c>
      <c r="BE311" s="2897">
        <f t="shared" si="187"/>
        <v>0</v>
      </c>
      <c r="BF311" s="2897">
        <f t="shared" si="188"/>
        <v>0</v>
      </c>
      <c r="BG311" s="2897">
        <f t="shared" si="189"/>
        <v>0</v>
      </c>
      <c r="BH311" s="2897">
        <f t="shared" si="190"/>
        <v>0</v>
      </c>
      <c r="BI311" s="2897">
        <f t="shared" si="191"/>
        <v>0</v>
      </c>
      <c r="BJ311" s="2897">
        <f t="shared" si="192"/>
        <v>0</v>
      </c>
      <c r="BK311" s="2897">
        <f t="shared" si="193"/>
        <v>0</v>
      </c>
      <c r="BL311" s="2897">
        <f t="shared" si="194"/>
        <v>0</v>
      </c>
      <c r="BM311" s="2897">
        <f t="shared" si="195"/>
        <v>0</v>
      </c>
      <c r="BN311" s="2897">
        <f t="shared" si="196"/>
        <v>0</v>
      </c>
      <c r="BO311" s="2897">
        <f t="shared" si="197"/>
        <v>0</v>
      </c>
      <c r="BP311" s="2897">
        <f t="shared" si="198"/>
        <v>0</v>
      </c>
      <c r="BQ311" s="2897">
        <f t="shared" si="199"/>
        <v>0</v>
      </c>
      <c r="BR311" s="2897">
        <f t="shared" si="200"/>
        <v>0</v>
      </c>
      <c r="BS311" s="2897">
        <f t="shared" si="201"/>
        <v>0</v>
      </c>
      <c r="BT311" s="2971">
        <f t="shared" si="202"/>
        <v>0</v>
      </c>
    </row>
    <row r="312" spans="1:72">
      <c r="A312" s="2894"/>
      <c r="B312" s="2904"/>
      <c r="C312" s="2902"/>
      <c r="D312" s="2903"/>
      <c r="E312" s="2897">
        <f t="shared" si="203"/>
        <v>0</v>
      </c>
      <c r="F312" s="2898"/>
      <c r="G312" s="2899">
        <f t="shared" si="178"/>
        <v>0</v>
      </c>
      <c r="H312" s="2900">
        <f t="shared" si="179"/>
        <v>0</v>
      </c>
      <c r="I312" s="2906"/>
      <c r="J312" s="2918"/>
      <c r="K312" s="2906"/>
      <c r="L312" s="2918"/>
      <c r="M312" s="2918"/>
      <c r="N312" s="2918"/>
      <c r="O312" s="2918"/>
      <c r="P312" s="2918"/>
      <c r="Q312" s="2918"/>
      <c r="R312" s="2918"/>
      <c r="S312" s="2918"/>
      <c r="T312" s="2918"/>
      <c r="U312" s="2918"/>
      <c r="V312" s="2918"/>
      <c r="W312" s="2918"/>
      <c r="X312" s="2918"/>
      <c r="Y312" s="2918"/>
      <c r="Z312" s="2918"/>
      <c r="AA312" s="2918"/>
      <c r="AB312" s="2918"/>
      <c r="AC312" s="2897">
        <f t="shared" si="180"/>
        <v>0</v>
      </c>
      <c r="AD312" s="2929"/>
      <c r="AE312" s="2929"/>
      <c r="AF312" s="2906"/>
      <c r="AG312" s="2929"/>
      <c r="AH312" s="2929"/>
      <c r="AI312" s="2929"/>
      <c r="AJ312" s="2929"/>
      <c r="AK312" s="2929"/>
      <c r="AL312" s="2929"/>
      <c r="AM312" s="2929"/>
      <c r="AN312" s="2929"/>
      <c r="AO312" s="2929"/>
      <c r="AP312" s="2929"/>
      <c r="AQ312" s="2929"/>
      <c r="AR312" s="2929"/>
      <c r="AS312" s="2929"/>
      <c r="AT312" s="2949"/>
      <c r="AU312" s="2950"/>
      <c r="AV312" s="454">
        <f t="shared" si="204"/>
        <v>0</v>
      </c>
      <c r="AW312" s="454">
        <f t="shared" si="205"/>
        <v>0</v>
      </c>
      <c r="AX312" s="454">
        <f t="shared" si="206"/>
        <v>0</v>
      </c>
      <c r="AY312" s="2966">
        <f t="shared" si="181"/>
        <v>0</v>
      </c>
      <c r="AZ312" s="2897">
        <f t="shared" si="182"/>
        <v>0</v>
      </c>
      <c r="BA312" s="2897">
        <f t="shared" si="183"/>
        <v>0</v>
      </c>
      <c r="BB312" s="2897">
        <f t="shared" si="184"/>
        <v>0</v>
      </c>
      <c r="BC312" s="2897">
        <f t="shared" si="185"/>
        <v>0</v>
      </c>
      <c r="BD312" s="2897">
        <f t="shared" si="186"/>
        <v>0</v>
      </c>
      <c r="BE312" s="2897">
        <f t="shared" si="187"/>
        <v>0</v>
      </c>
      <c r="BF312" s="2897">
        <f t="shared" si="188"/>
        <v>0</v>
      </c>
      <c r="BG312" s="2897">
        <f t="shared" si="189"/>
        <v>0</v>
      </c>
      <c r="BH312" s="2897">
        <f t="shared" si="190"/>
        <v>0</v>
      </c>
      <c r="BI312" s="2897">
        <f t="shared" si="191"/>
        <v>0</v>
      </c>
      <c r="BJ312" s="2897">
        <f t="shared" si="192"/>
        <v>0</v>
      </c>
      <c r="BK312" s="2897">
        <f t="shared" si="193"/>
        <v>0</v>
      </c>
      <c r="BL312" s="2897">
        <f t="shared" si="194"/>
        <v>0</v>
      </c>
      <c r="BM312" s="2897">
        <f t="shared" si="195"/>
        <v>0</v>
      </c>
      <c r="BN312" s="2897">
        <f t="shared" si="196"/>
        <v>0</v>
      </c>
      <c r="BO312" s="2897">
        <f t="shared" si="197"/>
        <v>0</v>
      </c>
      <c r="BP312" s="2897">
        <f t="shared" si="198"/>
        <v>0</v>
      </c>
      <c r="BQ312" s="2897">
        <f t="shared" si="199"/>
        <v>0</v>
      </c>
      <c r="BR312" s="2897">
        <f t="shared" si="200"/>
        <v>0</v>
      </c>
      <c r="BS312" s="2897">
        <f t="shared" si="201"/>
        <v>0</v>
      </c>
      <c r="BT312" s="2971">
        <f t="shared" si="202"/>
        <v>0</v>
      </c>
    </row>
    <row r="313" spans="1:72">
      <c r="A313" s="2894"/>
      <c r="B313" s="2904"/>
      <c r="C313" s="2902"/>
      <c r="D313" s="2903"/>
      <c r="E313" s="2897">
        <f t="shared" si="203"/>
        <v>0</v>
      </c>
      <c r="F313" s="2898"/>
      <c r="G313" s="2899">
        <f t="shared" si="178"/>
        <v>0</v>
      </c>
      <c r="H313" s="2900">
        <f t="shared" si="179"/>
        <v>0</v>
      </c>
      <c r="I313" s="2906"/>
      <c r="J313" s="2918"/>
      <c r="K313" s="2906"/>
      <c r="L313" s="2918"/>
      <c r="M313" s="2918"/>
      <c r="N313" s="2918"/>
      <c r="O313" s="2918"/>
      <c r="P313" s="2918"/>
      <c r="Q313" s="2918"/>
      <c r="R313" s="2918"/>
      <c r="S313" s="2918"/>
      <c r="T313" s="2918"/>
      <c r="U313" s="2918"/>
      <c r="V313" s="2918"/>
      <c r="W313" s="2918"/>
      <c r="X313" s="2918"/>
      <c r="Y313" s="2918"/>
      <c r="Z313" s="2918"/>
      <c r="AA313" s="2918"/>
      <c r="AB313" s="2918"/>
      <c r="AC313" s="2897">
        <f t="shared" si="180"/>
        <v>0</v>
      </c>
      <c r="AD313" s="2929"/>
      <c r="AE313" s="2929"/>
      <c r="AF313" s="2906"/>
      <c r="AG313" s="2929"/>
      <c r="AH313" s="2929"/>
      <c r="AI313" s="2929"/>
      <c r="AJ313" s="2929"/>
      <c r="AK313" s="2929"/>
      <c r="AL313" s="2929"/>
      <c r="AM313" s="2929"/>
      <c r="AN313" s="2929"/>
      <c r="AO313" s="2929"/>
      <c r="AP313" s="2929"/>
      <c r="AQ313" s="2929"/>
      <c r="AR313" s="2929"/>
      <c r="AS313" s="2929"/>
      <c r="AT313" s="2949"/>
      <c r="AU313" s="2950"/>
      <c r="AV313" s="454">
        <f t="shared" si="204"/>
        <v>0</v>
      </c>
      <c r="AW313" s="454">
        <f t="shared" si="205"/>
        <v>0</v>
      </c>
      <c r="AX313" s="454">
        <f t="shared" si="206"/>
        <v>0</v>
      </c>
      <c r="AY313" s="2966">
        <f t="shared" si="181"/>
        <v>0</v>
      </c>
      <c r="AZ313" s="2897">
        <f t="shared" si="182"/>
        <v>0</v>
      </c>
      <c r="BA313" s="2897">
        <f t="shared" si="183"/>
        <v>0</v>
      </c>
      <c r="BB313" s="2897">
        <f t="shared" si="184"/>
        <v>0</v>
      </c>
      <c r="BC313" s="2897">
        <f t="shared" si="185"/>
        <v>0</v>
      </c>
      <c r="BD313" s="2897">
        <f t="shared" si="186"/>
        <v>0</v>
      </c>
      <c r="BE313" s="2897">
        <f t="shared" si="187"/>
        <v>0</v>
      </c>
      <c r="BF313" s="2897">
        <f t="shared" si="188"/>
        <v>0</v>
      </c>
      <c r="BG313" s="2897">
        <f t="shared" si="189"/>
        <v>0</v>
      </c>
      <c r="BH313" s="2897">
        <f t="shared" si="190"/>
        <v>0</v>
      </c>
      <c r="BI313" s="2897">
        <f t="shared" si="191"/>
        <v>0</v>
      </c>
      <c r="BJ313" s="2897">
        <f t="shared" si="192"/>
        <v>0</v>
      </c>
      <c r="BK313" s="2897">
        <f t="shared" si="193"/>
        <v>0</v>
      </c>
      <c r="BL313" s="2897">
        <f t="shared" si="194"/>
        <v>0</v>
      </c>
      <c r="BM313" s="2897">
        <f t="shared" si="195"/>
        <v>0</v>
      </c>
      <c r="BN313" s="2897">
        <f t="shared" si="196"/>
        <v>0</v>
      </c>
      <c r="BO313" s="2897">
        <f t="shared" si="197"/>
        <v>0</v>
      </c>
      <c r="BP313" s="2897">
        <f t="shared" si="198"/>
        <v>0</v>
      </c>
      <c r="BQ313" s="2897">
        <f t="shared" si="199"/>
        <v>0</v>
      </c>
      <c r="BR313" s="2897">
        <f t="shared" si="200"/>
        <v>0</v>
      </c>
      <c r="BS313" s="2897">
        <f t="shared" si="201"/>
        <v>0</v>
      </c>
      <c r="BT313" s="2971">
        <f t="shared" si="202"/>
        <v>0</v>
      </c>
    </row>
    <row r="314" spans="1:72">
      <c r="A314" s="2894"/>
      <c r="B314" s="2904"/>
      <c r="C314" s="2902"/>
      <c r="D314" s="2903"/>
      <c r="E314" s="2897">
        <f t="shared" si="203"/>
        <v>0</v>
      </c>
      <c r="F314" s="2898"/>
      <c r="G314" s="2899">
        <f t="shared" si="178"/>
        <v>0</v>
      </c>
      <c r="H314" s="2900">
        <f t="shared" si="179"/>
        <v>0</v>
      </c>
      <c r="I314" s="2906"/>
      <c r="J314" s="2918"/>
      <c r="K314" s="2906"/>
      <c r="L314" s="2918"/>
      <c r="M314" s="2918"/>
      <c r="N314" s="2918"/>
      <c r="O314" s="2918"/>
      <c r="P314" s="2918"/>
      <c r="Q314" s="2918"/>
      <c r="R314" s="2918"/>
      <c r="S314" s="2918"/>
      <c r="T314" s="2918"/>
      <c r="U314" s="2918"/>
      <c r="V314" s="2918"/>
      <c r="W314" s="2918"/>
      <c r="X314" s="2918"/>
      <c r="Y314" s="2918"/>
      <c r="Z314" s="2918"/>
      <c r="AA314" s="2918"/>
      <c r="AB314" s="2918"/>
      <c r="AC314" s="2897">
        <f t="shared" si="180"/>
        <v>0</v>
      </c>
      <c r="AD314" s="2929"/>
      <c r="AE314" s="2929"/>
      <c r="AF314" s="2906"/>
      <c r="AG314" s="2929"/>
      <c r="AH314" s="2929"/>
      <c r="AI314" s="2929"/>
      <c r="AJ314" s="2929"/>
      <c r="AK314" s="2929"/>
      <c r="AL314" s="2929"/>
      <c r="AM314" s="2929"/>
      <c r="AN314" s="2929"/>
      <c r="AO314" s="2929"/>
      <c r="AP314" s="2929"/>
      <c r="AQ314" s="2929"/>
      <c r="AR314" s="2929"/>
      <c r="AS314" s="2929"/>
      <c r="AT314" s="2949"/>
      <c r="AU314" s="2950"/>
      <c r="AV314" s="454">
        <f t="shared" si="204"/>
        <v>0</v>
      </c>
      <c r="AW314" s="454">
        <f t="shared" si="205"/>
        <v>0</v>
      </c>
      <c r="AX314" s="454">
        <f t="shared" si="206"/>
        <v>0</v>
      </c>
      <c r="AY314" s="2966">
        <f t="shared" si="181"/>
        <v>0</v>
      </c>
      <c r="AZ314" s="2897">
        <f t="shared" si="182"/>
        <v>0</v>
      </c>
      <c r="BA314" s="2897">
        <f t="shared" si="183"/>
        <v>0</v>
      </c>
      <c r="BB314" s="2897">
        <f t="shared" si="184"/>
        <v>0</v>
      </c>
      <c r="BC314" s="2897">
        <f t="shared" si="185"/>
        <v>0</v>
      </c>
      <c r="BD314" s="2897">
        <f t="shared" si="186"/>
        <v>0</v>
      </c>
      <c r="BE314" s="2897">
        <f t="shared" si="187"/>
        <v>0</v>
      </c>
      <c r="BF314" s="2897">
        <f t="shared" si="188"/>
        <v>0</v>
      </c>
      <c r="BG314" s="2897">
        <f t="shared" si="189"/>
        <v>0</v>
      </c>
      <c r="BH314" s="2897">
        <f t="shared" si="190"/>
        <v>0</v>
      </c>
      <c r="BI314" s="2897">
        <f t="shared" si="191"/>
        <v>0</v>
      </c>
      <c r="BJ314" s="2897">
        <f t="shared" si="192"/>
        <v>0</v>
      </c>
      <c r="BK314" s="2897">
        <f t="shared" si="193"/>
        <v>0</v>
      </c>
      <c r="BL314" s="2897">
        <f t="shared" si="194"/>
        <v>0</v>
      </c>
      <c r="BM314" s="2897">
        <f t="shared" si="195"/>
        <v>0</v>
      </c>
      <c r="BN314" s="2897">
        <f t="shared" si="196"/>
        <v>0</v>
      </c>
      <c r="BO314" s="2897">
        <f t="shared" si="197"/>
        <v>0</v>
      </c>
      <c r="BP314" s="2897">
        <f t="shared" si="198"/>
        <v>0</v>
      </c>
      <c r="BQ314" s="2897">
        <f t="shared" si="199"/>
        <v>0</v>
      </c>
      <c r="BR314" s="2897">
        <f t="shared" si="200"/>
        <v>0</v>
      </c>
      <c r="BS314" s="2897">
        <f t="shared" si="201"/>
        <v>0</v>
      </c>
      <c r="BT314" s="2971">
        <f t="shared" si="202"/>
        <v>0</v>
      </c>
    </row>
    <row r="315" spans="1:72">
      <c r="A315" s="2894"/>
      <c r="B315" s="2904"/>
      <c r="C315" s="2902"/>
      <c r="D315" s="2903"/>
      <c r="E315" s="2897">
        <f t="shared" si="203"/>
        <v>0</v>
      </c>
      <c r="F315" s="2898"/>
      <c r="G315" s="2899">
        <f t="shared" si="178"/>
        <v>0</v>
      </c>
      <c r="H315" s="2900">
        <f t="shared" si="179"/>
        <v>0</v>
      </c>
      <c r="I315" s="2906"/>
      <c r="J315" s="2918"/>
      <c r="K315" s="2906"/>
      <c r="L315" s="2918"/>
      <c r="M315" s="2918"/>
      <c r="N315" s="2918"/>
      <c r="O315" s="2918"/>
      <c r="P315" s="2918"/>
      <c r="Q315" s="2918"/>
      <c r="R315" s="2918"/>
      <c r="S315" s="2918"/>
      <c r="T315" s="2918"/>
      <c r="U315" s="2918"/>
      <c r="V315" s="2918"/>
      <c r="W315" s="2918"/>
      <c r="X315" s="2918"/>
      <c r="Y315" s="2918"/>
      <c r="Z315" s="2918"/>
      <c r="AA315" s="2918"/>
      <c r="AB315" s="2918"/>
      <c r="AC315" s="2897">
        <f t="shared" si="180"/>
        <v>0</v>
      </c>
      <c r="AD315" s="2929"/>
      <c r="AE315" s="2929"/>
      <c r="AF315" s="2906"/>
      <c r="AG315" s="2929"/>
      <c r="AH315" s="2929"/>
      <c r="AI315" s="2929"/>
      <c r="AJ315" s="2929"/>
      <c r="AK315" s="2929"/>
      <c r="AL315" s="2929"/>
      <c r="AM315" s="2929"/>
      <c r="AN315" s="2929"/>
      <c r="AO315" s="2929"/>
      <c r="AP315" s="2929"/>
      <c r="AQ315" s="2929"/>
      <c r="AR315" s="2929"/>
      <c r="AS315" s="2929"/>
      <c r="AT315" s="2949"/>
      <c r="AU315" s="2950"/>
      <c r="AV315" s="454">
        <f t="shared" si="204"/>
        <v>0</v>
      </c>
      <c r="AW315" s="454">
        <f t="shared" si="205"/>
        <v>0</v>
      </c>
      <c r="AX315" s="454">
        <f t="shared" si="206"/>
        <v>0</v>
      </c>
      <c r="AY315" s="2966">
        <f t="shared" si="181"/>
        <v>0</v>
      </c>
      <c r="AZ315" s="2897">
        <f t="shared" si="182"/>
        <v>0</v>
      </c>
      <c r="BA315" s="2897">
        <f t="shared" si="183"/>
        <v>0</v>
      </c>
      <c r="BB315" s="2897">
        <f t="shared" si="184"/>
        <v>0</v>
      </c>
      <c r="BC315" s="2897">
        <f t="shared" si="185"/>
        <v>0</v>
      </c>
      <c r="BD315" s="2897">
        <f t="shared" si="186"/>
        <v>0</v>
      </c>
      <c r="BE315" s="2897">
        <f t="shared" si="187"/>
        <v>0</v>
      </c>
      <c r="BF315" s="2897">
        <f t="shared" si="188"/>
        <v>0</v>
      </c>
      <c r="BG315" s="2897">
        <f t="shared" si="189"/>
        <v>0</v>
      </c>
      <c r="BH315" s="2897">
        <f t="shared" si="190"/>
        <v>0</v>
      </c>
      <c r="BI315" s="2897">
        <f t="shared" si="191"/>
        <v>0</v>
      </c>
      <c r="BJ315" s="2897">
        <f t="shared" si="192"/>
        <v>0</v>
      </c>
      <c r="BK315" s="2897">
        <f t="shared" si="193"/>
        <v>0</v>
      </c>
      <c r="BL315" s="2897">
        <f t="shared" si="194"/>
        <v>0</v>
      </c>
      <c r="BM315" s="2897">
        <f t="shared" si="195"/>
        <v>0</v>
      </c>
      <c r="BN315" s="2897">
        <f t="shared" si="196"/>
        <v>0</v>
      </c>
      <c r="BO315" s="2897">
        <f t="shared" si="197"/>
        <v>0</v>
      </c>
      <c r="BP315" s="2897">
        <f t="shared" si="198"/>
        <v>0</v>
      </c>
      <c r="BQ315" s="2897">
        <f t="shared" si="199"/>
        <v>0</v>
      </c>
      <c r="BR315" s="2897">
        <f t="shared" si="200"/>
        <v>0</v>
      </c>
      <c r="BS315" s="2897">
        <f t="shared" si="201"/>
        <v>0</v>
      </c>
      <c r="BT315" s="2971">
        <f t="shared" si="202"/>
        <v>0</v>
      </c>
    </row>
    <row r="316" spans="1:72">
      <c r="A316" s="2894"/>
      <c r="B316" s="2904"/>
      <c r="C316" s="2902"/>
      <c r="D316" s="2903"/>
      <c r="E316" s="2897">
        <f t="shared" si="203"/>
        <v>0</v>
      </c>
      <c r="F316" s="2898"/>
      <c r="G316" s="2899">
        <f t="shared" si="178"/>
        <v>0</v>
      </c>
      <c r="H316" s="2900">
        <f t="shared" si="179"/>
        <v>0</v>
      </c>
      <c r="I316" s="2906"/>
      <c r="J316" s="2918"/>
      <c r="K316" s="2906"/>
      <c r="L316" s="2918"/>
      <c r="M316" s="2918"/>
      <c r="N316" s="2918"/>
      <c r="O316" s="2918"/>
      <c r="P316" s="2918"/>
      <c r="Q316" s="2918"/>
      <c r="R316" s="2918"/>
      <c r="S316" s="2918"/>
      <c r="T316" s="2918"/>
      <c r="U316" s="2918"/>
      <c r="V316" s="2918"/>
      <c r="W316" s="2918"/>
      <c r="X316" s="2918"/>
      <c r="Y316" s="2918"/>
      <c r="Z316" s="2918"/>
      <c r="AA316" s="2918"/>
      <c r="AB316" s="2918"/>
      <c r="AC316" s="2897">
        <f t="shared" si="180"/>
        <v>0</v>
      </c>
      <c r="AD316" s="2929"/>
      <c r="AE316" s="2929"/>
      <c r="AF316" s="2906"/>
      <c r="AG316" s="2929"/>
      <c r="AH316" s="2929"/>
      <c r="AI316" s="2929"/>
      <c r="AJ316" s="2929"/>
      <c r="AK316" s="2929"/>
      <c r="AL316" s="2929"/>
      <c r="AM316" s="2929"/>
      <c r="AN316" s="2929"/>
      <c r="AO316" s="2929"/>
      <c r="AP316" s="2929"/>
      <c r="AQ316" s="2929"/>
      <c r="AR316" s="2929"/>
      <c r="AS316" s="2929"/>
      <c r="AT316" s="2949"/>
      <c r="AU316" s="2950"/>
      <c r="AV316" s="454">
        <f t="shared" si="204"/>
        <v>0</v>
      </c>
      <c r="AW316" s="454">
        <f t="shared" si="205"/>
        <v>0</v>
      </c>
      <c r="AX316" s="454">
        <f t="shared" si="206"/>
        <v>0</v>
      </c>
      <c r="AY316" s="2966">
        <f t="shared" si="181"/>
        <v>0</v>
      </c>
      <c r="AZ316" s="2897">
        <f t="shared" si="182"/>
        <v>0</v>
      </c>
      <c r="BA316" s="2897">
        <f t="shared" si="183"/>
        <v>0</v>
      </c>
      <c r="BB316" s="2897">
        <f t="shared" si="184"/>
        <v>0</v>
      </c>
      <c r="BC316" s="2897">
        <f t="shared" si="185"/>
        <v>0</v>
      </c>
      <c r="BD316" s="2897">
        <f t="shared" si="186"/>
        <v>0</v>
      </c>
      <c r="BE316" s="2897">
        <f t="shared" si="187"/>
        <v>0</v>
      </c>
      <c r="BF316" s="2897">
        <f t="shared" si="188"/>
        <v>0</v>
      </c>
      <c r="BG316" s="2897">
        <f t="shared" si="189"/>
        <v>0</v>
      </c>
      <c r="BH316" s="2897">
        <f t="shared" si="190"/>
        <v>0</v>
      </c>
      <c r="BI316" s="2897">
        <f t="shared" si="191"/>
        <v>0</v>
      </c>
      <c r="BJ316" s="2897">
        <f t="shared" si="192"/>
        <v>0</v>
      </c>
      <c r="BK316" s="2897">
        <f t="shared" si="193"/>
        <v>0</v>
      </c>
      <c r="BL316" s="2897">
        <f t="shared" si="194"/>
        <v>0</v>
      </c>
      <c r="BM316" s="2897">
        <f t="shared" si="195"/>
        <v>0</v>
      </c>
      <c r="BN316" s="2897">
        <f t="shared" si="196"/>
        <v>0</v>
      </c>
      <c r="BO316" s="2897">
        <f t="shared" si="197"/>
        <v>0</v>
      </c>
      <c r="BP316" s="2897">
        <f t="shared" si="198"/>
        <v>0</v>
      </c>
      <c r="BQ316" s="2897">
        <f t="shared" si="199"/>
        <v>0</v>
      </c>
      <c r="BR316" s="2897">
        <f t="shared" si="200"/>
        <v>0</v>
      </c>
      <c r="BS316" s="2897">
        <f t="shared" si="201"/>
        <v>0</v>
      </c>
      <c r="BT316" s="2971">
        <f t="shared" si="202"/>
        <v>0</v>
      </c>
    </row>
    <row r="317" spans="1:72">
      <c r="A317" s="2894"/>
      <c r="B317" s="2904"/>
      <c r="C317" s="2902"/>
      <c r="D317" s="2903"/>
      <c r="E317" s="2897">
        <f t="shared" si="203"/>
        <v>0</v>
      </c>
      <c r="F317" s="2898"/>
      <c r="G317" s="2899">
        <f t="shared" si="178"/>
        <v>0</v>
      </c>
      <c r="H317" s="2900">
        <f t="shared" si="179"/>
        <v>0</v>
      </c>
      <c r="I317" s="2906"/>
      <c r="J317" s="2918"/>
      <c r="K317" s="2906"/>
      <c r="L317" s="2918"/>
      <c r="M317" s="2918"/>
      <c r="N317" s="2918"/>
      <c r="O317" s="2918"/>
      <c r="P317" s="2918"/>
      <c r="Q317" s="2918"/>
      <c r="R317" s="2918"/>
      <c r="S317" s="2918"/>
      <c r="T317" s="2918"/>
      <c r="U317" s="2918"/>
      <c r="V317" s="2918"/>
      <c r="W317" s="2918"/>
      <c r="X317" s="2918"/>
      <c r="Y317" s="2918"/>
      <c r="Z317" s="2918"/>
      <c r="AA317" s="2918"/>
      <c r="AB317" s="2918"/>
      <c r="AC317" s="2897">
        <f t="shared" si="180"/>
        <v>0</v>
      </c>
      <c r="AD317" s="2929"/>
      <c r="AE317" s="2929"/>
      <c r="AF317" s="2906"/>
      <c r="AG317" s="2929"/>
      <c r="AH317" s="2929"/>
      <c r="AI317" s="2929"/>
      <c r="AJ317" s="2929"/>
      <c r="AK317" s="2929"/>
      <c r="AL317" s="2929"/>
      <c r="AM317" s="2929"/>
      <c r="AN317" s="2929"/>
      <c r="AO317" s="2929"/>
      <c r="AP317" s="2929"/>
      <c r="AQ317" s="2929"/>
      <c r="AR317" s="2929"/>
      <c r="AS317" s="2929"/>
      <c r="AT317" s="2949"/>
      <c r="AU317" s="2950"/>
      <c r="AV317" s="454">
        <f t="shared" si="204"/>
        <v>0</v>
      </c>
      <c r="AW317" s="454">
        <f t="shared" si="205"/>
        <v>0</v>
      </c>
      <c r="AX317" s="454">
        <f t="shared" si="206"/>
        <v>0</v>
      </c>
      <c r="AY317" s="2966">
        <f t="shared" si="181"/>
        <v>0</v>
      </c>
      <c r="AZ317" s="2897">
        <f t="shared" si="182"/>
        <v>0</v>
      </c>
      <c r="BA317" s="2897">
        <f t="shared" si="183"/>
        <v>0</v>
      </c>
      <c r="BB317" s="2897">
        <f t="shared" si="184"/>
        <v>0</v>
      </c>
      <c r="BC317" s="2897">
        <f t="shared" si="185"/>
        <v>0</v>
      </c>
      <c r="BD317" s="2897">
        <f t="shared" si="186"/>
        <v>0</v>
      </c>
      <c r="BE317" s="2897">
        <f t="shared" si="187"/>
        <v>0</v>
      </c>
      <c r="BF317" s="2897">
        <f t="shared" si="188"/>
        <v>0</v>
      </c>
      <c r="BG317" s="2897">
        <f t="shared" si="189"/>
        <v>0</v>
      </c>
      <c r="BH317" s="2897">
        <f t="shared" si="190"/>
        <v>0</v>
      </c>
      <c r="BI317" s="2897">
        <f t="shared" si="191"/>
        <v>0</v>
      </c>
      <c r="BJ317" s="2897">
        <f t="shared" si="192"/>
        <v>0</v>
      </c>
      <c r="BK317" s="2897">
        <f t="shared" si="193"/>
        <v>0</v>
      </c>
      <c r="BL317" s="2897">
        <f t="shared" si="194"/>
        <v>0</v>
      </c>
      <c r="BM317" s="2897">
        <f t="shared" si="195"/>
        <v>0</v>
      </c>
      <c r="BN317" s="2897">
        <f t="shared" si="196"/>
        <v>0</v>
      </c>
      <c r="BO317" s="2897">
        <f t="shared" si="197"/>
        <v>0</v>
      </c>
      <c r="BP317" s="2897">
        <f t="shared" si="198"/>
        <v>0</v>
      </c>
      <c r="BQ317" s="2897">
        <f t="shared" si="199"/>
        <v>0</v>
      </c>
      <c r="BR317" s="2897">
        <f t="shared" si="200"/>
        <v>0</v>
      </c>
      <c r="BS317" s="2897">
        <f t="shared" si="201"/>
        <v>0</v>
      </c>
      <c r="BT317" s="2971">
        <f t="shared" si="202"/>
        <v>0</v>
      </c>
    </row>
    <row r="318" spans="1:72">
      <c r="A318" s="2894"/>
      <c r="B318" s="2904"/>
      <c r="C318" s="2902"/>
      <c r="D318" s="2903"/>
      <c r="E318" s="2897">
        <f t="shared" si="203"/>
        <v>0</v>
      </c>
      <c r="F318" s="2898"/>
      <c r="G318" s="2899">
        <f t="shared" si="178"/>
        <v>0</v>
      </c>
      <c r="H318" s="2900">
        <f t="shared" si="179"/>
        <v>0</v>
      </c>
      <c r="I318" s="2906"/>
      <c r="J318" s="2918"/>
      <c r="K318" s="2906"/>
      <c r="L318" s="2918"/>
      <c r="M318" s="2918"/>
      <c r="N318" s="2918"/>
      <c r="O318" s="2918"/>
      <c r="P318" s="2918"/>
      <c r="Q318" s="2918"/>
      <c r="R318" s="2918"/>
      <c r="S318" s="2918"/>
      <c r="T318" s="2918"/>
      <c r="U318" s="2918"/>
      <c r="V318" s="2918"/>
      <c r="W318" s="2918"/>
      <c r="X318" s="2918"/>
      <c r="Y318" s="2918"/>
      <c r="Z318" s="2918"/>
      <c r="AA318" s="2918"/>
      <c r="AB318" s="2918"/>
      <c r="AC318" s="2897">
        <f t="shared" si="180"/>
        <v>0</v>
      </c>
      <c r="AD318" s="2929"/>
      <c r="AE318" s="2929"/>
      <c r="AF318" s="2906"/>
      <c r="AG318" s="2929"/>
      <c r="AH318" s="2929"/>
      <c r="AI318" s="2929"/>
      <c r="AJ318" s="2929"/>
      <c r="AK318" s="2929"/>
      <c r="AL318" s="2929"/>
      <c r="AM318" s="2929"/>
      <c r="AN318" s="2929"/>
      <c r="AO318" s="2929"/>
      <c r="AP318" s="2929"/>
      <c r="AQ318" s="2929"/>
      <c r="AR318" s="2929"/>
      <c r="AS318" s="2929"/>
      <c r="AT318" s="2949"/>
      <c r="AU318" s="2950"/>
      <c r="AV318" s="454">
        <f t="shared" si="204"/>
        <v>0</v>
      </c>
      <c r="AW318" s="454">
        <f t="shared" si="205"/>
        <v>0</v>
      </c>
      <c r="AX318" s="454">
        <f t="shared" si="206"/>
        <v>0</v>
      </c>
      <c r="AY318" s="2966">
        <f t="shared" si="181"/>
        <v>0</v>
      </c>
      <c r="AZ318" s="2897">
        <f t="shared" si="182"/>
        <v>0</v>
      </c>
      <c r="BA318" s="2897">
        <f t="shared" si="183"/>
        <v>0</v>
      </c>
      <c r="BB318" s="2897">
        <f t="shared" si="184"/>
        <v>0</v>
      </c>
      <c r="BC318" s="2897">
        <f t="shared" si="185"/>
        <v>0</v>
      </c>
      <c r="BD318" s="2897">
        <f t="shared" si="186"/>
        <v>0</v>
      </c>
      <c r="BE318" s="2897">
        <f t="shared" si="187"/>
        <v>0</v>
      </c>
      <c r="BF318" s="2897">
        <f t="shared" si="188"/>
        <v>0</v>
      </c>
      <c r="BG318" s="2897">
        <f t="shared" si="189"/>
        <v>0</v>
      </c>
      <c r="BH318" s="2897">
        <f t="shared" si="190"/>
        <v>0</v>
      </c>
      <c r="BI318" s="2897">
        <f t="shared" si="191"/>
        <v>0</v>
      </c>
      <c r="BJ318" s="2897">
        <f t="shared" si="192"/>
        <v>0</v>
      </c>
      <c r="BK318" s="2897">
        <f t="shared" si="193"/>
        <v>0</v>
      </c>
      <c r="BL318" s="2897">
        <f t="shared" si="194"/>
        <v>0</v>
      </c>
      <c r="BM318" s="2897">
        <f t="shared" si="195"/>
        <v>0</v>
      </c>
      <c r="BN318" s="2897">
        <f t="shared" si="196"/>
        <v>0</v>
      </c>
      <c r="BO318" s="2897">
        <f t="shared" si="197"/>
        <v>0</v>
      </c>
      <c r="BP318" s="2897">
        <f t="shared" si="198"/>
        <v>0</v>
      </c>
      <c r="BQ318" s="2897">
        <f t="shared" si="199"/>
        <v>0</v>
      </c>
      <c r="BR318" s="2897">
        <f t="shared" si="200"/>
        <v>0</v>
      </c>
      <c r="BS318" s="2897">
        <f t="shared" si="201"/>
        <v>0</v>
      </c>
      <c r="BT318" s="2971">
        <f t="shared" si="202"/>
        <v>0</v>
      </c>
    </row>
    <row r="319" spans="1:72">
      <c r="A319" s="2894"/>
      <c r="B319" s="2904"/>
      <c r="C319" s="2902"/>
      <c r="D319" s="2903"/>
      <c r="E319" s="2897">
        <f t="shared" si="203"/>
        <v>0</v>
      </c>
      <c r="F319" s="2898"/>
      <c r="G319" s="2899">
        <f t="shared" si="178"/>
        <v>0</v>
      </c>
      <c r="H319" s="2900">
        <f t="shared" si="179"/>
        <v>0</v>
      </c>
      <c r="I319" s="2906"/>
      <c r="J319" s="2918"/>
      <c r="K319" s="2906"/>
      <c r="L319" s="2918"/>
      <c r="M319" s="2918"/>
      <c r="N319" s="2918"/>
      <c r="O319" s="2918"/>
      <c r="P319" s="2918"/>
      <c r="Q319" s="2918"/>
      <c r="R319" s="2918"/>
      <c r="S319" s="2918"/>
      <c r="T319" s="2918"/>
      <c r="U319" s="2918"/>
      <c r="V319" s="2918"/>
      <c r="W319" s="2918"/>
      <c r="X319" s="2918"/>
      <c r="Y319" s="2918"/>
      <c r="Z319" s="2918"/>
      <c r="AA319" s="2918"/>
      <c r="AB319" s="2918"/>
      <c r="AC319" s="2897">
        <f t="shared" si="180"/>
        <v>0</v>
      </c>
      <c r="AD319" s="2929"/>
      <c r="AE319" s="2929"/>
      <c r="AF319" s="2906"/>
      <c r="AG319" s="2929"/>
      <c r="AH319" s="2929"/>
      <c r="AI319" s="2929"/>
      <c r="AJ319" s="2929"/>
      <c r="AK319" s="2929"/>
      <c r="AL319" s="2929"/>
      <c r="AM319" s="2929"/>
      <c r="AN319" s="2929"/>
      <c r="AO319" s="2929"/>
      <c r="AP319" s="2929"/>
      <c r="AQ319" s="2929"/>
      <c r="AR319" s="2929"/>
      <c r="AS319" s="2929"/>
      <c r="AT319" s="2949"/>
      <c r="AU319" s="2950"/>
      <c r="AV319" s="454">
        <f t="shared" si="204"/>
        <v>0</v>
      </c>
      <c r="AW319" s="454">
        <f t="shared" si="205"/>
        <v>0</v>
      </c>
      <c r="AX319" s="454">
        <f t="shared" si="206"/>
        <v>0</v>
      </c>
      <c r="AY319" s="2966">
        <f t="shared" si="181"/>
        <v>0</v>
      </c>
      <c r="AZ319" s="2897">
        <f t="shared" si="182"/>
        <v>0</v>
      </c>
      <c r="BA319" s="2897">
        <f t="shared" si="183"/>
        <v>0</v>
      </c>
      <c r="BB319" s="2897">
        <f t="shared" si="184"/>
        <v>0</v>
      </c>
      <c r="BC319" s="2897">
        <f t="shared" si="185"/>
        <v>0</v>
      </c>
      <c r="BD319" s="2897">
        <f t="shared" si="186"/>
        <v>0</v>
      </c>
      <c r="BE319" s="2897">
        <f t="shared" si="187"/>
        <v>0</v>
      </c>
      <c r="BF319" s="2897">
        <f t="shared" si="188"/>
        <v>0</v>
      </c>
      <c r="BG319" s="2897">
        <f t="shared" si="189"/>
        <v>0</v>
      </c>
      <c r="BH319" s="2897">
        <f t="shared" si="190"/>
        <v>0</v>
      </c>
      <c r="BI319" s="2897">
        <f t="shared" si="191"/>
        <v>0</v>
      </c>
      <c r="BJ319" s="2897">
        <f t="shared" si="192"/>
        <v>0</v>
      </c>
      <c r="BK319" s="2897">
        <f t="shared" si="193"/>
        <v>0</v>
      </c>
      <c r="BL319" s="2897">
        <f t="shared" si="194"/>
        <v>0</v>
      </c>
      <c r="BM319" s="2897">
        <f t="shared" si="195"/>
        <v>0</v>
      </c>
      <c r="BN319" s="2897">
        <f t="shared" si="196"/>
        <v>0</v>
      </c>
      <c r="BO319" s="2897">
        <f t="shared" si="197"/>
        <v>0</v>
      </c>
      <c r="BP319" s="2897">
        <f t="shared" si="198"/>
        <v>0</v>
      </c>
      <c r="BQ319" s="2897">
        <f t="shared" si="199"/>
        <v>0</v>
      </c>
      <c r="BR319" s="2897">
        <f t="shared" si="200"/>
        <v>0</v>
      </c>
      <c r="BS319" s="2897">
        <f t="shared" si="201"/>
        <v>0</v>
      </c>
      <c r="BT319" s="2971">
        <f t="shared" si="202"/>
        <v>0</v>
      </c>
    </row>
    <row r="320" spans="1:72">
      <c r="A320" s="2894"/>
      <c r="B320" s="2904"/>
      <c r="C320" s="2902"/>
      <c r="D320" s="2903"/>
      <c r="E320" s="2897">
        <f t="shared" si="203"/>
        <v>0</v>
      </c>
      <c r="F320" s="2898"/>
      <c r="G320" s="2899">
        <f t="shared" si="178"/>
        <v>0</v>
      </c>
      <c r="H320" s="2900">
        <f t="shared" si="179"/>
        <v>0</v>
      </c>
      <c r="I320" s="2906"/>
      <c r="J320" s="2918"/>
      <c r="K320" s="2906"/>
      <c r="L320" s="2918"/>
      <c r="M320" s="2918"/>
      <c r="N320" s="2918"/>
      <c r="O320" s="2918"/>
      <c r="P320" s="2918"/>
      <c r="Q320" s="2918"/>
      <c r="R320" s="2918"/>
      <c r="S320" s="2918"/>
      <c r="T320" s="2918"/>
      <c r="U320" s="2918"/>
      <c r="V320" s="2918"/>
      <c r="W320" s="2918"/>
      <c r="X320" s="2918"/>
      <c r="Y320" s="2918"/>
      <c r="Z320" s="2918"/>
      <c r="AA320" s="2918"/>
      <c r="AB320" s="2918"/>
      <c r="AC320" s="2897">
        <f t="shared" si="180"/>
        <v>0</v>
      </c>
      <c r="AD320" s="2929"/>
      <c r="AE320" s="2929"/>
      <c r="AF320" s="2906"/>
      <c r="AG320" s="2929"/>
      <c r="AH320" s="2929"/>
      <c r="AI320" s="2929"/>
      <c r="AJ320" s="2929"/>
      <c r="AK320" s="2929"/>
      <c r="AL320" s="2929"/>
      <c r="AM320" s="2929"/>
      <c r="AN320" s="2929"/>
      <c r="AO320" s="2929"/>
      <c r="AP320" s="2929"/>
      <c r="AQ320" s="2929"/>
      <c r="AR320" s="2929"/>
      <c r="AS320" s="2929"/>
      <c r="AT320" s="2949"/>
      <c r="AU320" s="2950"/>
      <c r="AV320" s="454">
        <f t="shared" si="204"/>
        <v>0</v>
      </c>
      <c r="AW320" s="454">
        <f t="shared" si="205"/>
        <v>0</v>
      </c>
      <c r="AX320" s="454">
        <f t="shared" si="206"/>
        <v>0</v>
      </c>
      <c r="AY320" s="2966">
        <f t="shared" si="181"/>
        <v>0</v>
      </c>
      <c r="AZ320" s="2897">
        <f t="shared" si="182"/>
        <v>0</v>
      </c>
      <c r="BA320" s="2897">
        <f t="shared" si="183"/>
        <v>0</v>
      </c>
      <c r="BB320" s="2897">
        <f t="shared" si="184"/>
        <v>0</v>
      </c>
      <c r="BC320" s="2897">
        <f t="shared" si="185"/>
        <v>0</v>
      </c>
      <c r="BD320" s="2897">
        <f t="shared" si="186"/>
        <v>0</v>
      </c>
      <c r="BE320" s="2897">
        <f t="shared" si="187"/>
        <v>0</v>
      </c>
      <c r="BF320" s="2897">
        <f t="shared" si="188"/>
        <v>0</v>
      </c>
      <c r="BG320" s="2897">
        <f t="shared" si="189"/>
        <v>0</v>
      </c>
      <c r="BH320" s="2897">
        <f t="shared" si="190"/>
        <v>0</v>
      </c>
      <c r="BI320" s="2897">
        <f t="shared" si="191"/>
        <v>0</v>
      </c>
      <c r="BJ320" s="2897">
        <f t="shared" si="192"/>
        <v>0</v>
      </c>
      <c r="BK320" s="2897">
        <f t="shared" si="193"/>
        <v>0</v>
      </c>
      <c r="BL320" s="2897">
        <f t="shared" si="194"/>
        <v>0</v>
      </c>
      <c r="BM320" s="2897">
        <f t="shared" si="195"/>
        <v>0</v>
      </c>
      <c r="BN320" s="2897">
        <f t="shared" si="196"/>
        <v>0</v>
      </c>
      <c r="BO320" s="2897">
        <f t="shared" si="197"/>
        <v>0</v>
      </c>
      <c r="BP320" s="2897">
        <f t="shared" si="198"/>
        <v>0</v>
      </c>
      <c r="BQ320" s="2897">
        <f t="shared" si="199"/>
        <v>0</v>
      </c>
      <c r="BR320" s="2897">
        <f t="shared" si="200"/>
        <v>0</v>
      </c>
      <c r="BS320" s="2897">
        <f t="shared" si="201"/>
        <v>0</v>
      </c>
      <c r="BT320" s="2971">
        <f t="shared" si="202"/>
        <v>0</v>
      </c>
    </row>
    <row r="321" spans="1:72">
      <c r="A321" s="2894"/>
      <c r="B321" s="2904"/>
      <c r="C321" s="2902"/>
      <c r="D321" s="2903"/>
      <c r="E321" s="2897">
        <f t="shared" si="203"/>
        <v>0</v>
      </c>
      <c r="F321" s="2898"/>
      <c r="G321" s="2899">
        <f t="shared" si="178"/>
        <v>0</v>
      </c>
      <c r="H321" s="2900">
        <f t="shared" si="179"/>
        <v>0</v>
      </c>
      <c r="I321" s="2906"/>
      <c r="J321" s="2918"/>
      <c r="K321" s="2906"/>
      <c r="L321" s="2918"/>
      <c r="M321" s="2918"/>
      <c r="N321" s="2918"/>
      <c r="O321" s="2918"/>
      <c r="P321" s="2918"/>
      <c r="Q321" s="2918"/>
      <c r="R321" s="2918"/>
      <c r="S321" s="2918"/>
      <c r="T321" s="2918"/>
      <c r="U321" s="2918"/>
      <c r="V321" s="2918"/>
      <c r="W321" s="2918"/>
      <c r="X321" s="2918"/>
      <c r="Y321" s="2918"/>
      <c r="Z321" s="2918"/>
      <c r="AA321" s="2918"/>
      <c r="AB321" s="2918"/>
      <c r="AC321" s="2897">
        <f t="shared" si="180"/>
        <v>0</v>
      </c>
      <c r="AD321" s="2929"/>
      <c r="AE321" s="2929"/>
      <c r="AF321" s="2906"/>
      <c r="AG321" s="2929"/>
      <c r="AH321" s="2929"/>
      <c r="AI321" s="2929"/>
      <c r="AJ321" s="2929"/>
      <c r="AK321" s="2929"/>
      <c r="AL321" s="2929"/>
      <c r="AM321" s="2929"/>
      <c r="AN321" s="2929"/>
      <c r="AO321" s="2929"/>
      <c r="AP321" s="2929"/>
      <c r="AQ321" s="2929"/>
      <c r="AR321" s="2929"/>
      <c r="AS321" s="2929"/>
      <c r="AT321" s="2949"/>
      <c r="AU321" s="2950"/>
      <c r="AV321" s="454">
        <f t="shared" si="204"/>
        <v>0</v>
      </c>
      <c r="AW321" s="454">
        <f t="shared" si="205"/>
        <v>0</v>
      </c>
      <c r="AX321" s="454">
        <f t="shared" si="206"/>
        <v>0</v>
      </c>
      <c r="AY321" s="2966">
        <f t="shared" si="181"/>
        <v>0</v>
      </c>
      <c r="AZ321" s="2897">
        <f t="shared" si="182"/>
        <v>0</v>
      </c>
      <c r="BA321" s="2897">
        <f t="shared" si="183"/>
        <v>0</v>
      </c>
      <c r="BB321" s="2897">
        <f t="shared" si="184"/>
        <v>0</v>
      </c>
      <c r="BC321" s="2897">
        <f t="shared" si="185"/>
        <v>0</v>
      </c>
      <c r="BD321" s="2897">
        <f t="shared" si="186"/>
        <v>0</v>
      </c>
      <c r="BE321" s="2897">
        <f t="shared" si="187"/>
        <v>0</v>
      </c>
      <c r="BF321" s="2897">
        <f t="shared" si="188"/>
        <v>0</v>
      </c>
      <c r="BG321" s="2897">
        <f t="shared" si="189"/>
        <v>0</v>
      </c>
      <c r="BH321" s="2897">
        <f t="shared" si="190"/>
        <v>0</v>
      </c>
      <c r="BI321" s="2897">
        <f t="shared" si="191"/>
        <v>0</v>
      </c>
      <c r="BJ321" s="2897">
        <f t="shared" si="192"/>
        <v>0</v>
      </c>
      <c r="BK321" s="2897">
        <f t="shared" si="193"/>
        <v>0</v>
      </c>
      <c r="BL321" s="2897">
        <f t="shared" si="194"/>
        <v>0</v>
      </c>
      <c r="BM321" s="2897">
        <f t="shared" si="195"/>
        <v>0</v>
      </c>
      <c r="BN321" s="2897">
        <f t="shared" si="196"/>
        <v>0</v>
      </c>
      <c r="BO321" s="2897">
        <f t="shared" si="197"/>
        <v>0</v>
      </c>
      <c r="BP321" s="2897">
        <f t="shared" si="198"/>
        <v>0</v>
      </c>
      <c r="BQ321" s="2897">
        <f t="shared" si="199"/>
        <v>0</v>
      </c>
      <c r="BR321" s="2897">
        <f t="shared" si="200"/>
        <v>0</v>
      </c>
      <c r="BS321" s="2897">
        <f t="shared" si="201"/>
        <v>0</v>
      </c>
      <c r="BT321" s="2971">
        <f t="shared" si="202"/>
        <v>0</v>
      </c>
    </row>
    <row r="322" spans="1:72">
      <c r="A322" s="2894"/>
      <c r="B322" s="2904"/>
      <c r="C322" s="2902"/>
      <c r="D322" s="2903"/>
      <c r="E322" s="2897">
        <f t="shared" si="203"/>
        <v>0</v>
      </c>
      <c r="F322" s="2898"/>
      <c r="G322" s="2899">
        <f t="shared" si="178"/>
        <v>0</v>
      </c>
      <c r="H322" s="2900">
        <f t="shared" si="179"/>
        <v>0</v>
      </c>
      <c r="I322" s="2906"/>
      <c r="J322" s="2918"/>
      <c r="K322" s="2906"/>
      <c r="L322" s="2918"/>
      <c r="M322" s="2918"/>
      <c r="N322" s="2918"/>
      <c r="O322" s="2918"/>
      <c r="P322" s="2918"/>
      <c r="Q322" s="2918"/>
      <c r="R322" s="2918"/>
      <c r="S322" s="2918"/>
      <c r="T322" s="2918"/>
      <c r="U322" s="2918"/>
      <c r="V322" s="2918"/>
      <c r="W322" s="2918"/>
      <c r="X322" s="2918"/>
      <c r="Y322" s="2918"/>
      <c r="Z322" s="2918"/>
      <c r="AA322" s="2918"/>
      <c r="AB322" s="2918"/>
      <c r="AC322" s="2897">
        <f t="shared" si="180"/>
        <v>0</v>
      </c>
      <c r="AD322" s="2929"/>
      <c r="AE322" s="2929"/>
      <c r="AF322" s="2906"/>
      <c r="AG322" s="2929"/>
      <c r="AH322" s="2929"/>
      <c r="AI322" s="2929"/>
      <c r="AJ322" s="2929"/>
      <c r="AK322" s="2929"/>
      <c r="AL322" s="2929"/>
      <c r="AM322" s="2929"/>
      <c r="AN322" s="2929"/>
      <c r="AO322" s="2929"/>
      <c r="AP322" s="2929"/>
      <c r="AQ322" s="2929"/>
      <c r="AR322" s="2929"/>
      <c r="AS322" s="2929"/>
      <c r="AT322" s="2949"/>
      <c r="AU322" s="2950"/>
      <c r="AV322" s="454">
        <f t="shared" si="204"/>
        <v>0</v>
      </c>
      <c r="AW322" s="454">
        <f t="shared" si="205"/>
        <v>0</v>
      </c>
      <c r="AX322" s="454">
        <f t="shared" si="206"/>
        <v>0</v>
      </c>
      <c r="AY322" s="2966">
        <f t="shared" si="181"/>
        <v>0</v>
      </c>
      <c r="AZ322" s="2897">
        <f t="shared" si="182"/>
        <v>0</v>
      </c>
      <c r="BA322" s="2897">
        <f t="shared" si="183"/>
        <v>0</v>
      </c>
      <c r="BB322" s="2897">
        <f t="shared" si="184"/>
        <v>0</v>
      </c>
      <c r="BC322" s="2897">
        <f t="shared" si="185"/>
        <v>0</v>
      </c>
      <c r="BD322" s="2897">
        <f t="shared" si="186"/>
        <v>0</v>
      </c>
      <c r="BE322" s="2897">
        <f t="shared" si="187"/>
        <v>0</v>
      </c>
      <c r="BF322" s="2897">
        <f t="shared" si="188"/>
        <v>0</v>
      </c>
      <c r="BG322" s="2897">
        <f t="shared" si="189"/>
        <v>0</v>
      </c>
      <c r="BH322" s="2897">
        <f t="shared" si="190"/>
        <v>0</v>
      </c>
      <c r="BI322" s="2897">
        <f t="shared" si="191"/>
        <v>0</v>
      </c>
      <c r="BJ322" s="2897">
        <f t="shared" si="192"/>
        <v>0</v>
      </c>
      <c r="BK322" s="2897">
        <f t="shared" si="193"/>
        <v>0</v>
      </c>
      <c r="BL322" s="2897">
        <f t="shared" si="194"/>
        <v>0</v>
      </c>
      <c r="BM322" s="2897">
        <f t="shared" si="195"/>
        <v>0</v>
      </c>
      <c r="BN322" s="2897">
        <f t="shared" si="196"/>
        <v>0</v>
      </c>
      <c r="BO322" s="2897">
        <f t="shared" si="197"/>
        <v>0</v>
      </c>
      <c r="BP322" s="2897">
        <f t="shared" si="198"/>
        <v>0</v>
      </c>
      <c r="BQ322" s="2897">
        <f t="shared" si="199"/>
        <v>0</v>
      </c>
      <c r="BR322" s="2897">
        <f t="shared" si="200"/>
        <v>0</v>
      </c>
      <c r="BS322" s="2897">
        <f t="shared" si="201"/>
        <v>0</v>
      </c>
      <c r="BT322" s="2971">
        <f t="shared" si="202"/>
        <v>0</v>
      </c>
    </row>
    <row r="323" spans="1:72">
      <c r="A323" s="2894"/>
      <c r="B323" s="2904"/>
      <c r="C323" s="2902"/>
      <c r="D323" s="2903"/>
      <c r="E323" s="2897">
        <f t="shared" si="203"/>
        <v>0</v>
      </c>
      <c r="F323" s="2898"/>
      <c r="G323" s="2899">
        <f t="shared" si="178"/>
        <v>0</v>
      </c>
      <c r="H323" s="2900">
        <f t="shared" si="179"/>
        <v>0</v>
      </c>
      <c r="I323" s="2906"/>
      <c r="J323" s="2918"/>
      <c r="K323" s="2906"/>
      <c r="L323" s="2918"/>
      <c r="M323" s="2918"/>
      <c r="N323" s="2918"/>
      <c r="O323" s="2918"/>
      <c r="P323" s="2918"/>
      <c r="Q323" s="2918"/>
      <c r="R323" s="2918"/>
      <c r="S323" s="2918"/>
      <c r="T323" s="2918"/>
      <c r="U323" s="2918"/>
      <c r="V323" s="2918"/>
      <c r="W323" s="2918"/>
      <c r="X323" s="2918"/>
      <c r="Y323" s="2918"/>
      <c r="Z323" s="2918"/>
      <c r="AA323" s="2918"/>
      <c r="AB323" s="2918"/>
      <c r="AC323" s="2897">
        <f t="shared" si="180"/>
        <v>0</v>
      </c>
      <c r="AD323" s="2929"/>
      <c r="AE323" s="2929"/>
      <c r="AF323" s="2902"/>
      <c r="AG323" s="2929"/>
      <c r="AH323" s="2929"/>
      <c r="AI323" s="2929"/>
      <c r="AJ323" s="2929"/>
      <c r="AK323" s="2929"/>
      <c r="AL323" s="2929"/>
      <c r="AM323" s="2929"/>
      <c r="AN323" s="2929"/>
      <c r="AO323" s="2929"/>
      <c r="AP323" s="2929"/>
      <c r="AQ323" s="2929"/>
      <c r="AR323" s="2929"/>
      <c r="AS323" s="2929"/>
      <c r="AT323" s="2949"/>
      <c r="AU323" s="2950"/>
      <c r="AV323" s="454">
        <f t="shared" si="204"/>
        <v>0</v>
      </c>
      <c r="AW323" s="454">
        <f t="shared" si="205"/>
        <v>0</v>
      </c>
      <c r="AX323" s="454">
        <f t="shared" si="206"/>
        <v>0</v>
      </c>
      <c r="AY323" s="2966">
        <f t="shared" si="181"/>
        <v>0</v>
      </c>
      <c r="AZ323" s="2897">
        <f t="shared" si="182"/>
        <v>0</v>
      </c>
      <c r="BA323" s="2897">
        <f t="shared" si="183"/>
        <v>0</v>
      </c>
      <c r="BB323" s="2897">
        <f t="shared" si="184"/>
        <v>0</v>
      </c>
      <c r="BC323" s="2897">
        <f t="shared" si="185"/>
        <v>0</v>
      </c>
      <c r="BD323" s="2897">
        <f t="shared" si="186"/>
        <v>0</v>
      </c>
      <c r="BE323" s="2897">
        <f t="shared" si="187"/>
        <v>0</v>
      </c>
      <c r="BF323" s="2897">
        <f t="shared" si="188"/>
        <v>0</v>
      </c>
      <c r="BG323" s="2897">
        <f t="shared" si="189"/>
        <v>0</v>
      </c>
      <c r="BH323" s="2897">
        <f t="shared" si="190"/>
        <v>0</v>
      </c>
      <c r="BI323" s="2897">
        <f t="shared" si="191"/>
        <v>0</v>
      </c>
      <c r="BJ323" s="2897">
        <f t="shared" si="192"/>
        <v>0</v>
      </c>
      <c r="BK323" s="2897">
        <f t="shared" si="193"/>
        <v>0</v>
      </c>
      <c r="BL323" s="2897">
        <f t="shared" si="194"/>
        <v>0</v>
      </c>
      <c r="BM323" s="2897">
        <f t="shared" si="195"/>
        <v>0</v>
      </c>
      <c r="BN323" s="2897">
        <f t="shared" si="196"/>
        <v>0</v>
      </c>
      <c r="BO323" s="2897">
        <f t="shared" si="197"/>
        <v>0</v>
      </c>
      <c r="BP323" s="2897">
        <f t="shared" si="198"/>
        <v>0</v>
      </c>
      <c r="BQ323" s="2897">
        <f t="shared" si="199"/>
        <v>0</v>
      </c>
      <c r="BR323" s="2897">
        <f t="shared" si="200"/>
        <v>0</v>
      </c>
      <c r="BS323" s="2897">
        <f t="shared" si="201"/>
        <v>0</v>
      </c>
      <c r="BT323" s="2971">
        <f t="shared" si="202"/>
        <v>0</v>
      </c>
    </row>
    <row r="324" spans="1:72">
      <c r="A324" s="2894"/>
      <c r="B324" s="2904"/>
      <c r="C324" s="2902"/>
      <c r="D324" s="2903"/>
      <c r="E324" s="2897">
        <f t="shared" si="203"/>
        <v>0</v>
      </c>
      <c r="F324" s="2898"/>
      <c r="G324" s="2899">
        <f t="shared" si="178"/>
        <v>0</v>
      </c>
      <c r="H324" s="2900">
        <f t="shared" si="179"/>
        <v>0</v>
      </c>
      <c r="I324" s="2902"/>
      <c r="J324" s="2918"/>
      <c r="K324" s="2902"/>
      <c r="L324" s="2918"/>
      <c r="M324" s="2918"/>
      <c r="N324" s="2918"/>
      <c r="O324" s="2918"/>
      <c r="P324" s="2918"/>
      <c r="Q324" s="2918"/>
      <c r="R324" s="2918"/>
      <c r="S324" s="2918"/>
      <c r="T324" s="2918"/>
      <c r="U324" s="2918"/>
      <c r="V324" s="2918"/>
      <c r="W324" s="2918"/>
      <c r="X324" s="2918"/>
      <c r="Y324" s="2918"/>
      <c r="Z324" s="2918"/>
      <c r="AA324" s="2918"/>
      <c r="AB324" s="2918"/>
      <c r="AC324" s="2897">
        <f t="shared" si="180"/>
        <v>0</v>
      </c>
      <c r="AD324" s="2929"/>
      <c r="AE324" s="2929"/>
      <c r="AF324" s="2902"/>
      <c r="AG324" s="2929"/>
      <c r="AH324" s="2929"/>
      <c r="AI324" s="2929"/>
      <c r="AJ324" s="2929"/>
      <c r="AK324" s="2929"/>
      <c r="AL324" s="2929"/>
      <c r="AM324" s="2929"/>
      <c r="AN324" s="2929"/>
      <c r="AO324" s="2929"/>
      <c r="AP324" s="2929"/>
      <c r="AQ324" s="2929"/>
      <c r="AR324" s="2929"/>
      <c r="AS324" s="2929"/>
      <c r="AT324" s="2949"/>
      <c r="AU324" s="2950"/>
      <c r="AV324" s="454">
        <f t="shared" si="204"/>
        <v>0</v>
      </c>
      <c r="AW324" s="454">
        <f t="shared" si="205"/>
        <v>0</v>
      </c>
      <c r="AX324" s="454">
        <f t="shared" si="206"/>
        <v>0</v>
      </c>
      <c r="AY324" s="2966">
        <f t="shared" si="181"/>
        <v>0</v>
      </c>
      <c r="AZ324" s="2897">
        <f t="shared" si="182"/>
        <v>0</v>
      </c>
      <c r="BA324" s="2897">
        <f t="shared" si="183"/>
        <v>0</v>
      </c>
      <c r="BB324" s="2897">
        <f t="shared" si="184"/>
        <v>0</v>
      </c>
      <c r="BC324" s="2897">
        <f t="shared" si="185"/>
        <v>0</v>
      </c>
      <c r="BD324" s="2897">
        <f t="shared" si="186"/>
        <v>0</v>
      </c>
      <c r="BE324" s="2897">
        <f t="shared" si="187"/>
        <v>0</v>
      </c>
      <c r="BF324" s="2897">
        <f t="shared" si="188"/>
        <v>0</v>
      </c>
      <c r="BG324" s="2897">
        <f t="shared" si="189"/>
        <v>0</v>
      </c>
      <c r="BH324" s="2897">
        <f t="shared" si="190"/>
        <v>0</v>
      </c>
      <c r="BI324" s="2897">
        <f t="shared" si="191"/>
        <v>0</v>
      </c>
      <c r="BJ324" s="2897">
        <f t="shared" si="192"/>
        <v>0</v>
      </c>
      <c r="BK324" s="2897">
        <f t="shared" si="193"/>
        <v>0</v>
      </c>
      <c r="BL324" s="2897">
        <f t="shared" si="194"/>
        <v>0</v>
      </c>
      <c r="BM324" s="2897">
        <f t="shared" si="195"/>
        <v>0</v>
      </c>
      <c r="BN324" s="2897">
        <f t="shared" si="196"/>
        <v>0</v>
      </c>
      <c r="BO324" s="2897">
        <f t="shared" si="197"/>
        <v>0</v>
      </c>
      <c r="BP324" s="2897">
        <f t="shared" si="198"/>
        <v>0</v>
      </c>
      <c r="BQ324" s="2897">
        <f t="shared" si="199"/>
        <v>0</v>
      </c>
      <c r="BR324" s="2897">
        <f t="shared" si="200"/>
        <v>0</v>
      </c>
      <c r="BS324" s="2897">
        <f t="shared" si="201"/>
        <v>0</v>
      </c>
      <c r="BT324" s="2971">
        <f t="shared" si="202"/>
        <v>0</v>
      </c>
    </row>
    <row r="325" spans="1:72">
      <c r="A325" s="2894"/>
      <c r="B325" s="2904"/>
      <c r="C325" s="2902"/>
      <c r="D325" s="2903"/>
      <c r="E325" s="2897">
        <f t="shared" si="203"/>
        <v>0</v>
      </c>
      <c r="F325" s="2898"/>
      <c r="G325" s="2899">
        <f t="shared" si="178"/>
        <v>0</v>
      </c>
      <c r="H325" s="2900">
        <f t="shared" si="179"/>
        <v>0</v>
      </c>
      <c r="I325" s="2902"/>
      <c r="J325" s="2918"/>
      <c r="K325" s="2902"/>
      <c r="L325" s="2918"/>
      <c r="M325" s="2918"/>
      <c r="N325" s="2918"/>
      <c r="O325" s="2918"/>
      <c r="P325" s="2918"/>
      <c r="Q325" s="2918"/>
      <c r="R325" s="2918"/>
      <c r="S325" s="2918"/>
      <c r="T325" s="2918"/>
      <c r="U325" s="2918"/>
      <c r="V325" s="2918"/>
      <c r="W325" s="2918"/>
      <c r="X325" s="2918"/>
      <c r="Y325" s="2918"/>
      <c r="Z325" s="2918"/>
      <c r="AA325" s="2918"/>
      <c r="AB325" s="2918"/>
      <c r="AC325" s="2897">
        <f t="shared" si="180"/>
        <v>0</v>
      </c>
      <c r="AD325" s="2929"/>
      <c r="AE325" s="2929"/>
      <c r="AF325" s="2902"/>
      <c r="AG325" s="2929"/>
      <c r="AH325" s="2929"/>
      <c r="AI325" s="2929"/>
      <c r="AJ325" s="2929"/>
      <c r="AK325" s="2929"/>
      <c r="AL325" s="2929"/>
      <c r="AM325" s="2929"/>
      <c r="AN325" s="2929"/>
      <c r="AO325" s="2929"/>
      <c r="AP325" s="2929"/>
      <c r="AQ325" s="2929"/>
      <c r="AR325" s="2929"/>
      <c r="AS325" s="2929"/>
      <c r="AT325" s="2949"/>
      <c r="AU325" s="2950"/>
      <c r="AV325" s="454">
        <f t="shared" si="204"/>
        <v>0</v>
      </c>
      <c r="AW325" s="454">
        <f t="shared" si="205"/>
        <v>0</v>
      </c>
      <c r="AX325" s="454">
        <f t="shared" si="206"/>
        <v>0</v>
      </c>
      <c r="AY325" s="2966">
        <f t="shared" si="181"/>
        <v>0</v>
      </c>
      <c r="AZ325" s="2897">
        <f t="shared" si="182"/>
        <v>0</v>
      </c>
      <c r="BA325" s="2897">
        <f t="shared" si="183"/>
        <v>0</v>
      </c>
      <c r="BB325" s="2897">
        <f t="shared" si="184"/>
        <v>0</v>
      </c>
      <c r="BC325" s="2897">
        <f t="shared" si="185"/>
        <v>0</v>
      </c>
      <c r="BD325" s="2897">
        <f t="shared" si="186"/>
        <v>0</v>
      </c>
      <c r="BE325" s="2897">
        <f t="shared" si="187"/>
        <v>0</v>
      </c>
      <c r="BF325" s="2897">
        <f t="shared" si="188"/>
        <v>0</v>
      </c>
      <c r="BG325" s="2897">
        <f t="shared" si="189"/>
        <v>0</v>
      </c>
      <c r="BH325" s="2897">
        <f t="shared" si="190"/>
        <v>0</v>
      </c>
      <c r="BI325" s="2897">
        <f t="shared" si="191"/>
        <v>0</v>
      </c>
      <c r="BJ325" s="2897">
        <f t="shared" si="192"/>
        <v>0</v>
      </c>
      <c r="BK325" s="2897">
        <f t="shared" si="193"/>
        <v>0</v>
      </c>
      <c r="BL325" s="2897">
        <f t="shared" si="194"/>
        <v>0</v>
      </c>
      <c r="BM325" s="2897">
        <f t="shared" si="195"/>
        <v>0</v>
      </c>
      <c r="BN325" s="2897">
        <f t="shared" si="196"/>
        <v>0</v>
      </c>
      <c r="BO325" s="2897">
        <f t="shared" si="197"/>
        <v>0</v>
      </c>
      <c r="BP325" s="2897">
        <f t="shared" si="198"/>
        <v>0</v>
      </c>
      <c r="BQ325" s="2897">
        <f t="shared" si="199"/>
        <v>0</v>
      </c>
      <c r="BR325" s="2897">
        <f t="shared" si="200"/>
        <v>0</v>
      </c>
      <c r="BS325" s="2897">
        <f t="shared" si="201"/>
        <v>0</v>
      </c>
      <c r="BT325" s="2971">
        <f t="shared" si="202"/>
        <v>0</v>
      </c>
    </row>
    <row r="326" spans="1:72">
      <c r="A326" s="2894"/>
      <c r="B326" s="2904"/>
      <c r="C326" s="2902"/>
      <c r="D326" s="2903"/>
      <c r="E326" s="2897">
        <f t="shared" si="203"/>
        <v>0</v>
      </c>
      <c r="F326" s="2898"/>
      <c r="G326" s="2899">
        <f t="shared" ref="G326:G357" si="207">H326+AC326+AT326</f>
        <v>0</v>
      </c>
      <c r="H326" s="2900">
        <f t="shared" ref="H326:H357" si="208">SUMIF(I$12:AB$12,"总值",I326:AB326)</f>
        <v>0</v>
      </c>
      <c r="I326" s="2902"/>
      <c r="J326" s="2918"/>
      <c r="K326" s="2902"/>
      <c r="L326" s="2918"/>
      <c r="M326" s="2918"/>
      <c r="N326" s="2918"/>
      <c r="O326" s="2918"/>
      <c r="P326" s="2918"/>
      <c r="Q326" s="2918"/>
      <c r="R326" s="2918"/>
      <c r="S326" s="2918"/>
      <c r="T326" s="2918"/>
      <c r="U326" s="2918"/>
      <c r="V326" s="2918"/>
      <c r="W326" s="2918"/>
      <c r="X326" s="2918"/>
      <c r="Y326" s="2918"/>
      <c r="Z326" s="2918"/>
      <c r="AA326" s="2918"/>
      <c r="AB326" s="2918"/>
      <c r="AC326" s="2897">
        <f t="shared" ref="AC326:AC357" si="209">SUMIF(AD$12:AS$12,"总值",AD326:AS326)</f>
        <v>0</v>
      </c>
      <c r="AD326" s="2929"/>
      <c r="AE326" s="2929"/>
      <c r="AF326" s="2902"/>
      <c r="AG326" s="2929"/>
      <c r="AH326" s="2929"/>
      <c r="AI326" s="2929"/>
      <c r="AJ326" s="2929"/>
      <c r="AK326" s="2929"/>
      <c r="AL326" s="2929"/>
      <c r="AM326" s="2929"/>
      <c r="AN326" s="2929"/>
      <c r="AO326" s="2929"/>
      <c r="AP326" s="2929"/>
      <c r="AQ326" s="2929"/>
      <c r="AR326" s="2929"/>
      <c r="AS326" s="2929"/>
      <c r="AT326" s="2949"/>
      <c r="AU326" s="2950"/>
      <c r="AV326" s="454">
        <f t="shared" si="204"/>
        <v>0</v>
      </c>
      <c r="AW326" s="454">
        <f t="shared" si="205"/>
        <v>0</v>
      </c>
      <c r="AX326" s="454">
        <f t="shared" si="206"/>
        <v>0</v>
      </c>
      <c r="AY326" s="2966">
        <f t="shared" ref="AY326:AY357" si="210">ROUND($AY$6*AZ326/$AZ$5,2)</f>
        <v>0</v>
      </c>
      <c r="AZ326" s="2897">
        <f t="shared" ref="AZ326:AZ357" si="211">BA326+BL326</f>
        <v>0</v>
      </c>
      <c r="BA326" s="2897">
        <f t="shared" ref="BA326:BA357" si="212">SUM(BB326:BK326)</f>
        <v>0</v>
      </c>
      <c r="BB326" s="2897">
        <f t="shared" ref="BB326:BB357" si="213">IF($D326="是",I326-J326,0)</f>
        <v>0</v>
      </c>
      <c r="BC326" s="2897">
        <f t="shared" ref="BC326:BC357" si="214">IF($D326="是",K326-L326,0)</f>
        <v>0</v>
      </c>
      <c r="BD326" s="2897">
        <f t="shared" ref="BD326:BD357" si="215">IF($D326="是",M326-N326,0)</f>
        <v>0</v>
      </c>
      <c r="BE326" s="2897">
        <f t="shared" ref="BE326:BE357" si="216">IF($D326="是",O326-P326,0)</f>
        <v>0</v>
      </c>
      <c r="BF326" s="2897">
        <f t="shared" ref="BF326:BF357" si="217">IF($D326="是",Q326-R326,0)</f>
        <v>0</v>
      </c>
      <c r="BG326" s="2897">
        <f t="shared" ref="BG326:BG357" si="218">IF($D326="是",S326-T326,0)</f>
        <v>0</v>
      </c>
      <c r="BH326" s="2897">
        <f t="shared" ref="BH326:BH357" si="219">IF($D326="是",U326-V326,0)</f>
        <v>0</v>
      </c>
      <c r="BI326" s="2897">
        <f t="shared" ref="BI326:BI357" si="220">IF($D326="是",W326-X326,0)</f>
        <v>0</v>
      </c>
      <c r="BJ326" s="2897">
        <f t="shared" ref="BJ326:BJ357" si="221">IF($D326="是",Y326-Z326,0)</f>
        <v>0</v>
      </c>
      <c r="BK326" s="2897">
        <f t="shared" ref="BK326:BK357" si="222">IF($D326="是",AA326-AB326,0)</f>
        <v>0</v>
      </c>
      <c r="BL326" s="2897">
        <f t="shared" ref="BL326:BL357" si="223">SUM(BM326:BT326)</f>
        <v>0</v>
      </c>
      <c r="BM326" s="2897">
        <f t="shared" ref="BM326:BM357" si="224">IF($D326="是",AD326-AE326,0)</f>
        <v>0</v>
      </c>
      <c r="BN326" s="2897">
        <f t="shared" ref="BN326:BN357" si="225">IF($D326="是",AF326-AG326,0)</f>
        <v>0</v>
      </c>
      <c r="BO326" s="2897">
        <f t="shared" ref="BO326:BO357" si="226">IF($D326="是",AH326-AI326,0)</f>
        <v>0</v>
      </c>
      <c r="BP326" s="2897">
        <f t="shared" ref="BP326:BP357" si="227">IF($D326="是",AJ326-AK326,0)</f>
        <v>0</v>
      </c>
      <c r="BQ326" s="2897">
        <f t="shared" ref="BQ326:BQ357" si="228">IF($D326="是",AL326-AM326,0)</f>
        <v>0</v>
      </c>
      <c r="BR326" s="2897">
        <f t="shared" ref="BR326:BR357" si="229">IF($D326="是",AN326-AO326,0)</f>
        <v>0</v>
      </c>
      <c r="BS326" s="2897">
        <f t="shared" ref="BS326:BS357" si="230">IF($D326="是",AP326-AQ326,0)</f>
        <v>0</v>
      </c>
      <c r="BT326" s="2971">
        <f t="shared" ref="BT326:BT357" si="231">IF($D326="是",AR326-AS326,0)</f>
        <v>0</v>
      </c>
    </row>
    <row r="327" spans="1:72">
      <c r="A327" s="2894"/>
      <c r="B327" s="2904"/>
      <c r="C327" s="2902"/>
      <c r="D327" s="2903"/>
      <c r="E327" s="2897">
        <f t="shared" si="203"/>
        <v>0</v>
      </c>
      <c r="F327" s="2898"/>
      <c r="G327" s="2899">
        <f t="shared" si="207"/>
        <v>0</v>
      </c>
      <c r="H327" s="2900">
        <f t="shared" si="208"/>
        <v>0</v>
      </c>
      <c r="I327" s="2902"/>
      <c r="J327" s="2918"/>
      <c r="K327" s="2902"/>
      <c r="L327" s="2918"/>
      <c r="M327" s="2918"/>
      <c r="N327" s="2918"/>
      <c r="O327" s="2918"/>
      <c r="P327" s="2918"/>
      <c r="Q327" s="2918"/>
      <c r="R327" s="2918"/>
      <c r="S327" s="2918"/>
      <c r="T327" s="2918"/>
      <c r="U327" s="2918"/>
      <c r="V327" s="2918"/>
      <c r="W327" s="2918"/>
      <c r="X327" s="2918"/>
      <c r="Y327" s="2918"/>
      <c r="Z327" s="2918"/>
      <c r="AA327" s="2918"/>
      <c r="AB327" s="2918"/>
      <c r="AC327" s="2897">
        <f t="shared" si="209"/>
        <v>0</v>
      </c>
      <c r="AD327" s="2929"/>
      <c r="AE327" s="2929"/>
      <c r="AF327" s="2902"/>
      <c r="AG327" s="2929"/>
      <c r="AH327" s="2929"/>
      <c r="AI327" s="2929"/>
      <c r="AJ327" s="2929"/>
      <c r="AK327" s="2929"/>
      <c r="AL327" s="2929"/>
      <c r="AM327" s="2929"/>
      <c r="AN327" s="2929"/>
      <c r="AO327" s="2929"/>
      <c r="AP327" s="2929"/>
      <c r="AQ327" s="2929"/>
      <c r="AR327" s="2929"/>
      <c r="AS327" s="2929"/>
      <c r="AT327" s="2949"/>
      <c r="AU327" s="2950"/>
      <c r="AV327" s="454">
        <f t="shared" si="204"/>
        <v>0</v>
      </c>
      <c r="AW327" s="454">
        <f t="shared" si="205"/>
        <v>0</v>
      </c>
      <c r="AX327" s="454">
        <f t="shared" si="206"/>
        <v>0</v>
      </c>
      <c r="AY327" s="2966">
        <f t="shared" si="210"/>
        <v>0</v>
      </c>
      <c r="AZ327" s="2897">
        <f t="shared" si="211"/>
        <v>0</v>
      </c>
      <c r="BA327" s="2897">
        <f t="shared" si="212"/>
        <v>0</v>
      </c>
      <c r="BB327" s="2897">
        <f t="shared" si="213"/>
        <v>0</v>
      </c>
      <c r="BC327" s="2897">
        <f t="shared" si="214"/>
        <v>0</v>
      </c>
      <c r="BD327" s="2897">
        <f t="shared" si="215"/>
        <v>0</v>
      </c>
      <c r="BE327" s="2897">
        <f t="shared" si="216"/>
        <v>0</v>
      </c>
      <c r="BF327" s="2897">
        <f t="shared" si="217"/>
        <v>0</v>
      </c>
      <c r="BG327" s="2897">
        <f t="shared" si="218"/>
        <v>0</v>
      </c>
      <c r="BH327" s="2897">
        <f t="shared" si="219"/>
        <v>0</v>
      </c>
      <c r="BI327" s="2897">
        <f t="shared" si="220"/>
        <v>0</v>
      </c>
      <c r="BJ327" s="2897">
        <f t="shared" si="221"/>
        <v>0</v>
      </c>
      <c r="BK327" s="2897">
        <f t="shared" si="222"/>
        <v>0</v>
      </c>
      <c r="BL327" s="2897">
        <f t="shared" si="223"/>
        <v>0</v>
      </c>
      <c r="BM327" s="2897">
        <f t="shared" si="224"/>
        <v>0</v>
      </c>
      <c r="BN327" s="2897">
        <f t="shared" si="225"/>
        <v>0</v>
      </c>
      <c r="BO327" s="2897">
        <f t="shared" si="226"/>
        <v>0</v>
      </c>
      <c r="BP327" s="2897">
        <f t="shared" si="227"/>
        <v>0</v>
      </c>
      <c r="BQ327" s="2897">
        <f t="shared" si="228"/>
        <v>0</v>
      </c>
      <c r="BR327" s="2897">
        <f t="shared" si="229"/>
        <v>0</v>
      </c>
      <c r="BS327" s="2897">
        <f t="shared" si="230"/>
        <v>0</v>
      </c>
      <c r="BT327" s="2971">
        <f t="shared" si="231"/>
        <v>0</v>
      </c>
    </row>
    <row r="328" spans="1:72">
      <c r="A328" s="2894"/>
      <c r="B328" s="2904"/>
      <c r="C328" s="2902"/>
      <c r="D328" s="2903"/>
      <c r="E328" s="2897">
        <f t="shared" si="203"/>
        <v>0</v>
      </c>
      <c r="F328" s="2898"/>
      <c r="G328" s="2899">
        <f t="shared" si="207"/>
        <v>0</v>
      </c>
      <c r="H328" s="2900">
        <f t="shared" si="208"/>
        <v>0</v>
      </c>
      <c r="I328" s="2902"/>
      <c r="J328" s="2918"/>
      <c r="K328" s="2902"/>
      <c r="L328" s="2918"/>
      <c r="M328" s="2918"/>
      <c r="N328" s="2918"/>
      <c r="O328" s="2918"/>
      <c r="P328" s="2918"/>
      <c r="Q328" s="2918"/>
      <c r="R328" s="2918"/>
      <c r="S328" s="2918"/>
      <c r="T328" s="2918"/>
      <c r="U328" s="2918"/>
      <c r="V328" s="2918"/>
      <c r="W328" s="2918"/>
      <c r="X328" s="2918"/>
      <c r="Y328" s="2918"/>
      <c r="Z328" s="2918"/>
      <c r="AA328" s="2918"/>
      <c r="AB328" s="2918"/>
      <c r="AC328" s="2897">
        <f t="shared" si="209"/>
        <v>0</v>
      </c>
      <c r="AD328" s="2929"/>
      <c r="AE328" s="2929"/>
      <c r="AF328" s="2902"/>
      <c r="AG328" s="2929"/>
      <c r="AH328" s="2929"/>
      <c r="AI328" s="2929"/>
      <c r="AJ328" s="2929"/>
      <c r="AK328" s="2929"/>
      <c r="AL328" s="2929"/>
      <c r="AM328" s="2929"/>
      <c r="AN328" s="2929"/>
      <c r="AO328" s="2929"/>
      <c r="AP328" s="2929"/>
      <c r="AQ328" s="2929"/>
      <c r="AR328" s="2929"/>
      <c r="AS328" s="2929"/>
      <c r="AT328" s="2949"/>
      <c r="AU328" s="2950"/>
      <c r="AV328" s="454">
        <f t="shared" si="204"/>
        <v>0</v>
      </c>
      <c r="AW328" s="454">
        <f t="shared" si="205"/>
        <v>0</v>
      </c>
      <c r="AX328" s="454">
        <f t="shared" si="206"/>
        <v>0</v>
      </c>
      <c r="AY328" s="2966">
        <f t="shared" si="210"/>
        <v>0</v>
      </c>
      <c r="AZ328" s="2897">
        <f t="shared" si="211"/>
        <v>0</v>
      </c>
      <c r="BA328" s="2897">
        <f t="shared" si="212"/>
        <v>0</v>
      </c>
      <c r="BB328" s="2897">
        <f t="shared" si="213"/>
        <v>0</v>
      </c>
      <c r="BC328" s="2897">
        <f t="shared" si="214"/>
        <v>0</v>
      </c>
      <c r="BD328" s="2897">
        <f t="shared" si="215"/>
        <v>0</v>
      </c>
      <c r="BE328" s="2897">
        <f t="shared" si="216"/>
        <v>0</v>
      </c>
      <c r="BF328" s="2897">
        <f t="shared" si="217"/>
        <v>0</v>
      </c>
      <c r="BG328" s="2897">
        <f t="shared" si="218"/>
        <v>0</v>
      </c>
      <c r="BH328" s="2897">
        <f t="shared" si="219"/>
        <v>0</v>
      </c>
      <c r="BI328" s="2897">
        <f t="shared" si="220"/>
        <v>0</v>
      </c>
      <c r="BJ328" s="2897">
        <f t="shared" si="221"/>
        <v>0</v>
      </c>
      <c r="BK328" s="2897">
        <f t="shared" si="222"/>
        <v>0</v>
      </c>
      <c r="BL328" s="2897">
        <f t="shared" si="223"/>
        <v>0</v>
      </c>
      <c r="BM328" s="2897">
        <f t="shared" si="224"/>
        <v>0</v>
      </c>
      <c r="BN328" s="2897">
        <f t="shared" si="225"/>
        <v>0</v>
      </c>
      <c r="BO328" s="2897">
        <f t="shared" si="226"/>
        <v>0</v>
      </c>
      <c r="BP328" s="2897">
        <f t="shared" si="227"/>
        <v>0</v>
      </c>
      <c r="BQ328" s="2897">
        <f t="shared" si="228"/>
        <v>0</v>
      </c>
      <c r="BR328" s="2897">
        <f t="shared" si="229"/>
        <v>0</v>
      </c>
      <c r="BS328" s="2897">
        <f t="shared" si="230"/>
        <v>0</v>
      </c>
      <c r="BT328" s="2971">
        <f t="shared" si="231"/>
        <v>0</v>
      </c>
    </row>
    <row r="329" spans="1:72">
      <c r="A329" s="2894"/>
      <c r="B329" s="2904"/>
      <c r="C329" s="2902"/>
      <c r="D329" s="2903"/>
      <c r="E329" s="2897">
        <f t="shared" ref="E329:E360" si="232">IF($C$3="是",ROUND($A$3*G329/$B$3,2),ROUND($A$3*(G329-AT329)/$B$3,2))</f>
        <v>0</v>
      </c>
      <c r="F329" s="2898"/>
      <c r="G329" s="2899">
        <f t="shared" si="207"/>
        <v>0</v>
      </c>
      <c r="H329" s="2900">
        <f t="shared" si="208"/>
        <v>0</v>
      </c>
      <c r="I329" s="2902"/>
      <c r="J329" s="2918"/>
      <c r="K329" s="2902"/>
      <c r="L329" s="2918"/>
      <c r="M329" s="2918"/>
      <c r="N329" s="2918"/>
      <c r="O329" s="2918"/>
      <c r="P329" s="2918"/>
      <c r="Q329" s="2918"/>
      <c r="R329" s="2918"/>
      <c r="S329" s="2918"/>
      <c r="T329" s="2918"/>
      <c r="U329" s="2918"/>
      <c r="V329" s="2918"/>
      <c r="W329" s="2918"/>
      <c r="X329" s="2918"/>
      <c r="Y329" s="2918"/>
      <c r="Z329" s="2918"/>
      <c r="AA329" s="2918"/>
      <c r="AB329" s="2918"/>
      <c r="AC329" s="2897">
        <f t="shared" si="209"/>
        <v>0</v>
      </c>
      <c r="AD329" s="2929"/>
      <c r="AE329" s="2929"/>
      <c r="AF329" s="2902"/>
      <c r="AG329" s="2929"/>
      <c r="AH329" s="2929"/>
      <c r="AI329" s="2929"/>
      <c r="AJ329" s="2929"/>
      <c r="AK329" s="2929"/>
      <c r="AL329" s="2929"/>
      <c r="AM329" s="2929"/>
      <c r="AN329" s="2929"/>
      <c r="AO329" s="2929"/>
      <c r="AP329" s="2929"/>
      <c r="AQ329" s="2929"/>
      <c r="AR329" s="2929"/>
      <c r="AS329" s="2929"/>
      <c r="AT329" s="2949"/>
      <c r="AU329" s="2950"/>
      <c r="AV329" s="454">
        <f t="shared" ref="AV329:AV360" si="233">A329</f>
        <v>0</v>
      </c>
      <c r="AW329" s="454">
        <f t="shared" ref="AW329:AW360" si="234">B329</f>
        <v>0</v>
      </c>
      <c r="AX329" s="454">
        <f t="shared" ref="AX329:AX360" si="235">C329</f>
        <v>0</v>
      </c>
      <c r="AY329" s="2966">
        <f t="shared" si="210"/>
        <v>0</v>
      </c>
      <c r="AZ329" s="2897">
        <f t="shared" si="211"/>
        <v>0</v>
      </c>
      <c r="BA329" s="2897">
        <f t="shared" si="212"/>
        <v>0</v>
      </c>
      <c r="BB329" s="2897">
        <f t="shared" si="213"/>
        <v>0</v>
      </c>
      <c r="BC329" s="2897">
        <f t="shared" si="214"/>
        <v>0</v>
      </c>
      <c r="BD329" s="2897">
        <f t="shared" si="215"/>
        <v>0</v>
      </c>
      <c r="BE329" s="2897">
        <f t="shared" si="216"/>
        <v>0</v>
      </c>
      <c r="BF329" s="2897">
        <f t="shared" si="217"/>
        <v>0</v>
      </c>
      <c r="BG329" s="2897">
        <f t="shared" si="218"/>
        <v>0</v>
      </c>
      <c r="BH329" s="2897">
        <f t="shared" si="219"/>
        <v>0</v>
      </c>
      <c r="BI329" s="2897">
        <f t="shared" si="220"/>
        <v>0</v>
      </c>
      <c r="BJ329" s="2897">
        <f t="shared" si="221"/>
        <v>0</v>
      </c>
      <c r="BK329" s="2897">
        <f t="shared" si="222"/>
        <v>0</v>
      </c>
      <c r="BL329" s="2897">
        <f t="shared" si="223"/>
        <v>0</v>
      </c>
      <c r="BM329" s="2897">
        <f t="shared" si="224"/>
        <v>0</v>
      </c>
      <c r="BN329" s="2897">
        <f t="shared" si="225"/>
        <v>0</v>
      </c>
      <c r="BO329" s="2897">
        <f t="shared" si="226"/>
        <v>0</v>
      </c>
      <c r="BP329" s="2897">
        <f t="shared" si="227"/>
        <v>0</v>
      </c>
      <c r="BQ329" s="2897">
        <f t="shared" si="228"/>
        <v>0</v>
      </c>
      <c r="BR329" s="2897">
        <f t="shared" si="229"/>
        <v>0</v>
      </c>
      <c r="BS329" s="2897">
        <f t="shared" si="230"/>
        <v>0</v>
      </c>
      <c r="BT329" s="2971">
        <f t="shared" si="231"/>
        <v>0</v>
      </c>
    </row>
    <row r="330" spans="1:72">
      <c r="A330" s="2894"/>
      <c r="B330" s="2904"/>
      <c r="C330" s="2902"/>
      <c r="D330" s="2903"/>
      <c r="E330" s="2897">
        <f t="shared" si="232"/>
        <v>0</v>
      </c>
      <c r="F330" s="2898"/>
      <c r="G330" s="2899">
        <f t="shared" si="207"/>
        <v>0</v>
      </c>
      <c r="H330" s="2900">
        <f t="shared" si="208"/>
        <v>0</v>
      </c>
      <c r="I330" s="2902"/>
      <c r="J330" s="2918"/>
      <c r="K330" s="2902"/>
      <c r="L330" s="2918"/>
      <c r="M330" s="2918"/>
      <c r="N330" s="2918"/>
      <c r="O330" s="2918"/>
      <c r="P330" s="2918"/>
      <c r="Q330" s="2918"/>
      <c r="R330" s="2918"/>
      <c r="S330" s="2918"/>
      <c r="T330" s="2918"/>
      <c r="U330" s="2918"/>
      <c r="V330" s="2918"/>
      <c r="W330" s="2918"/>
      <c r="X330" s="2918"/>
      <c r="Y330" s="2918"/>
      <c r="Z330" s="2918"/>
      <c r="AA330" s="2918"/>
      <c r="AB330" s="2918"/>
      <c r="AC330" s="2897">
        <f t="shared" si="209"/>
        <v>0</v>
      </c>
      <c r="AD330" s="2929"/>
      <c r="AE330" s="2929"/>
      <c r="AF330" s="2902"/>
      <c r="AG330" s="2929"/>
      <c r="AH330" s="2929"/>
      <c r="AI330" s="2929"/>
      <c r="AJ330" s="2929"/>
      <c r="AK330" s="2929"/>
      <c r="AL330" s="2929"/>
      <c r="AM330" s="2929"/>
      <c r="AN330" s="2929"/>
      <c r="AO330" s="2929"/>
      <c r="AP330" s="2929"/>
      <c r="AQ330" s="2929"/>
      <c r="AR330" s="2929"/>
      <c r="AS330" s="2929"/>
      <c r="AT330" s="2949"/>
      <c r="AU330" s="2950"/>
      <c r="AV330" s="454">
        <f t="shared" si="233"/>
        <v>0</v>
      </c>
      <c r="AW330" s="454">
        <f t="shared" si="234"/>
        <v>0</v>
      </c>
      <c r="AX330" s="454">
        <f t="shared" si="235"/>
        <v>0</v>
      </c>
      <c r="AY330" s="2966">
        <f t="shared" si="210"/>
        <v>0</v>
      </c>
      <c r="AZ330" s="2897">
        <f t="shared" si="211"/>
        <v>0</v>
      </c>
      <c r="BA330" s="2897">
        <f t="shared" si="212"/>
        <v>0</v>
      </c>
      <c r="BB330" s="2897">
        <f t="shared" si="213"/>
        <v>0</v>
      </c>
      <c r="BC330" s="2897">
        <f t="shared" si="214"/>
        <v>0</v>
      </c>
      <c r="BD330" s="2897">
        <f t="shared" si="215"/>
        <v>0</v>
      </c>
      <c r="BE330" s="2897">
        <f t="shared" si="216"/>
        <v>0</v>
      </c>
      <c r="BF330" s="2897">
        <f t="shared" si="217"/>
        <v>0</v>
      </c>
      <c r="BG330" s="2897">
        <f t="shared" si="218"/>
        <v>0</v>
      </c>
      <c r="BH330" s="2897">
        <f t="shared" si="219"/>
        <v>0</v>
      </c>
      <c r="BI330" s="2897">
        <f t="shared" si="220"/>
        <v>0</v>
      </c>
      <c r="BJ330" s="2897">
        <f t="shared" si="221"/>
        <v>0</v>
      </c>
      <c r="BK330" s="2897">
        <f t="shared" si="222"/>
        <v>0</v>
      </c>
      <c r="BL330" s="2897">
        <f t="shared" si="223"/>
        <v>0</v>
      </c>
      <c r="BM330" s="2897">
        <f t="shared" si="224"/>
        <v>0</v>
      </c>
      <c r="BN330" s="2897">
        <f t="shared" si="225"/>
        <v>0</v>
      </c>
      <c r="BO330" s="2897">
        <f t="shared" si="226"/>
        <v>0</v>
      </c>
      <c r="BP330" s="2897">
        <f t="shared" si="227"/>
        <v>0</v>
      </c>
      <c r="BQ330" s="2897">
        <f t="shared" si="228"/>
        <v>0</v>
      </c>
      <c r="BR330" s="2897">
        <f t="shared" si="229"/>
        <v>0</v>
      </c>
      <c r="BS330" s="2897">
        <f t="shared" si="230"/>
        <v>0</v>
      </c>
      <c r="BT330" s="2971">
        <f t="shared" si="231"/>
        <v>0</v>
      </c>
    </row>
    <row r="331" spans="1:72">
      <c r="A331" s="2894"/>
      <c r="B331" s="2905"/>
      <c r="C331" s="2906"/>
      <c r="D331" s="2903"/>
      <c r="E331" s="2897">
        <f t="shared" si="232"/>
        <v>0</v>
      </c>
      <c r="F331" s="2898"/>
      <c r="G331" s="2899">
        <f t="shared" si="207"/>
        <v>0</v>
      </c>
      <c r="H331" s="2900">
        <f t="shared" si="208"/>
        <v>0</v>
      </c>
      <c r="I331" s="2902"/>
      <c r="J331" s="2918"/>
      <c r="K331" s="2902"/>
      <c r="L331" s="2918"/>
      <c r="M331" s="2902"/>
      <c r="N331" s="2918"/>
      <c r="O331" s="2918"/>
      <c r="P331" s="2918"/>
      <c r="Q331" s="2918"/>
      <c r="R331" s="2918"/>
      <c r="S331" s="2918"/>
      <c r="T331" s="2918"/>
      <c r="U331" s="2918"/>
      <c r="V331" s="2918"/>
      <c r="W331" s="2918"/>
      <c r="X331" s="2918"/>
      <c r="Y331" s="2918"/>
      <c r="Z331" s="2918"/>
      <c r="AA331" s="2918"/>
      <c r="AB331" s="2918"/>
      <c r="AC331" s="2897">
        <f t="shared" si="209"/>
        <v>0</v>
      </c>
      <c r="AD331" s="2929"/>
      <c r="AE331" s="2929"/>
      <c r="AF331" s="2902"/>
      <c r="AG331" s="2929"/>
      <c r="AH331" s="2929"/>
      <c r="AI331" s="2929"/>
      <c r="AJ331" s="2929"/>
      <c r="AK331" s="2929"/>
      <c r="AL331" s="2929"/>
      <c r="AM331" s="2929"/>
      <c r="AN331" s="2929"/>
      <c r="AO331" s="2929"/>
      <c r="AP331" s="2929"/>
      <c r="AQ331" s="2929"/>
      <c r="AR331" s="2929"/>
      <c r="AS331" s="2929"/>
      <c r="AT331" s="2949"/>
      <c r="AU331" s="2950"/>
      <c r="AV331" s="454">
        <f t="shared" si="233"/>
        <v>0</v>
      </c>
      <c r="AW331" s="454">
        <f t="shared" si="234"/>
        <v>0</v>
      </c>
      <c r="AX331" s="454">
        <f t="shared" si="235"/>
        <v>0</v>
      </c>
      <c r="AY331" s="2966">
        <f t="shared" si="210"/>
        <v>0</v>
      </c>
      <c r="AZ331" s="2897">
        <f t="shared" si="211"/>
        <v>0</v>
      </c>
      <c r="BA331" s="2897">
        <f t="shared" si="212"/>
        <v>0</v>
      </c>
      <c r="BB331" s="2897">
        <f t="shared" si="213"/>
        <v>0</v>
      </c>
      <c r="BC331" s="2897">
        <f t="shared" si="214"/>
        <v>0</v>
      </c>
      <c r="BD331" s="2897">
        <f t="shared" si="215"/>
        <v>0</v>
      </c>
      <c r="BE331" s="2897">
        <f t="shared" si="216"/>
        <v>0</v>
      </c>
      <c r="BF331" s="2897">
        <f t="shared" si="217"/>
        <v>0</v>
      </c>
      <c r="BG331" s="2897">
        <f t="shared" si="218"/>
        <v>0</v>
      </c>
      <c r="BH331" s="2897">
        <f t="shared" si="219"/>
        <v>0</v>
      </c>
      <c r="BI331" s="2897">
        <f t="shared" si="220"/>
        <v>0</v>
      </c>
      <c r="BJ331" s="2897">
        <f t="shared" si="221"/>
        <v>0</v>
      </c>
      <c r="BK331" s="2897">
        <f t="shared" si="222"/>
        <v>0</v>
      </c>
      <c r="BL331" s="2897">
        <f t="shared" si="223"/>
        <v>0</v>
      </c>
      <c r="BM331" s="2897">
        <f t="shared" si="224"/>
        <v>0</v>
      </c>
      <c r="BN331" s="2897">
        <f t="shared" si="225"/>
        <v>0</v>
      </c>
      <c r="BO331" s="2897">
        <f t="shared" si="226"/>
        <v>0</v>
      </c>
      <c r="BP331" s="2897">
        <f t="shared" si="227"/>
        <v>0</v>
      </c>
      <c r="BQ331" s="2897">
        <f t="shared" si="228"/>
        <v>0</v>
      </c>
      <c r="BR331" s="2897">
        <f t="shared" si="229"/>
        <v>0</v>
      </c>
      <c r="BS331" s="2897">
        <f t="shared" si="230"/>
        <v>0</v>
      </c>
      <c r="BT331" s="2971">
        <f t="shared" si="231"/>
        <v>0</v>
      </c>
    </row>
    <row r="332" spans="1:72">
      <c r="A332" s="2894"/>
      <c r="B332" s="2895"/>
      <c r="C332" s="2895"/>
      <c r="D332" s="2907"/>
      <c r="E332" s="2897">
        <f t="shared" si="232"/>
        <v>0</v>
      </c>
      <c r="F332" s="2898"/>
      <c r="G332" s="2899">
        <f t="shared" si="207"/>
        <v>0</v>
      </c>
      <c r="H332" s="2900">
        <f t="shared" si="208"/>
        <v>0</v>
      </c>
      <c r="I332" s="2918"/>
      <c r="J332" s="2918"/>
      <c r="K332" s="2918"/>
      <c r="L332" s="2918"/>
      <c r="M332" s="2918"/>
      <c r="N332" s="2918"/>
      <c r="O332" s="2918"/>
      <c r="P332" s="2918"/>
      <c r="Q332" s="2918"/>
      <c r="R332" s="2918"/>
      <c r="S332" s="2918"/>
      <c r="T332" s="2918"/>
      <c r="U332" s="2918"/>
      <c r="V332" s="2918"/>
      <c r="W332" s="2918"/>
      <c r="X332" s="2918"/>
      <c r="Y332" s="2918"/>
      <c r="Z332" s="2918"/>
      <c r="AA332" s="2918"/>
      <c r="AB332" s="2918"/>
      <c r="AC332" s="2897">
        <f t="shared" si="209"/>
        <v>0</v>
      </c>
      <c r="AD332" s="2929"/>
      <c r="AE332" s="2929"/>
      <c r="AF332" s="2929"/>
      <c r="AG332" s="2929"/>
      <c r="AH332" s="2929"/>
      <c r="AI332" s="2929"/>
      <c r="AJ332" s="2929"/>
      <c r="AK332" s="2929"/>
      <c r="AL332" s="2929"/>
      <c r="AM332" s="2929"/>
      <c r="AN332" s="2929"/>
      <c r="AO332" s="2929"/>
      <c r="AP332" s="2929"/>
      <c r="AQ332" s="2929"/>
      <c r="AR332" s="2929"/>
      <c r="AS332" s="2929"/>
      <c r="AT332" s="2949"/>
      <c r="AU332" s="2950"/>
      <c r="AV332" s="454">
        <f t="shared" si="233"/>
        <v>0</v>
      </c>
      <c r="AW332" s="454">
        <f t="shared" si="234"/>
        <v>0</v>
      </c>
      <c r="AX332" s="454">
        <f t="shared" si="235"/>
        <v>0</v>
      </c>
      <c r="AY332" s="2966">
        <f t="shared" si="210"/>
        <v>0</v>
      </c>
      <c r="AZ332" s="2897">
        <f t="shared" si="211"/>
        <v>0</v>
      </c>
      <c r="BA332" s="2897">
        <f t="shared" si="212"/>
        <v>0</v>
      </c>
      <c r="BB332" s="2897">
        <f t="shared" si="213"/>
        <v>0</v>
      </c>
      <c r="BC332" s="2897">
        <f t="shared" si="214"/>
        <v>0</v>
      </c>
      <c r="BD332" s="2897">
        <f t="shared" si="215"/>
        <v>0</v>
      </c>
      <c r="BE332" s="2897">
        <f t="shared" si="216"/>
        <v>0</v>
      </c>
      <c r="BF332" s="2897">
        <f t="shared" si="217"/>
        <v>0</v>
      </c>
      <c r="BG332" s="2897">
        <f t="shared" si="218"/>
        <v>0</v>
      </c>
      <c r="BH332" s="2897">
        <f t="shared" si="219"/>
        <v>0</v>
      </c>
      <c r="BI332" s="2897">
        <f t="shared" si="220"/>
        <v>0</v>
      </c>
      <c r="BJ332" s="2897">
        <f t="shared" si="221"/>
        <v>0</v>
      </c>
      <c r="BK332" s="2897">
        <f t="shared" si="222"/>
        <v>0</v>
      </c>
      <c r="BL332" s="2897">
        <f t="shared" si="223"/>
        <v>0</v>
      </c>
      <c r="BM332" s="2897">
        <f t="shared" si="224"/>
        <v>0</v>
      </c>
      <c r="BN332" s="2897">
        <f t="shared" si="225"/>
        <v>0</v>
      </c>
      <c r="BO332" s="2897">
        <f t="shared" si="226"/>
        <v>0</v>
      </c>
      <c r="BP332" s="2897">
        <f t="shared" si="227"/>
        <v>0</v>
      </c>
      <c r="BQ332" s="2897">
        <f t="shared" si="228"/>
        <v>0</v>
      </c>
      <c r="BR332" s="2897">
        <f t="shared" si="229"/>
        <v>0</v>
      </c>
      <c r="BS332" s="2897">
        <f t="shared" si="230"/>
        <v>0</v>
      </c>
      <c r="BT332" s="2971">
        <f t="shared" si="231"/>
        <v>0</v>
      </c>
    </row>
    <row r="333" spans="1:72">
      <c r="A333" s="2894"/>
      <c r="B333" s="2895"/>
      <c r="C333" s="2895"/>
      <c r="D333" s="2907"/>
      <c r="E333" s="2897">
        <f t="shared" si="232"/>
        <v>0</v>
      </c>
      <c r="F333" s="2898"/>
      <c r="G333" s="2899">
        <f t="shared" si="207"/>
        <v>0</v>
      </c>
      <c r="H333" s="2900">
        <f t="shared" si="208"/>
        <v>0</v>
      </c>
      <c r="I333" s="2918"/>
      <c r="J333" s="2918"/>
      <c r="K333" s="2918"/>
      <c r="L333" s="2918"/>
      <c r="M333" s="2918"/>
      <c r="N333" s="2918"/>
      <c r="O333" s="2918"/>
      <c r="P333" s="2918"/>
      <c r="Q333" s="2918"/>
      <c r="R333" s="2918"/>
      <c r="S333" s="2918"/>
      <c r="T333" s="2918"/>
      <c r="U333" s="2918"/>
      <c r="V333" s="2918"/>
      <c r="W333" s="2918"/>
      <c r="X333" s="2918"/>
      <c r="Y333" s="2918"/>
      <c r="Z333" s="2918"/>
      <c r="AA333" s="2918"/>
      <c r="AB333" s="2918"/>
      <c r="AC333" s="2897">
        <f t="shared" si="209"/>
        <v>0</v>
      </c>
      <c r="AD333" s="2929"/>
      <c r="AE333" s="2929"/>
      <c r="AF333" s="2929"/>
      <c r="AG333" s="2929"/>
      <c r="AH333" s="2929"/>
      <c r="AI333" s="2929"/>
      <c r="AJ333" s="2929"/>
      <c r="AK333" s="2929"/>
      <c r="AL333" s="2929"/>
      <c r="AM333" s="2929"/>
      <c r="AN333" s="2929"/>
      <c r="AO333" s="2929"/>
      <c r="AP333" s="2929"/>
      <c r="AQ333" s="2929"/>
      <c r="AR333" s="2929"/>
      <c r="AS333" s="2929"/>
      <c r="AT333" s="2949"/>
      <c r="AU333" s="2950"/>
      <c r="AV333" s="454">
        <f t="shared" si="233"/>
        <v>0</v>
      </c>
      <c r="AW333" s="454">
        <f t="shared" si="234"/>
        <v>0</v>
      </c>
      <c r="AX333" s="454">
        <f t="shared" si="235"/>
        <v>0</v>
      </c>
      <c r="AY333" s="2966">
        <f t="shared" si="210"/>
        <v>0</v>
      </c>
      <c r="AZ333" s="2897">
        <f t="shared" si="211"/>
        <v>0</v>
      </c>
      <c r="BA333" s="2897">
        <f t="shared" si="212"/>
        <v>0</v>
      </c>
      <c r="BB333" s="2897">
        <f t="shared" si="213"/>
        <v>0</v>
      </c>
      <c r="BC333" s="2897">
        <f t="shared" si="214"/>
        <v>0</v>
      </c>
      <c r="BD333" s="2897">
        <f t="shared" si="215"/>
        <v>0</v>
      </c>
      <c r="BE333" s="2897">
        <f t="shared" si="216"/>
        <v>0</v>
      </c>
      <c r="BF333" s="2897">
        <f t="shared" si="217"/>
        <v>0</v>
      </c>
      <c r="BG333" s="2897">
        <f t="shared" si="218"/>
        <v>0</v>
      </c>
      <c r="BH333" s="2897">
        <f t="shared" si="219"/>
        <v>0</v>
      </c>
      <c r="BI333" s="2897">
        <f t="shared" si="220"/>
        <v>0</v>
      </c>
      <c r="BJ333" s="2897">
        <f t="shared" si="221"/>
        <v>0</v>
      </c>
      <c r="BK333" s="2897">
        <f t="shared" si="222"/>
        <v>0</v>
      </c>
      <c r="BL333" s="2897">
        <f t="shared" si="223"/>
        <v>0</v>
      </c>
      <c r="BM333" s="2897">
        <f t="shared" si="224"/>
        <v>0</v>
      </c>
      <c r="BN333" s="2897">
        <f t="shared" si="225"/>
        <v>0</v>
      </c>
      <c r="BO333" s="2897">
        <f t="shared" si="226"/>
        <v>0</v>
      </c>
      <c r="BP333" s="2897">
        <f t="shared" si="227"/>
        <v>0</v>
      </c>
      <c r="BQ333" s="2897">
        <f t="shared" si="228"/>
        <v>0</v>
      </c>
      <c r="BR333" s="2897">
        <f t="shared" si="229"/>
        <v>0</v>
      </c>
      <c r="BS333" s="2897">
        <f t="shared" si="230"/>
        <v>0</v>
      </c>
      <c r="BT333" s="2971">
        <f t="shared" si="231"/>
        <v>0</v>
      </c>
    </row>
    <row r="334" spans="1:72">
      <c r="A334" s="2894"/>
      <c r="B334" s="2895"/>
      <c r="C334" s="2895"/>
      <c r="D334" s="2907"/>
      <c r="E334" s="2897">
        <f t="shared" si="232"/>
        <v>0</v>
      </c>
      <c r="F334" s="2898"/>
      <c r="G334" s="2899">
        <f t="shared" si="207"/>
        <v>0</v>
      </c>
      <c r="H334" s="2900">
        <f t="shared" si="208"/>
        <v>0</v>
      </c>
      <c r="I334" s="2918"/>
      <c r="J334" s="2918"/>
      <c r="K334" s="2918"/>
      <c r="L334" s="2918"/>
      <c r="M334" s="2918"/>
      <c r="N334" s="2918"/>
      <c r="O334" s="2918"/>
      <c r="P334" s="2918"/>
      <c r="Q334" s="2918"/>
      <c r="R334" s="2918"/>
      <c r="S334" s="2918"/>
      <c r="T334" s="2918"/>
      <c r="U334" s="2918"/>
      <c r="V334" s="2918"/>
      <c r="W334" s="2918"/>
      <c r="X334" s="2918"/>
      <c r="Y334" s="2918"/>
      <c r="Z334" s="2918"/>
      <c r="AA334" s="2918"/>
      <c r="AB334" s="2918"/>
      <c r="AC334" s="2897">
        <f t="shared" si="209"/>
        <v>0</v>
      </c>
      <c r="AD334" s="2929"/>
      <c r="AE334" s="2929"/>
      <c r="AF334" s="2929"/>
      <c r="AG334" s="2929"/>
      <c r="AH334" s="2929"/>
      <c r="AI334" s="2929"/>
      <c r="AJ334" s="2929"/>
      <c r="AK334" s="2929"/>
      <c r="AL334" s="2929"/>
      <c r="AM334" s="2929"/>
      <c r="AN334" s="2929"/>
      <c r="AO334" s="2929"/>
      <c r="AP334" s="2929"/>
      <c r="AQ334" s="2929"/>
      <c r="AR334" s="2929"/>
      <c r="AS334" s="2929"/>
      <c r="AT334" s="2949"/>
      <c r="AU334" s="2950"/>
      <c r="AV334" s="454">
        <f t="shared" si="233"/>
        <v>0</v>
      </c>
      <c r="AW334" s="454">
        <f t="shared" si="234"/>
        <v>0</v>
      </c>
      <c r="AX334" s="454">
        <f t="shared" si="235"/>
        <v>0</v>
      </c>
      <c r="AY334" s="2966">
        <f t="shared" si="210"/>
        <v>0</v>
      </c>
      <c r="AZ334" s="2897">
        <f t="shared" si="211"/>
        <v>0</v>
      </c>
      <c r="BA334" s="2897">
        <f t="shared" si="212"/>
        <v>0</v>
      </c>
      <c r="BB334" s="2897">
        <f t="shared" si="213"/>
        <v>0</v>
      </c>
      <c r="BC334" s="2897">
        <f t="shared" si="214"/>
        <v>0</v>
      </c>
      <c r="BD334" s="2897">
        <f t="shared" si="215"/>
        <v>0</v>
      </c>
      <c r="BE334" s="2897">
        <f t="shared" si="216"/>
        <v>0</v>
      </c>
      <c r="BF334" s="2897">
        <f t="shared" si="217"/>
        <v>0</v>
      </c>
      <c r="BG334" s="2897">
        <f t="shared" si="218"/>
        <v>0</v>
      </c>
      <c r="BH334" s="2897">
        <f t="shared" si="219"/>
        <v>0</v>
      </c>
      <c r="BI334" s="2897">
        <f t="shared" si="220"/>
        <v>0</v>
      </c>
      <c r="BJ334" s="2897">
        <f t="shared" si="221"/>
        <v>0</v>
      </c>
      <c r="BK334" s="2897">
        <f t="shared" si="222"/>
        <v>0</v>
      </c>
      <c r="BL334" s="2897">
        <f t="shared" si="223"/>
        <v>0</v>
      </c>
      <c r="BM334" s="2897">
        <f t="shared" si="224"/>
        <v>0</v>
      </c>
      <c r="BN334" s="2897">
        <f t="shared" si="225"/>
        <v>0</v>
      </c>
      <c r="BO334" s="2897">
        <f t="shared" si="226"/>
        <v>0</v>
      </c>
      <c r="BP334" s="2897">
        <f t="shared" si="227"/>
        <v>0</v>
      </c>
      <c r="BQ334" s="2897">
        <f t="shared" si="228"/>
        <v>0</v>
      </c>
      <c r="BR334" s="2897">
        <f t="shared" si="229"/>
        <v>0</v>
      </c>
      <c r="BS334" s="2897">
        <f t="shared" si="230"/>
        <v>0</v>
      </c>
      <c r="BT334" s="2971">
        <f t="shared" si="231"/>
        <v>0</v>
      </c>
    </row>
    <row r="335" spans="1:72">
      <c r="A335" s="2894"/>
      <c r="B335" s="2895"/>
      <c r="C335" s="2895"/>
      <c r="D335" s="2907"/>
      <c r="E335" s="2897">
        <f t="shared" si="232"/>
        <v>0</v>
      </c>
      <c r="F335" s="2898"/>
      <c r="G335" s="2899">
        <f t="shared" si="207"/>
        <v>0</v>
      </c>
      <c r="H335" s="2900">
        <f t="shared" si="208"/>
        <v>0</v>
      </c>
      <c r="I335" s="2918"/>
      <c r="J335" s="2918"/>
      <c r="K335" s="2918"/>
      <c r="L335" s="2918"/>
      <c r="M335" s="2918"/>
      <c r="N335" s="2918"/>
      <c r="O335" s="2918"/>
      <c r="P335" s="2918"/>
      <c r="Q335" s="2918"/>
      <c r="R335" s="2918"/>
      <c r="S335" s="2918"/>
      <c r="T335" s="2918"/>
      <c r="U335" s="2918"/>
      <c r="V335" s="2918"/>
      <c r="W335" s="2918"/>
      <c r="X335" s="2918"/>
      <c r="Y335" s="2918"/>
      <c r="Z335" s="2918"/>
      <c r="AA335" s="2918"/>
      <c r="AB335" s="2918"/>
      <c r="AC335" s="2897">
        <f t="shared" si="209"/>
        <v>0</v>
      </c>
      <c r="AD335" s="2929"/>
      <c r="AE335" s="2929"/>
      <c r="AF335" s="2929"/>
      <c r="AG335" s="2929"/>
      <c r="AH335" s="2929"/>
      <c r="AI335" s="2929"/>
      <c r="AJ335" s="2929"/>
      <c r="AK335" s="2929"/>
      <c r="AL335" s="2929"/>
      <c r="AM335" s="2929"/>
      <c r="AN335" s="2929"/>
      <c r="AO335" s="2929"/>
      <c r="AP335" s="2929"/>
      <c r="AQ335" s="2929"/>
      <c r="AR335" s="2929"/>
      <c r="AS335" s="2929"/>
      <c r="AT335" s="2949"/>
      <c r="AU335" s="2950"/>
      <c r="AV335" s="454">
        <f t="shared" si="233"/>
        <v>0</v>
      </c>
      <c r="AW335" s="454">
        <f t="shared" si="234"/>
        <v>0</v>
      </c>
      <c r="AX335" s="454">
        <f t="shared" si="235"/>
        <v>0</v>
      </c>
      <c r="AY335" s="2966">
        <f t="shared" si="210"/>
        <v>0</v>
      </c>
      <c r="AZ335" s="2897">
        <f t="shared" si="211"/>
        <v>0</v>
      </c>
      <c r="BA335" s="2897">
        <f t="shared" si="212"/>
        <v>0</v>
      </c>
      <c r="BB335" s="2897">
        <f t="shared" si="213"/>
        <v>0</v>
      </c>
      <c r="BC335" s="2897">
        <f t="shared" si="214"/>
        <v>0</v>
      </c>
      <c r="BD335" s="2897">
        <f t="shared" si="215"/>
        <v>0</v>
      </c>
      <c r="BE335" s="2897">
        <f t="shared" si="216"/>
        <v>0</v>
      </c>
      <c r="BF335" s="2897">
        <f t="shared" si="217"/>
        <v>0</v>
      </c>
      <c r="BG335" s="2897">
        <f t="shared" si="218"/>
        <v>0</v>
      </c>
      <c r="BH335" s="2897">
        <f t="shared" si="219"/>
        <v>0</v>
      </c>
      <c r="BI335" s="2897">
        <f t="shared" si="220"/>
        <v>0</v>
      </c>
      <c r="BJ335" s="2897">
        <f t="shared" si="221"/>
        <v>0</v>
      </c>
      <c r="BK335" s="2897">
        <f t="shared" si="222"/>
        <v>0</v>
      </c>
      <c r="BL335" s="2897">
        <f t="shared" si="223"/>
        <v>0</v>
      </c>
      <c r="BM335" s="2897">
        <f t="shared" si="224"/>
        <v>0</v>
      </c>
      <c r="BN335" s="2897">
        <f t="shared" si="225"/>
        <v>0</v>
      </c>
      <c r="BO335" s="2897">
        <f t="shared" si="226"/>
        <v>0</v>
      </c>
      <c r="BP335" s="2897">
        <f t="shared" si="227"/>
        <v>0</v>
      </c>
      <c r="BQ335" s="2897">
        <f t="shared" si="228"/>
        <v>0</v>
      </c>
      <c r="BR335" s="2897">
        <f t="shared" si="229"/>
        <v>0</v>
      </c>
      <c r="BS335" s="2897">
        <f t="shared" si="230"/>
        <v>0</v>
      </c>
      <c r="BT335" s="2971">
        <f t="shared" si="231"/>
        <v>0</v>
      </c>
    </row>
    <row r="336" spans="1:72">
      <c r="A336" s="2894"/>
      <c r="B336" s="2895"/>
      <c r="C336" s="2895"/>
      <c r="D336" s="2907"/>
      <c r="E336" s="2897">
        <f t="shared" si="232"/>
        <v>0</v>
      </c>
      <c r="F336" s="2898"/>
      <c r="G336" s="2899">
        <f t="shared" si="207"/>
        <v>0</v>
      </c>
      <c r="H336" s="2900">
        <f t="shared" si="208"/>
        <v>0</v>
      </c>
      <c r="I336" s="2918"/>
      <c r="J336" s="2918"/>
      <c r="K336" s="2918"/>
      <c r="L336" s="2918"/>
      <c r="M336" s="2918"/>
      <c r="N336" s="2918"/>
      <c r="O336" s="2918"/>
      <c r="P336" s="2918"/>
      <c r="Q336" s="2918"/>
      <c r="R336" s="2918"/>
      <c r="S336" s="2918"/>
      <c r="T336" s="2918"/>
      <c r="U336" s="2918"/>
      <c r="V336" s="2918"/>
      <c r="W336" s="2918"/>
      <c r="X336" s="2918"/>
      <c r="Y336" s="2918"/>
      <c r="Z336" s="2918"/>
      <c r="AA336" s="2918"/>
      <c r="AB336" s="2918"/>
      <c r="AC336" s="2897">
        <f t="shared" si="209"/>
        <v>0</v>
      </c>
      <c r="AD336" s="2929"/>
      <c r="AE336" s="2929"/>
      <c r="AF336" s="2929"/>
      <c r="AG336" s="2929"/>
      <c r="AH336" s="2929"/>
      <c r="AI336" s="2929"/>
      <c r="AJ336" s="2929"/>
      <c r="AK336" s="2929"/>
      <c r="AL336" s="2929"/>
      <c r="AM336" s="2929"/>
      <c r="AN336" s="2929"/>
      <c r="AO336" s="2929"/>
      <c r="AP336" s="2929"/>
      <c r="AQ336" s="2929"/>
      <c r="AR336" s="2929"/>
      <c r="AS336" s="2929"/>
      <c r="AT336" s="2949"/>
      <c r="AU336" s="2950"/>
      <c r="AV336" s="454">
        <f t="shared" si="233"/>
        <v>0</v>
      </c>
      <c r="AW336" s="454">
        <f t="shared" si="234"/>
        <v>0</v>
      </c>
      <c r="AX336" s="454">
        <f t="shared" si="235"/>
        <v>0</v>
      </c>
      <c r="AY336" s="2966">
        <f t="shared" si="210"/>
        <v>0</v>
      </c>
      <c r="AZ336" s="2897">
        <f t="shared" si="211"/>
        <v>0</v>
      </c>
      <c r="BA336" s="2897">
        <f t="shared" si="212"/>
        <v>0</v>
      </c>
      <c r="BB336" s="2897">
        <f t="shared" si="213"/>
        <v>0</v>
      </c>
      <c r="BC336" s="2897">
        <f t="shared" si="214"/>
        <v>0</v>
      </c>
      <c r="BD336" s="2897">
        <f t="shared" si="215"/>
        <v>0</v>
      </c>
      <c r="BE336" s="2897">
        <f t="shared" si="216"/>
        <v>0</v>
      </c>
      <c r="BF336" s="2897">
        <f t="shared" si="217"/>
        <v>0</v>
      </c>
      <c r="BG336" s="2897">
        <f t="shared" si="218"/>
        <v>0</v>
      </c>
      <c r="BH336" s="2897">
        <f t="shared" si="219"/>
        <v>0</v>
      </c>
      <c r="BI336" s="2897">
        <f t="shared" si="220"/>
        <v>0</v>
      </c>
      <c r="BJ336" s="2897">
        <f t="shared" si="221"/>
        <v>0</v>
      </c>
      <c r="BK336" s="2897">
        <f t="shared" si="222"/>
        <v>0</v>
      </c>
      <c r="BL336" s="2897">
        <f t="shared" si="223"/>
        <v>0</v>
      </c>
      <c r="BM336" s="2897">
        <f t="shared" si="224"/>
        <v>0</v>
      </c>
      <c r="BN336" s="2897">
        <f t="shared" si="225"/>
        <v>0</v>
      </c>
      <c r="BO336" s="2897">
        <f t="shared" si="226"/>
        <v>0</v>
      </c>
      <c r="BP336" s="2897">
        <f t="shared" si="227"/>
        <v>0</v>
      </c>
      <c r="BQ336" s="2897">
        <f t="shared" si="228"/>
        <v>0</v>
      </c>
      <c r="BR336" s="2897">
        <f t="shared" si="229"/>
        <v>0</v>
      </c>
      <c r="BS336" s="2897">
        <f t="shared" si="230"/>
        <v>0</v>
      </c>
      <c r="BT336" s="2971">
        <f t="shared" si="231"/>
        <v>0</v>
      </c>
    </row>
    <row r="337" spans="1:72">
      <c r="A337" s="2894"/>
      <c r="B337" s="2895"/>
      <c r="C337" s="2895"/>
      <c r="D337" s="2907"/>
      <c r="E337" s="2897">
        <f t="shared" si="232"/>
        <v>0</v>
      </c>
      <c r="F337" s="2898"/>
      <c r="G337" s="2899">
        <f t="shared" si="207"/>
        <v>0</v>
      </c>
      <c r="H337" s="2900">
        <f t="shared" si="208"/>
        <v>0</v>
      </c>
      <c r="I337" s="2918"/>
      <c r="J337" s="2918"/>
      <c r="K337" s="2918"/>
      <c r="L337" s="2918"/>
      <c r="M337" s="2918"/>
      <c r="N337" s="2918"/>
      <c r="O337" s="2918"/>
      <c r="P337" s="2918"/>
      <c r="Q337" s="2918"/>
      <c r="R337" s="2918"/>
      <c r="S337" s="2918"/>
      <c r="T337" s="2918"/>
      <c r="U337" s="2918"/>
      <c r="V337" s="2918"/>
      <c r="W337" s="2918"/>
      <c r="X337" s="2918"/>
      <c r="Y337" s="2918"/>
      <c r="Z337" s="2918"/>
      <c r="AA337" s="2918"/>
      <c r="AB337" s="2918"/>
      <c r="AC337" s="2897">
        <f t="shared" si="209"/>
        <v>0</v>
      </c>
      <c r="AD337" s="2929"/>
      <c r="AE337" s="2929"/>
      <c r="AF337" s="2929"/>
      <c r="AG337" s="2929"/>
      <c r="AH337" s="2929"/>
      <c r="AI337" s="2929"/>
      <c r="AJ337" s="2929"/>
      <c r="AK337" s="2929"/>
      <c r="AL337" s="2929"/>
      <c r="AM337" s="2929"/>
      <c r="AN337" s="2929"/>
      <c r="AO337" s="2929"/>
      <c r="AP337" s="2929"/>
      <c r="AQ337" s="2929"/>
      <c r="AR337" s="2929"/>
      <c r="AS337" s="2929"/>
      <c r="AT337" s="2949"/>
      <c r="AU337" s="2950"/>
      <c r="AV337" s="454">
        <f t="shared" si="233"/>
        <v>0</v>
      </c>
      <c r="AW337" s="454">
        <f t="shared" si="234"/>
        <v>0</v>
      </c>
      <c r="AX337" s="454">
        <f t="shared" si="235"/>
        <v>0</v>
      </c>
      <c r="AY337" s="2966">
        <f t="shared" si="210"/>
        <v>0</v>
      </c>
      <c r="AZ337" s="2897">
        <f t="shared" si="211"/>
        <v>0</v>
      </c>
      <c r="BA337" s="2897">
        <f t="shared" si="212"/>
        <v>0</v>
      </c>
      <c r="BB337" s="2897">
        <f t="shared" si="213"/>
        <v>0</v>
      </c>
      <c r="BC337" s="2897">
        <f t="shared" si="214"/>
        <v>0</v>
      </c>
      <c r="BD337" s="2897">
        <f t="shared" si="215"/>
        <v>0</v>
      </c>
      <c r="BE337" s="2897">
        <f t="shared" si="216"/>
        <v>0</v>
      </c>
      <c r="BF337" s="2897">
        <f t="shared" si="217"/>
        <v>0</v>
      </c>
      <c r="BG337" s="2897">
        <f t="shared" si="218"/>
        <v>0</v>
      </c>
      <c r="BH337" s="2897">
        <f t="shared" si="219"/>
        <v>0</v>
      </c>
      <c r="BI337" s="2897">
        <f t="shared" si="220"/>
        <v>0</v>
      </c>
      <c r="BJ337" s="2897">
        <f t="shared" si="221"/>
        <v>0</v>
      </c>
      <c r="BK337" s="2897">
        <f t="shared" si="222"/>
        <v>0</v>
      </c>
      <c r="BL337" s="2897">
        <f t="shared" si="223"/>
        <v>0</v>
      </c>
      <c r="BM337" s="2897">
        <f t="shared" si="224"/>
        <v>0</v>
      </c>
      <c r="BN337" s="2897">
        <f t="shared" si="225"/>
        <v>0</v>
      </c>
      <c r="BO337" s="2897">
        <f t="shared" si="226"/>
        <v>0</v>
      </c>
      <c r="BP337" s="2897">
        <f t="shared" si="227"/>
        <v>0</v>
      </c>
      <c r="BQ337" s="2897">
        <f t="shared" si="228"/>
        <v>0</v>
      </c>
      <c r="BR337" s="2897">
        <f t="shared" si="229"/>
        <v>0</v>
      </c>
      <c r="BS337" s="2897">
        <f t="shared" si="230"/>
        <v>0</v>
      </c>
      <c r="BT337" s="2971">
        <f t="shared" si="231"/>
        <v>0</v>
      </c>
    </row>
    <row r="338" spans="1:72">
      <c r="A338" s="2894"/>
      <c r="B338" s="2895"/>
      <c r="C338" s="2895"/>
      <c r="D338" s="2907"/>
      <c r="E338" s="2897">
        <f t="shared" si="232"/>
        <v>0</v>
      </c>
      <c r="F338" s="2898"/>
      <c r="G338" s="2899">
        <f t="shared" si="207"/>
        <v>0</v>
      </c>
      <c r="H338" s="2900">
        <f t="shared" si="208"/>
        <v>0</v>
      </c>
      <c r="I338" s="2918"/>
      <c r="J338" s="2918"/>
      <c r="K338" s="2918"/>
      <c r="L338" s="2918"/>
      <c r="M338" s="2918"/>
      <c r="N338" s="2918"/>
      <c r="O338" s="2918"/>
      <c r="P338" s="2918"/>
      <c r="Q338" s="2918"/>
      <c r="R338" s="2918"/>
      <c r="S338" s="2918"/>
      <c r="T338" s="2918"/>
      <c r="U338" s="2918"/>
      <c r="V338" s="2918"/>
      <c r="W338" s="2918"/>
      <c r="X338" s="2918"/>
      <c r="Y338" s="2918"/>
      <c r="Z338" s="2918"/>
      <c r="AA338" s="2918"/>
      <c r="AB338" s="2918"/>
      <c r="AC338" s="2897">
        <f t="shared" si="209"/>
        <v>0</v>
      </c>
      <c r="AD338" s="2929"/>
      <c r="AE338" s="2929"/>
      <c r="AF338" s="2929"/>
      <c r="AG338" s="2929"/>
      <c r="AH338" s="2929"/>
      <c r="AI338" s="2929"/>
      <c r="AJ338" s="2929"/>
      <c r="AK338" s="2929"/>
      <c r="AL338" s="2929"/>
      <c r="AM338" s="2929"/>
      <c r="AN338" s="2929"/>
      <c r="AO338" s="2929"/>
      <c r="AP338" s="2929"/>
      <c r="AQ338" s="2929"/>
      <c r="AR338" s="2929"/>
      <c r="AS338" s="2929"/>
      <c r="AT338" s="2949"/>
      <c r="AU338" s="2950"/>
      <c r="AV338" s="454">
        <f t="shared" si="233"/>
        <v>0</v>
      </c>
      <c r="AW338" s="454">
        <f t="shared" si="234"/>
        <v>0</v>
      </c>
      <c r="AX338" s="454">
        <f t="shared" si="235"/>
        <v>0</v>
      </c>
      <c r="AY338" s="2966">
        <f t="shared" si="210"/>
        <v>0</v>
      </c>
      <c r="AZ338" s="2897">
        <f t="shared" si="211"/>
        <v>0</v>
      </c>
      <c r="BA338" s="2897">
        <f t="shared" si="212"/>
        <v>0</v>
      </c>
      <c r="BB338" s="2897">
        <f t="shared" si="213"/>
        <v>0</v>
      </c>
      <c r="BC338" s="2897">
        <f t="shared" si="214"/>
        <v>0</v>
      </c>
      <c r="BD338" s="2897">
        <f t="shared" si="215"/>
        <v>0</v>
      </c>
      <c r="BE338" s="2897">
        <f t="shared" si="216"/>
        <v>0</v>
      </c>
      <c r="BF338" s="2897">
        <f t="shared" si="217"/>
        <v>0</v>
      </c>
      <c r="BG338" s="2897">
        <f t="shared" si="218"/>
        <v>0</v>
      </c>
      <c r="BH338" s="2897">
        <f t="shared" si="219"/>
        <v>0</v>
      </c>
      <c r="BI338" s="2897">
        <f t="shared" si="220"/>
        <v>0</v>
      </c>
      <c r="BJ338" s="2897">
        <f t="shared" si="221"/>
        <v>0</v>
      </c>
      <c r="BK338" s="2897">
        <f t="shared" si="222"/>
        <v>0</v>
      </c>
      <c r="BL338" s="2897">
        <f t="shared" si="223"/>
        <v>0</v>
      </c>
      <c r="BM338" s="2897">
        <f t="shared" si="224"/>
        <v>0</v>
      </c>
      <c r="BN338" s="2897">
        <f t="shared" si="225"/>
        <v>0</v>
      </c>
      <c r="BO338" s="2897">
        <f t="shared" si="226"/>
        <v>0</v>
      </c>
      <c r="BP338" s="2897">
        <f t="shared" si="227"/>
        <v>0</v>
      </c>
      <c r="BQ338" s="2897">
        <f t="shared" si="228"/>
        <v>0</v>
      </c>
      <c r="BR338" s="2897">
        <f t="shared" si="229"/>
        <v>0</v>
      </c>
      <c r="BS338" s="2897">
        <f t="shared" si="230"/>
        <v>0</v>
      </c>
      <c r="BT338" s="2971">
        <f t="shared" si="231"/>
        <v>0</v>
      </c>
    </row>
    <row r="339" spans="1:72">
      <c r="A339" s="2894"/>
      <c r="B339" s="2895"/>
      <c r="C339" s="2895"/>
      <c r="D339" s="2907"/>
      <c r="E339" s="2897">
        <f t="shared" si="232"/>
        <v>0</v>
      </c>
      <c r="F339" s="2898"/>
      <c r="G339" s="2899">
        <f t="shared" si="207"/>
        <v>0</v>
      </c>
      <c r="H339" s="2900">
        <f t="shared" si="208"/>
        <v>0</v>
      </c>
      <c r="I339" s="2918"/>
      <c r="J339" s="2918"/>
      <c r="K339" s="2918"/>
      <c r="L339" s="2918"/>
      <c r="M339" s="2918"/>
      <c r="N339" s="2918"/>
      <c r="O339" s="2918"/>
      <c r="P339" s="2918"/>
      <c r="Q339" s="2918"/>
      <c r="R339" s="2918"/>
      <c r="S339" s="2918"/>
      <c r="T339" s="2918"/>
      <c r="U339" s="2918"/>
      <c r="V339" s="2918"/>
      <c r="W339" s="2918"/>
      <c r="X339" s="2918"/>
      <c r="Y339" s="2918"/>
      <c r="Z339" s="2918"/>
      <c r="AA339" s="2918"/>
      <c r="AB339" s="2918"/>
      <c r="AC339" s="2897">
        <f t="shared" si="209"/>
        <v>0</v>
      </c>
      <c r="AD339" s="2929"/>
      <c r="AE339" s="2929"/>
      <c r="AF339" s="2929"/>
      <c r="AG339" s="2929"/>
      <c r="AH339" s="2929"/>
      <c r="AI339" s="2929"/>
      <c r="AJ339" s="2929"/>
      <c r="AK339" s="2929"/>
      <c r="AL339" s="2929"/>
      <c r="AM339" s="2929"/>
      <c r="AN339" s="2929"/>
      <c r="AO339" s="2929"/>
      <c r="AP339" s="2929"/>
      <c r="AQ339" s="2929"/>
      <c r="AR339" s="2929"/>
      <c r="AS339" s="2929"/>
      <c r="AT339" s="2949"/>
      <c r="AU339" s="2950"/>
      <c r="AV339" s="454">
        <f t="shared" si="233"/>
        <v>0</v>
      </c>
      <c r="AW339" s="454">
        <f t="shared" si="234"/>
        <v>0</v>
      </c>
      <c r="AX339" s="454">
        <f t="shared" si="235"/>
        <v>0</v>
      </c>
      <c r="AY339" s="2966">
        <f t="shared" si="210"/>
        <v>0</v>
      </c>
      <c r="AZ339" s="2897">
        <f t="shared" si="211"/>
        <v>0</v>
      </c>
      <c r="BA339" s="2897">
        <f t="shared" si="212"/>
        <v>0</v>
      </c>
      <c r="BB339" s="2897">
        <f t="shared" si="213"/>
        <v>0</v>
      </c>
      <c r="BC339" s="2897">
        <f t="shared" si="214"/>
        <v>0</v>
      </c>
      <c r="BD339" s="2897">
        <f t="shared" si="215"/>
        <v>0</v>
      </c>
      <c r="BE339" s="2897">
        <f t="shared" si="216"/>
        <v>0</v>
      </c>
      <c r="BF339" s="2897">
        <f t="shared" si="217"/>
        <v>0</v>
      </c>
      <c r="BG339" s="2897">
        <f t="shared" si="218"/>
        <v>0</v>
      </c>
      <c r="BH339" s="2897">
        <f t="shared" si="219"/>
        <v>0</v>
      </c>
      <c r="BI339" s="2897">
        <f t="shared" si="220"/>
        <v>0</v>
      </c>
      <c r="BJ339" s="2897">
        <f t="shared" si="221"/>
        <v>0</v>
      </c>
      <c r="BK339" s="2897">
        <f t="shared" si="222"/>
        <v>0</v>
      </c>
      <c r="BL339" s="2897">
        <f t="shared" si="223"/>
        <v>0</v>
      </c>
      <c r="BM339" s="2897">
        <f t="shared" si="224"/>
        <v>0</v>
      </c>
      <c r="BN339" s="2897">
        <f t="shared" si="225"/>
        <v>0</v>
      </c>
      <c r="BO339" s="2897">
        <f t="shared" si="226"/>
        <v>0</v>
      </c>
      <c r="BP339" s="2897">
        <f t="shared" si="227"/>
        <v>0</v>
      </c>
      <c r="BQ339" s="2897">
        <f t="shared" si="228"/>
        <v>0</v>
      </c>
      <c r="BR339" s="2897">
        <f t="shared" si="229"/>
        <v>0</v>
      </c>
      <c r="BS339" s="2897">
        <f t="shared" si="230"/>
        <v>0</v>
      </c>
      <c r="BT339" s="2971">
        <f t="shared" si="231"/>
        <v>0</v>
      </c>
    </row>
    <row r="340" spans="1:72">
      <c r="A340" s="2894"/>
      <c r="B340" s="2895"/>
      <c r="C340" s="2895"/>
      <c r="D340" s="2907"/>
      <c r="E340" s="2897">
        <f t="shared" si="232"/>
        <v>0</v>
      </c>
      <c r="F340" s="2898"/>
      <c r="G340" s="2899">
        <f t="shared" si="207"/>
        <v>0</v>
      </c>
      <c r="H340" s="2900">
        <f t="shared" si="208"/>
        <v>0</v>
      </c>
      <c r="I340" s="2918"/>
      <c r="J340" s="2918"/>
      <c r="K340" s="2918"/>
      <c r="L340" s="2918"/>
      <c r="M340" s="2918"/>
      <c r="N340" s="2918"/>
      <c r="O340" s="2918"/>
      <c r="P340" s="2918"/>
      <c r="Q340" s="2918"/>
      <c r="R340" s="2918"/>
      <c r="S340" s="2918"/>
      <c r="T340" s="2918"/>
      <c r="U340" s="2918"/>
      <c r="V340" s="2918"/>
      <c r="W340" s="2918"/>
      <c r="X340" s="2918"/>
      <c r="Y340" s="2918"/>
      <c r="Z340" s="2918"/>
      <c r="AA340" s="2918"/>
      <c r="AB340" s="2918"/>
      <c r="AC340" s="2897">
        <f t="shared" si="209"/>
        <v>0</v>
      </c>
      <c r="AD340" s="2929"/>
      <c r="AE340" s="2929"/>
      <c r="AF340" s="2929"/>
      <c r="AG340" s="2929"/>
      <c r="AH340" s="2929"/>
      <c r="AI340" s="2929"/>
      <c r="AJ340" s="2929"/>
      <c r="AK340" s="2929"/>
      <c r="AL340" s="2929"/>
      <c r="AM340" s="2929"/>
      <c r="AN340" s="2929"/>
      <c r="AO340" s="2929"/>
      <c r="AP340" s="2929"/>
      <c r="AQ340" s="2929"/>
      <c r="AR340" s="2929"/>
      <c r="AS340" s="2929"/>
      <c r="AT340" s="2949"/>
      <c r="AU340" s="2950"/>
      <c r="AV340" s="454">
        <f t="shared" si="233"/>
        <v>0</v>
      </c>
      <c r="AW340" s="454">
        <f t="shared" si="234"/>
        <v>0</v>
      </c>
      <c r="AX340" s="454">
        <f t="shared" si="235"/>
        <v>0</v>
      </c>
      <c r="AY340" s="2966">
        <f t="shared" si="210"/>
        <v>0</v>
      </c>
      <c r="AZ340" s="2897">
        <f t="shared" si="211"/>
        <v>0</v>
      </c>
      <c r="BA340" s="2897">
        <f t="shared" si="212"/>
        <v>0</v>
      </c>
      <c r="BB340" s="2897">
        <f t="shared" si="213"/>
        <v>0</v>
      </c>
      <c r="BC340" s="2897">
        <f t="shared" si="214"/>
        <v>0</v>
      </c>
      <c r="BD340" s="2897">
        <f t="shared" si="215"/>
        <v>0</v>
      </c>
      <c r="BE340" s="2897">
        <f t="shared" si="216"/>
        <v>0</v>
      </c>
      <c r="BF340" s="2897">
        <f t="shared" si="217"/>
        <v>0</v>
      </c>
      <c r="BG340" s="2897">
        <f t="shared" si="218"/>
        <v>0</v>
      </c>
      <c r="BH340" s="2897">
        <f t="shared" si="219"/>
        <v>0</v>
      </c>
      <c r="BI340" s="2897">
        <f t="shared" si="220"/>
        <v>0</v>
      </c>
      <c r="BJ340" s="2897">
        <f t="shared" si="221"/>
        <v>0</v>
      </c>
      <c r="BK340" s="2897">
        <f t="shared" si="222"/>
        <v>0</v>
      </c>
      <c r="BL340" s="2897">
        <f t="shared" si="223"/>
        <v>0</v>
      </c>
      <c r="BM340" s="2897">
        <f t="shared" si="224"/>
        <v>0</v>
      </c>
      <c r="BN340" s="2897">
        <f t="shared" si="225"/>
        <v>0</v>
      </c>
      <c r="BO340" s="2897">
        <f t="shared" si="226"/>
        <v>0</v>
      </c>
      <c r="BP340" s="2897">
        <f t="shared" si="227"/>
        <v>0</v>
      </c>
      <c r="BQ340" s="2897">
        <f t="shared" si="228"/>
        <v>0</v>
      </c>
      <c r="BR340" s="2897">
        <f t="shared" si="229"/>
        <v>0</v>
      </c>
      <c r="BS340" s="2897">
        <f t="shared" si="230"/>
        <v>0</v>
      </c>
      <c r="BT340" s="2971">
        <f t="shared" si="231"/>
        <v>0</v>
      </c>
    </row>
    <row r="341" spans="1:72">
      <c r="A341" s="2894"/>
      <c r="B341" s="2895"/>
      <c r="C341" s="2895"/>
      <c r="D341" s="2907"/>
      <c r="E341" s="2897">
        <f t="shared" si="232"/>
        <v>0</v>
      </c>
      <c r="F341" s="2898"/>
      <c r="G341" s="2899">
        <f t="shared" si="207"/>
        <v>0</v>
      </c>
      <c r="H341" s="2900">
        <f t="shared" si="208"/>
        <v>0</v>
      </c>
      <c r="I341" s="2918"/>
      <c r="J341" s="2918"/>
      <c r="K341" s="2918"/>
      <c r="L341" s="2918"/>
      <c r="M341" s="2918"/>
      <c r="N341" s="2918"/>
      <c r="O341" s="2918"/>
      <c r="P341" s="2918"/>
      <c r="Q341" s="2918"/>
      <c r="R341" s="2918"/>
      <c r="S341" s="2918"/>
      <c r="T341" s="2918"/>
      <c r="U341" s="2918"/>
      <c r="V341" s="2918"/>
      <c r="W341" s="2918"/>
      <c r="X341" s="2918"/>
      <c r="Y341" s="2918"/>
      <c r="Z341" s="2918"/>
      <c r="AA341" s="2918"/>
      <c r="AB341" s="2918"/>
      <c r="AC341" s="2897">
        <f t="shared" si="209"/>
        <v>0</v>
      </c>
      <c r="AD341" s="2929"/>
      <c r="AE341" s="2929"/>
      <c r="AF341" s="2929"/>
      <c r="AG341" s="2929"/>
      <c r="AH341" s="2929"/>
      <c r="AI341" s="2929"/>
      <c r="AJ341" s="2929"/>
      <c r="AK341" s="2929"/>
      <c r="AL341" s="2929"/>
      <c r="AM341" s="2929"/>
      <c r="AN341" s="2929"/>
      <c r="AO341" s="2929"/>
      <c r="AP341" s="2929"/>
      <c r="AQ341" s="2929"/>
      <c r="AR341" s="2929"/>
      <c r="AS341" s="2929"/>
      <c r="AT341" s="2949"/>
      <c r="AU341" s="2950"/>
      <c r="AV341" s="454">
        <f t="shared" si="233"/>
        <v>0</v>
      </c>
      <c r="AW341" s="454">
        <f t="shared" si="234"/>
        <v>0</v>
      </c>
      <c r="AX341" s="454">
        <f t="shared" si="235"/>
        <v>0</v>
      </c>
      <c r="AY341" s="2966">
        <f t="shared" si="210"/>
        <v>0</v>
      </c>
      <c r="AZ341" s="2897">
        <f t="shared" si="211"/>
        <v>0</v>
      </c>
      <c r="BA341" s="2897">
        <f t="shared" si="212"/>
        <v>0</v>
      </c>
      <c r="BB341" s="2897">
        <f t="shared" si="213"/>
        <v>0</v>
      </c>
      <c r="BC341" s="2897">
        <f t="shared" si="214"/>
        <v>0</v>
      </c>
      <c r="BD341" s="2897">
        <f t="shared" si="215"/>
        <v>0</v>
      </c>
      <c r="BE341" s="2897">
        <f t="shared" si="216"/>
        <v>0</v>
      </c>
      <c r="BF341" s="2897">
        <f t="shared" si="217"/>
        <v>0</v>
      </c>
      <c r="BG341" s="2897">
        <f t="shared" si="218"/>
        <v>0</v>
      </c>
      <c r="BH341" s="2897">
        <f t="shared" si="219"/>
        <v>0</v>
      </c>
      <c r="BI341" s="2897">
        <f t="shared" si="220"/>
        <v>0</v>
      </c>
      <c r="BJ341" s="2897">
        <f t="shared" si="221"/>
        <v>0</v>
      </c>
      <c r="BK341" s="2897">
        <f t="shared" si="222"/>
        <v>0</v>
      </c>
      <c r="BL341" s="2897">
        <f t="shared" si="223"/>
        <v>0</v>
      </c>
      <c r="BM341" s="2897">
        <f t="shared" si="224"/>
        <v>0</v>
      </c>
      <c r="BN341" s="2897">
        <f t="shared" si="225"/>
        <v>0</v>
      </c>
      <c r="BO341" s="2897">
        <f t="shared" si="226"/>
        <v>0</v>
      </c>
      <c r="BP341" s="2897">
        <f t="shared" si="227"/>
        <v>0</v>
      </c>
      <c r="BQ341" s="2897">
        <f t="shared" si="228"/>
        <v>0</v>
      </c>
      <c r="BR341" s="2897">
        <f t="shared" si="229"/>
        <v>0</v>
      </c>
      <c r="BS341" s="2897">
        <f t="shared" si="230"/>
        <v>0</v>
      </c>
      <c r="BT341" s="2971">
        <f t="shared" si="231"/>
        <v>0</v>
      </c>
    </row>
    <row r="342" spans="1:72">
      <c r="A342" s="2894"/>
      <c r="B342" s="2895"/>
      <c r="C342" s="2895"/>
      <c r="D342" s="2907"/>
      <c r="E342" s="2897">
        <f t="shared" si="232"/>
        <v>0</v>
      </c>
      <c r="F342" s="2898"/>
      <c r="G342" s="2899">
        <f t="shared" si="207"/>
        <v>0</v>
      </c>
      <c r="H342" s="2900">
        <f t="shared" si="208"/>
        <v>0</v>
      </c>
      <c r="I342" s="2918"/>
      <c r="J342" s="2918"/>
      <c r="K342" s="2918"/>
      <c r="L342" s="2918"/>
      <c r="M342" s="2918"/>
      <c r="N342" s="2918"/>
      <c r="O342" s="2918"/>
      <c r="P342" s="2918"/>
      <c r="Q342" s="2918"/>
      <c r="R342" s="2918"/>
      <c r="S342" s="2918"/>
      <c r="T342" s="2918"/>
      <c r="U342" s="2918"/>
      <c r="V342" s="2918"/>
      <c r="W342" s="2918"/>
      <c r="X342" s="2918"/>
      <c r="Y342" s="2918"/>
      <c r="Z342" s="2918"/>
      <c r="AA342" s="2918"/>
      <c r="AB342" s="2918"/>
      <c r="AC342" s="2897">
        <f t="shared" si="209"/>
        <v>0</v>
      </c>
      <c r="AD342" s="2929"/>
      <c r="AE342" s="2929"/>
      <c r="AF342" s="2929"/>
      <c r="AG342" s="2929"/>
      <c r="AH342" s="2929"/>
      <c r="AI342" s="2929"/>
      <c r="AJ342" s="2929"/>
      <c r="AK342" s="2929"/>
      <c r="AL342" s="2929"/>
      <c r="AM342" s="2929"/>
      <c r="AN342" s="2929"/>
      <c r="AO342" s="2929"/>
      <c r="AP342" s="2929"/>
      <c r="AQ342" s="2929"/>
      <c r="AR342" s="2929"/>
      <c r="AS342" s="2929"/>
      <c r="AT342" s="2949"/>
      <c r="AU342" s="2950"/>
      <c r="AV342" s="454">
        <f t="shared" si="233"/>
        <v>0</v>
      </c>
      <c r="AW342" s="454">
        <f t="shared" si="234"/>
        <v>0</v>
      </c>
      <c r="AX342" s="454">
        <f t="shared" si="235"/>
        <v>0</v>
      </c>
      <c r="AY342" s="2966">
        <f t="shared" si="210"/>
        <v>0</v>
      </c>
      <c r="AZ342" s="2897">
        <f t="shared" si="211"/>
        <v>0</v>
      </c>
      <c r="BA342" s="2897">
        <f t="shared" si="212"/>
        <v>0</v>
      </c>
      <c r="BB342" s="2897">
        <f t="shared" si="213"/>
        <v>0</v>
      </c>
      <c r="BC342" s="2897">
        <f t="shared" si="214"/>
        <v>0</v>
      </c>
      <c r="BD342" s="2897">
        <f t="shared" si="215"/>
        <v>0</v>
      </c>
      <c r="BE342" s="2897">
        <f t="shared" si="216"/>
        <v>0</v>
      </c>
      <c r="BF342" s="2897">
        <f t="shared" si="217"/>
        <v>0</v>
      </c>
      <c r="BG342" s="2897">
        <f t="shared" si="218"/>
        <v>0</v>
      </c>
      <c r="BH342" s="2897">
        <f t="shared" si="219"/>
        <v>0</v>
      </c>
      <c r="BI342" s="2897">
        <f t="shared" si="220"/>
        <v>0</v>
      </c>
      <c r="BJ342" s="2897">
        <f t="shared" si="221"/>
        <v>0</v>
      </c>
      <c r="BK342" s="2897">
        <f t="shared" si="222"/>
        <v>0</v>
      </c>
      <c r="BL342" s="2897">
        <f t="shared" si="223"/>
        <v>0</v>
      </c>
      <c r="BM342" s="2897">
        <f t="shared" si="224"/>
        <v>0</v>
      </c>
      <c r="BN342" s="2897">
        <f t="shared" si="225"/>
        <v>0</v>
      </c>
      <c r="BO342" s="2897">
        <f t="shared" si="226"/>
        <v>0</v>
      </c>
      <c r="BP342" s="2897">
        <f t="shared" si="227"/>
        <v>0</v>
      </c>
      <c r="BQ342" s="2897">
        <f t="shared" si="228"/>
        <v>0</v>
      </c>
      <c r="BR342" s="2897">
        <f t="shared" si="229"/>
        <v>0</v>
      </c>
      <c r="BS342" s="2897">
        <f t="shared" si="230"/>
        <v>0</v>
      </c>
      <c r="BT342" s="2971">
        <f t="shared" si="231"/>
        <v>0</v>
      </c>
    </row>
    <row r="343" spans="1:72">
      <c r="A343" s="2894"/>
      <c r="B343" s="2895"/>
      <c r="C343" s="2895"/>
      <c r="D343" s="2907"/>
      <c r="E343" s="2897">
        <f t="shared" si="232"/>
        <v>0</v>
      </c>
      <c r="F343" s="2898"/>
      <c r="G343" s="2899">
        <f t="shared" si="207"/>
        <v>0</v>
      </c>
      <c r="H343" s="2900">
        <f t="shared" si="208"/>
        <v>0</v>
      </c>
      <c r="I343" s="2918"/>
      <c r="J343" s="2918"/>
      <c r="K343" s="2918"/>
      <c r="L343" s="2918"/>
      <c r="M343" s="2918"/>
      <c r="N343" s="2918"/>
      <c r="O343" s="2918"/>
      <c r="P343" s="2918"/>
      <c r="Q343" s="2918"/>
      <c r="R343" s="2918"/>
      <c r="S343" s="2918"/>
      <c r="T343" s="2918"/>
      <c r="U343" s="2918"/>
      <c r="V343" s="2918"/>
      <c r="W343" s="2918"/>
      <c r="X343" s="2918"/>
      <c r="Y343" s="2918"/>
      <c r="Z343" s="2918"/>
      <c r="AA343" s="2918"/>
      <c r="AB343" s="2918"/>
      <c r="AC343" s="2897">
        <f t="shared" si="209"/>
        <v>0</v>
      </c>
      <c r="AD343" s="2929"/>
      <c r="AE343" s="2929"/>
      <c r="AF343" s="2929"/>
      <c r="AG343" s="2929"/>
      <c r="AH343" s="2929"/>
      <c r="AI343" s="2929"/>
      <c r="AJ343" s="2929"/>
      <c r="AK343" s="2929"/>
      <c r="AL343" s="2929"/>
      <c r="AM343" s="2929"/>
      <c r="AN343" s="2929"/>
      <c r="AO343" s="2929"/>
      <c r="AP343" s="2929"/>
      <c r="AQ343" s="2929"/>
      <c r="AR343" s="2929"/>
      <c r="AS343" s="2929"/>
      <c r="AT343" s="2949"/>
      <c r="AU343" s="2950"/>
      <c r="AV343" s="454">
        <f t="shared" si="233"/>
        <v>0</v>
      </c>
      <c r="AW343" s="454">
        <f t="shared" si="234"/>
        <v>0</v>
      </c>
      <c r="AX343" s="454">
        <f t="shared" si="235"/>
        <v>0</v>
      </c>
      <c r="AY343" s="2966">
        <f t="shared" si="210"/>
        <v>0</v>
      </c>
      <c r="AZ343" s="2897">
        <f t="shared" si="211"/>
        <v>0</v>
      </c>
      <c r="BA343" s="2897">
        <f t="shared" si="212"/>
        <v>0</v>
      </c>
      <c r="BB343" s="2897">
        <f t="shared" si="213"/>
        <v>0</v>
      </c>
      <c r="BC343" s="2897">
        <f t="shared" si="214"/>
        <v>0</v>
      </c>
      <c r="BD343" s="2897">
        <f t="shared" si="215"/>
        <v>0</v>
      </c>
      <c r="BE343" s="2897">
        <f t="shared" si="216"/>
        <v>0</v>
      </c>
      <c r="BF343" s="2897">
        <f t="shared" si="217"/>
        <v>0</v>
      </c>
      <c r="BG343" s="2897">
        <f t="shared" si="218"/>
        <v>0</v>
      </c>
      <c r="BH343" s="2897">
        <f t="shared" si="219"/>
        <v>0</v>
      </c>
      <c r="BI343" s="2897">
        <f t="shared" si="220"/>
        <v>0</v>
      </c>
      <c r="BJ343" s="2897">
        <f t="shared" si="221"/>
        <v>0</v>
      </c>
      <c r="BK343" s="2897">
        <f t="shared" si="222"/>
        <v>0</v>
      </c>
      <c r="BL343" s="2897">
        <f t="shared" si="223"/>
        <v>0</v>
      </c>
      <c r="BM343" s="2897">
        <f t="shared" si="224"/>
        <v>0</v>
      </c>
      <c r="BN343" s="2897">
        <f t="shared" si="225"/>
        <v>0</v>
      </c>
      <c r="BO343" s="2897">
        <f t="shared" si="226"/>
        <v>0</v>
      </c>
      <c r="BP343" s="2897">
        <f t="shared" si="227"/>
        <v>0</v>
      </c>
      <c r="BQ343" s="2897">
        <f t="shared" si="228"/>
        <v>0</v>
      </c>
      <c r="BR343" s="2897">
        <f t="shared" si="229"/>
        <v>0</v>
      </c>
      <c r="BS343" s="2897">
        <f t="shared" si="230"/>
        <v>0</v>
      </c>
      <c r="BT343" s="2971">
        <f t="shared" si="231"/>
        <v>0</v>
      </c>
    </row>
    <row r="344" spans="1:72">
      <c r="A344" s="2894"/>
      <c r="B344" s="2895"/>
      <c r="C344" s="2895"/>
      <c r="D344" s="2907"/>
      <c r="E344" s="2897">
        <f t="shared" si="232"/>
        <v>0</v>
      </c>
      <c r="F344" s="2898"/>
      <c r="G344" s="2899">
        <f t="shared" si="207"/>
        <v>0</v>
      </c>
      <c r="H344" s="2900">
        <f t="shared" si="208"/>
        <v>0</v>
      </c>
      <c r="I344" s="2918"/>
      <c r="J344" s="2918"/>
      <c r="K344" s="2918"/>
      <c r="L344" s="2918"/>
      <c r="M344" s="2918"/>
      <c r="N344" s="2918"/>
      <c r="O344" s="2918"/>
      <c r="P344" s="2918"/>
      <c r="Q344" s="2918"/>
      <c r="R344" s="2918"/>
      <c r="S344" s="2918"/>
      <c r="T344" s="2918"/>
      <c r="U344" s="2918"/>
      <c r="V344" s="2918"/>
      <c r="W344" s="2918"/>
      <c r="X344" s="2918"/>
      <c r="Y344" s="2918"/>
      <c r="Z344" s="2918"/>
      <c r="AA344" s="2918"/>
      <c r="AB344" s="2918"/>
      <c r="AC344" s="2897">
        <f t="shared" si="209"/>
        <v>0</v>
      </c>
      <c r="AD344" s="2929"/>
      <c r="AE344" s="2929"/>
      <c r="AF344" s="2929"/>
      <c r="AG344" s="2929"/>
      <c r="AH344" s="2929"/>
      <c r="AI344" s="2929"/>
      <c r="AJ344" s="2929"/>
      <c r="AK344" s="2929"/>
      <c r="AL344" s="2929"/>
      <c r="AM344" s="2929"/>
      <c r="AN344" s="2929"/>
      <c r="AO344" s="2929"/>
      <c r="AP344" s="2929"/>
      <c r="AQ344" s="2929"/>
      <c r="AR344" s="2929"/>
      <c r="AS344" s="2929"/>
      <c r="AT344" s="2949"/>
      <c r="AU344" s="2950"/>
      <c r="AV344" s="454">
        <f t="shared" si="233"/>
        <v>0</v>
      </c>
      <c r="AW344" s="454">
        <f t="shared" si="234"/>
        <v>0</v>
      </c>
      <c r="AX344" s="454">
        <f t="shared" si="235"/>
        <v>0</v>
      </c>
      <c r="AY344" s="2966">
        <f t="shared" si="210"/>
        <v>0</v>
      </c>
      <c r="AZ344" s="2897">
        <f t="shared" si="211"/>
        <v>0</v>
      </c>
      <c r="BA344" s="2897">
        <f t="shared" si="212"/>
        <v>0</v>
      </c>
      <c r="BB344" s="2897">
        <f t="shared" si="213"/>
        <v>0</v>
      </c>
      <c r="BC344" s="2897">
        <f t="shared" si="214"/>
        <v>0</v>
      </c>
      <c r="BD344" s="2897">
        <f t="shared" si="215"/>
        <v>0</v>
      </c>
      <c r="BE344" s="2897">
        <f t="shared" si="216"/>
        <v>0</v>
      </c>
      <c r="BF344" s="2897">
        <f t="shared" si="217"/>
        <v>0</v>
      </c>
      <c r="BG344" s="2897">
        <f t="shared" si="218"/>
        <v>0</v>
      </c>
      <c r="BH344" s="2897">
        <f t="shared" si="219"/>
        <v>0</v>
      </c>
      <c r="BI344" s="2897">
        <f t="shared" si="220"/>
        <v>0</v>
      </c>
      <c r="BJ344" s="2897">
        <f t="shared" si="221"/>
        <v>0</v>
      </c>
      <c r="BK344" s="2897">
        <f t="shared" si="222"/>
        <v>0</v>
      </c>
      <c r="BL344" s="2897">
        <f t="shared" si="223"/>
        <v>0</v>
      </c>
      <c r="BM344" s="2897">
        <f t="shared" si="224"/>
        <v>0</v>
      </c>
      <c r="BN344" s="2897">
        <f t="shared" si="225"/>
        <v>0</v>
      </c>
      <c r="BO344" s="2897">
        <f t="shared" si="226"/>
        <v>0</v>
      </c>
      <c r="BP344" s="2897">
        <f t="shared" si="227"/>
        <v>0</v>
      </c>
      <c r="BQ344" s="2897">
        <f t="shared" si="228"/>
        <v>0</v>
      </c>
      <c r="BR344" s="2897">
        <f t="shared" si="229"/>
        <v>0</v>
      </c>
      <c r="BS344" s="2897">
        <f t="shared" si="230"/>
        <v>0</v>
      </c>
      <c r="BT344" s="2971">
        <f t="shared" si="231"/>
        <v>0</v>
      </c>
    </row>
    <row r="345" spans="1:72">
      <c r="A345" s="2894"/>
      <c r="B345" s="2895"/>
      <c r="C345" s="2895"/>
      <c r="D345" s="2907"/>
      <c r="E345" s="2897">
        <f t="shared" si="232"/>
        <v>0</v>
      </c>
      <c r="F345" s="2898"/>
      <c r="G345" s="2899">
        <f t="shared" si="207"/>
        <v>0</v>
      </c>
      <c r="H345" s="2900">
        <f t="shared" si="208"/>
        <v>0</v>
      </c>
      <c r="I345" s="2918"/>
      <c r="J345" s="2918"/>
      <c r="K345" s="2918"/>
      <c r="L345" s="2918"/>
      <c r="M345" s="2918"/>
      <c r="N345" s="2918"/>
      <c r="O345" s="2918"/>
      <c r="P345" s="2918"/>
      <c r="Q345" s="2918"/>
      <c r="R345" s="2918"/>
      <c r="S345" s="2918"/>
      <c r="T345" s="2918"/>
      <c r="U345" s="2918"/>
      <c r="V345" s="2918"/>
      <c r="W345" s="2918"/>
      <c r="X345" s="2918"/>
      <c r="Y345" s="2918"/>
      <c r="Z345" s="2918"/>
      <c r="AA345" s="2918"/>
      <c r="AB345" s="2918"/>
      <c r="AC345" s="2897">
        <f t="shared" si="209"/>
        <v>0</v>
      </c>
      <c r="AD345" s="2929"/>
      <c r="AE345" s="2929"/>
      <c r="AF345" s="2929"/>
      <c r="AG345" s="2929"/>
      <c r="AH345" s="2929"/>
      <c r="AI345" s="2929"/>
      <c r="AJ345" s="2929"/>
      <c r="AK345" s="2929"/>
      <c r="AL345" s="2929"/>
      <c r="AM345" s="2929"/>
      <c r="AN345" s="2929"/>
      <c r="AO345" s="2929"/>
      <c r="AP345" s="2929"/>
      <c r="AQ345" s="2929"/>
      <c r="AR345" s="2929"/>
      <c r="AS345" s="2929"/>
      <c r="AT345" s="2949"/>
      <c r="AU345" s="2950"/>
      <c r="AV345" s="454">
        <f t="shared" si="233"/>
        <v>0</v>
      </c>
      <c r="AW345" s="454">
        <f t="shared" si="234"/>
        <v>0</v>
      </c>
      <c r="AX345" s="454">
        <f t="shared" si="235"/>
        <v>0</v>
      </c>
      <c r="AY345" s="2966">
        <f t="shared" si="210"/>
        <v>0</v>
      </c>
      <c r="AZ345" s="2897">
        <f t="shared" si="211"/>
        <v>0</v>
      </c>
      <c r="BA345" s="2897">
        <f t="shared" si="212"/>
        <v>0</v>
      </c>
      <c r="BB345" s="2897">
        <f t="shared" si="213"/>
        <v>0</v>
      </c>
      <c r="BC345" s="2897">
        <f t="shared" si="214"/>
        <v>0</v>
      </c>
      <c r="BD345" s="2897">
        <f t="shared" si="215"/>
        <v>0</v>
      </c>
      <c r="BE345" s="2897">
        <f t="shared" si="216"/>
        <v>0</v>
      </c>
      <c r="BF345" s="2897">
        <f t="shared" si="217"/>
        <v>0</v>
      </c>
      <c r="BG345" s="2897">
        <f t="shared" si="218"/>
        <v>0</v>
      </c>
      <c r="BH345" s="2897">
        <f t="shared" si="219"/>
        <v>0</v>
      </c>
      <c r="BI345" s="2897">
        <f t="shared" si="220"/>
        <v>0</v>
      </c>
      <c r="BJ345" s="2897">
        <f t="shared" si="221"/>
        <v>0</v>
      </c>
      <c r="BK345" s="2897">
        <f t="shared" si="222"/>
        <v>0</v>
      </c>
      <c r="BL345" s="2897">
        <f t="shared" si="223"/>
        <v>0</v>
      </c>
      <c r="BM345" s="2897">
        <f t="shared" si="224"/>
        <v>0</v>
      </c>
      <c r="BN345" s="2897">
        <f t="shared" si="225"/>
        <v>0</v>
      </c>
      <c r="BO345" s="2897">
        <f t="shared" si="226"/>
        <v>0</v>
      </c>
      <c r="BP345" s="2897">
        <f t="shared" si="227"/>
        <v>0</v>
      </c>
      <c r="BQ345" s="2897">
        <f t="shared" si="228"/>
        <v>0</v>
      </c>
      <c r="BR345" s="2897">
        <f t="shared" si="229"/>
        <v>0</v>
      </c>
      <c r="BS345" s="2897">
        <f t="shared" si="230"/>
        <v>0</v>
      </c>
      <c r="BT345" s="2971">
        <f t="shared" si="231"/>
        <v>0</v>
      </c>
    </row>
    <row r="346" spans="1:72">
      <c r="A346" s="2894"/>
      <c r="B346" s="2895"/>
      <c r="C346" s="2895"/>
      <c r="D346" s="2907"/>
      <c r="E346" s="2897">
        <f t="shared" si="232"/>
        <v>0</v>
      </c>
      <c r="F346" s="2898"/>
      <c r="G346" s="2899">
        <f t="shared" si="207"/>
        <v>0</v>
      </c>
      <c r="H346" s="2900">
        <f t="shared" si="208"/>
        <v>0</v>
      </c>
      <c r="I346" s="2918"/>
      <c r="J346" s="2918"/>
      <c r="K346" s="2918"/>
      <c r="L346" s="2918"/>
      <c r="M346" s="2918"/>
      <c r="N346" s="2918"/>
      <c r="O346" s="2918"/>
      <c r="P346" s="2918"/>
      <c r="Q346" s="2918"/>
      <c r="R346" s="2918"/>
      <c r="S346" s="2918"/>
      <c r="T346" s="2918"/>
      <c r="U346" s="2918"/>
      <c r="V346" s="2918"/>
      <c r="W346" s="2918"/>
      <c r="X346" s="2918"/>
      <c r="Y346" s="2918"/>
      <c r="Z346" s="2918"/>
      <c r="AA346" s="2918"/>
      <c r="AB346" s="2918"/>
      <c r="AC346" s="2897">
        <f t="shared" si="209"/>
        <v>0</v>
      </c>
      <c r="AD346" s="2929"/>
      <c r="AE346" s="2929"/>
      <c r="AF346" s="2929"/>
      <c r="AG346" s="2929"/>
      <c r="AH346" s="2929"/>
      <c r="AI346" s="2929"/>
      <c r="AJ346" s="2929"/>
      <c r="AK346" s="2929"/>
      <c r="AL346" s="2929"/>
      <c r="AM346" s="2929"/>
      <c r="AN346" s="2929"/>
      <c r="AO346" s="2929"/>
      <c r="AP346" s="2929"/>
      <c r="AQ346" s="2929"/>
      <c r="AR346" s="2929"/>
      <c r="AS346" s="2929"/>
      <c r="AT346" s="2949"/>
      <c r="AU346" s="2950"/>
      <c r="AV346" s="454">
        <f t="shared" si="233"/>
        <v>0</v>
      </c>
      <c r="AW346" s="454">
        <f t="shared" si="234"/>
        <v>0</v>
      </c>
      <c r="AX346" s="454">
        <f t="shared" si="235"/>
        <v>0</v>
      </c>
      <c r="AY346" s="2966">
        <f t="shared" si="210"/>
        <v>0</v>
      </c>
      <c r="AZ346" s="2897">
        <f t="shared" si="211"/>
        <v>0</v>
      </c>
      <c r="BA346" s="2897">
        <f t="shared" si="212"/>
        <v>0</v>
      </c>
      <c r="BB346" s="2897">
        <f t="shared" si="213"/>
        <v>0</v>
      </c>
      <c r="BC346" s="2897">
        <f t="shared" si="214"/>
        <v>0</v>
      </c>
      <c r="BD346" s="2897">
        <f t="shared" si="215"/>
        <v>0</v>
      </c>
      <c r="BE346" s="2897">
        <f t="shared" si="216"/>
        <v>0</v>
      </c>
      <c r="BF346" s="2897">
        <f t="shared" si="217"/>
        <v>0</v>
      </c>
      <c r="BG346" s="2897">
        <f t="shared" si="218"/>
        <v>0</v>
      </c>
      <c r="BH346" s="2897">
        <f t="shared" si="219"/>
        <v>0</v>
      </c>
      <c r="BI346" s="2897">
        <f t="shared" si="220"/>
        <v>0</v>
      </c>
      <c r="BJ346" s="2897">
        <f t="shared" si="221"/>
        <v>0</v>
      </c>
      <c r="BK346" s="2897">
        <f t="shared" si="222"/>
        <v>0</v>
      </c>
      <c r="BL346" s="2897">
        <f t="shared" si="223"/>
        <v>0</v>
      </c>
      <c r="BM346" s="2897">
        <f t="shared" si="224"/>
        <v>0</v>
      </c>
      <c r="BN346" s="2897">
        <f t="shared" si="225"/>
        <v>0</v>
      </c>
      <c r="BO346" s="2897">
        <f t="shared" si="226"/>
        <v>0</v>
      </c>
      <c r="BP346" s="2897">
        <f t="shared" si="227"/>
        <v>0</v>
      </c>
      <c r="BQ346" s="2897">
        <f t="shared" si="228"/>
        <v>0</v>
      </c>
      <c r="BR346" s="2897">
        <f t="shared" si="229"/>
        <v>0</v>
      </c>
      <c r="BS346" s="2897">
        <f t="shared" si="230"/>
        <v>0</v>
      </c>
      <c r="BT346" s="2971">
        <f t="shared" si="231"/>
        <v>0</v>
      </c>
    </row>
    <row r="347" spans="1:72">
      <c r="A347" s="2894"/>
      <c r="B347" s="2895"/>
      <c r="C347" s="2895"/>
      <c r="D347" s="2907"/>
      <c r="E347" s="2897">
        <f t="shared" si="232"/>
        <v>0</v>
      </c>
      <c r="F347" s="2898"/>
      <c r="G347" s="2899">
        <f t="shared" si="207"/>
        <v>0</v>
      </c>
      <c r="H347" s="2900">
        <f t="shared" si="208"/>
        <v>0</v>
      </c>
      <c r="I347" s="2918"/>
      <c r="J347" s="2918"/>
      <c r="K347" s="2918"/>
      <c r="L347" s="2918"/>
      <c r="M347" s="2918"/>
      <c r="N347" s="2918"/>
      <c r="O347" s="2918"/>
      <c r="P347" s="2918"/>
      <c r="Q347" s="2918"/>
      <c r="R347" s="2918"/>
      <c r="S347" s="2918"/>
      <c r="T347" s="2918"/>
      <c r="U347" s="2918"/>
      <c r="V347" s="2918"/>
      <c r="W347" s="2918"/>
      <c r="X347" s="2918"/>
      <c r="Y347" s="2918"/>
      <c r="Z347" s="2918"/>
      <c r="AA347" s="2918"/>
      <c r="AB347" s="2918"/>
      <c r="AC347" s="2897">
        <f t="shared" si="209"/>
        <v>0</v>
      </c>
      <c r="AD347" s="2929"/>
      <c r="AE347" s="2929"/>
      <c r="AF347" s="2929"/>
      <c r="AG347" s="2929"/>
      <c r="AH347" s="2929"/>
      <c r="AI347" s="2929"/>
      <c r="AJ347" s="2929"/>
      <c r="AK347" s="2929"/>
      <c r="AL347" s="2929"/>
      <c r="AM347" s="2929"/>
      <c r="AN347" s="2929"/>
      <c r="AO347" s="2929"/>
      <c r="AP347" s="2929"/>
      <c r="AQ347" s="2929"/>
      <c r="AR347" s="2929"/>
      <c r="AS347" s="2929"/>
      <c r="AT347" s="2949"/>
      <c r="AU347" s="2950"/>
      <c r="AV347" s="454">
        <f t="shared" si="233"/>
        <v>0</v>
      </c>
      <c r="AW347" s="454">
        <f t="shared" si="234"/>
        <v>0</v>
      </c>
      <c r="AX347" s="454">
        <f t="shared" si="235"/>
        <v>0</v>
      </c>
      <c r="AY347" s="2966">
        <f t="shared" si="210"/>
        <v>0</v>
      </c>
      <c r="AZ347" s="2897">
        <f t="shared" si="211"/>
        <v>0</v>
      </c>
      <c r="BA347" s="2897">
        <f t="shared" si="212"/>
        <v>0</v>
      </c>
      <c r="BB347" s="2897">
        <f t="shared" si="213"/>
        <v>0</v>
      </c>
      <c r="BC347" s="2897">
        <f t="shared" si="214"/>
        <v>0</v>
      </c>
      <c r="BD347" s="2897">
        <f t="shared" si="215"/>
        <v>0</v>
      </c>
      <c r="BE347" s="2897">
        <f t="shared" si="216"/>
        <v>0</v>
      </c>
      <c r="BF347" s="2897">
        <f t="shared" si="217"/>
        <v>0</v>
      </c>
      <c r="BG347" s="2897">
        <f t="shared" si="218"/>
        <v>0</v>
      </c>
      <c r="BH347" s="2897">
        <f t="shared" si="219"/>
        <v>0</v>
      </c>
      <c r="BI347" s="2897">
        <f t="shared" si="220"/>
        <v>0</v>
      </c>
      <c r="BJ347" s="2897">
        <f t="shared" si="221"/>
        <v>0</v>
      </c>
      <c r="BK347" s="2897">
        <f t="shared" si="222"/>
        <v>0</v>
      </c>
      <c r="BL347" s="2897">
        <f t="shared" si="223"/>
        <v>0</v>
      </c>
      <c r="BM347" s="2897">
        <f t="shared" si="224"/>
        <v>0</v>
      </c>
      <c r="BN347" s="2897">
        <f t="shared" si="225"/>
        <v>0</v>
      </c>
      <c r="BO347" s="2897">
        <f t="shared" si="226"/>
        <v>0</v>
      </c>
      <c r="BP347" s="2897">
        <f t="shared" si="227"/>
        <v>0</v>
      </c>
      <c r="BQ347" s="2897">
        <f t="shared" si="228"/>
        <v>0</v>
      </c>
      <c r="BR347" s="2897">
        <f t="shared" si="229"/>
        <v>0</v>
      </c>
      <c r="BS347" s="2897">
        <f t="shared" si="230"/>
        <v>0</v>
      </c>
      <c r="BT347" s="2971">
        <f t="shared" si="231"/>
        <v>0</v>
      </c>
    </row>
    <row r="348" spans="1:72">
      <c r="A348" s="2894"/>
      <c r="B348" s="2895"/>
      <c r="C348" s="2895"/>
      <c r="D348" s="2907"/>
      <c r="E348" s="2897">
        <f t="shared" si="232"/>
        <v>0</v>
      </c>
      <c r="F348" s="2898"/>
      <c r="G348" s="2899">
        <f t="shared" si="207"/>
        <v>0</v>
      </c>
      <c r="H348" s="2900">
        <f t="shared" si="208"/>
        <v>0</v>
      </c>
      <c r="I348" s="2918"/>
      <c r="J348" s="2918"/>
      <c r="K348" s="2918"/>
      <c r="L348" s="2918"/>
      <c r="M348" s="2918"/>
      <c r="N348" s="2918"/>
      <c r="O348" s="2918"/>
      <c r="P348" s="2918"/>
      <c r="Q348" s="2918"/>
      <c r="R348" s="2918"/>
      <c r="S348" s="2918"/>
      <c r="T348" s="2918"/>
      <c r="U348" s="2918"/>
      <c r="V348" s="2918"/>
      <c r="W348" s="2918"/>
      <c r="X348" s="2918"/>
      <c r="Y348" s="2918"/>
      <c r="Z348" s="2918"/>
      <c r="AA348" s="2918"/>
      <c r="AB348" s="2918"/>
      <c r="AC348" s="2897">
        <f t="shared" si="209"/>
        <v>0</v>
      </c>
      <c r="AD348" s="2929"/>
      <c r="AE348" s="2929"/>
      <c r="AF348" s="2929"/>
      <c r="AG348" s="2929"/>
      <c r="AH348" s="2929"/>
      <c r="AI348" s="2929"/>
      <c r="AJ348" s="2929"/>
      <c r="AK348" s="2929"/>
      <c r="AL348" s="2929"/>
      <c r="AM348" s="2929"/>
      <c r="AN348" s="2929"/>
      <c r="AO348" s="2929"/>
      <c r="AP348" s="2929"/>
      <c r="AQ348" s="2929"/>
      <c r="AR348" s="2929"/>
      <c r="AS348" s="2929"/>
      <c r="AT348" s="2949"/>
      <c r="AU348" s="2950"/>
      <c r="AV348" s="454">
        <f t="shared" si="233"/>
        <v>0</v>
      </c>
      <c r="AW348" s="454">
        <f t="shared" si="234"/>
        <v>0</v>
      </c>
      <c r="AX348" s="454">
        <f t="shared" si="235"/>
        <v>0</v>
      </c>
      <c r="AY348" s="2966">
        <f t="shared" si="210"/>
        <v>0</v>
      </c>
      <c r="AZ348" s="2897">
        <f t="shared" si="211"/>
        <v>0</v>
      </c>
      <c r="BA348" s="2897">
        <f t="shared" si="212"/>
        <v>0</v>
      </c>
      <c r="BB348" s="2897">
        <f t="shared" si="213"/>
        <v>0</v>
      </c>
      <c r="BC348" s="2897">
        <f t="shared" si="214"/>
        <v>0</v>
      </c>
      <c r="BD348" s="2897">
        <f t="shared" si="215"/>
        <v>0</v>
      </c>
      <c r="BE348" s="2897">
        <f t="shared" si="216"/>
        <v>0</v>
      </c>
      <c r="BF348" s="2897">
        <f t="shared" si="217"/>
        <v>0</v>
      </c>
      <c r="BG348" s="2897">
        <f t="shared" si="218"/>
        <v>0</v>
      </c>
      <c r="BH348" s="2897">
        <f t="shared" si="219"/>
        <v>0</v>
      </c>
      <c r="BI348" s="2897">
        <f t="shared" si="220"/>
        <v>0</v>
      </c>
      <c r="BJ348" s="2897">
        <f t="shared" si="221"/>
        <v>0</v>
      </c>
      <c r="BK348" s="2897">
        <f t="shared" si="222"/>
        <v>0</v>
      </c>
      <c r="BL348" s="2897">
        <f t="shared" si="223"/>
        <v>0</v>
      </c>
      <c r="BM348" s="2897">
        <f t="shared" si="224"/>
        <v>0</v>
      </c>
      <c r="BN348" s="2897">
        <f t="shared" si="225"/>
        <v>0</v>
      </c>
      <c r="BO348" s="2897">
        <f t="shared" si="226"/>
        <v>0</v>
      </c>
      <c r="BP348" s="2897">
        <f t="shared" si="227"/>
        <v>0</v>
      </c>
      <c r="BQ348" s="2897">
        <f t="shared" si="228"/>
        <v>0</v>
      </c>
      <c r="BR348" s="2897">
        <f t="shared" si="229"/>
        <v>0</v>
      </c>
      <c r="BS348" s="2897">
        <f t="shared" si="230"/>
        <v>0</v>
      </c>
      <c r="BT348" s="2971">
        <f t="shared" si="231"/>
        <v>0</v>
      </c>
    </row>
    <row r="349" spans="1:72">
      <c r="A349" s="2894"/>
      <c r="B349" s="2895"/>
      <c r="C349" s="2895"/>
      <c r="D349" s="2907"/>
      <c r="E349" s="2897">
        <f t="shared" si="232"/>
        <v>0</v>
      </c>
      <c r="F349" s="2898"/>
      <c r="G349" s="2899">
        <f t="shared" si="207"/>
        <v>0</v>
      </c>
      <c r="H349" s="2900">
        <f t="shared" si="208"/>
        <v>0</v>
      </c>
      <c r="I349" s="2918"/>
      <c r="J349" s="2918"/>
      <c r="K349" s="2918"/>
      <c r="L349" s="2918"/>
      <c r="M349" s="2918"/>
      <c r="N349" s="2918"/>
      <c r="O349" s="2918"/>
      <c r="P349" s="2918"/>
      <c r="Q349" s="2918"/>
      <c r="R349" s="2918"/>
      <c r="S349" s="2918"/>
      <c r="T349" s="2918"/>
      <c r="U349" s="2918"/>
      <c r="V349" s="2918"/>
      <c r="W349" s="2918"/>
      <c r="X349" s="2918"/>
      <c r="Y349" s="2918"/>
      <c r="Z349" s="2918"/>
      <c r="AA349" s="2918"/>
      <c r="AB349" s="2918"/>
      <c r="AC349" s="2897">
        <f t="shared" si="209"/>
        <v>0</v>
      </c>
      <c r="AD349" s="2929"/>
      <c r="AE349" s="2929"/>
      <c r="AF349" s="2929"/>
      <c r="AG349" s="2929"/>
      <c r="AH349" s="2929"/>
      <c r="AI349" s="2929"/>
      <c r="AJ349" s="2929"/>
      <c r="AK349" s="2929"/>
      <c r="AL349" s="2929"/>
      <c r="AM349" s="2929"/>
      <c r="AN349" s="2929"/>
      <c r="AO349" s="2929"/>
      <c r="AP349" s="2929"/>
      <c r="AQ349" s="2929"/>
      <c r="AR349" s="2929"/>
      <c r="AS349" s="2929"/>
      <c r="AT349" s="2949"/>
      <c r="AU349" s="2950"/>
      <c r="AV349" s="454">
        <f t="shared" si="233"/>
        <v>0</v>
      </c>
      <c r="AW349" s="454">
        <f t="shared" si="234"/>
        <v>0</v>
      </c>
      <c r="AX349" s="454">
        <f t="shared" si="235"/>
        <v>0</v>
      </c>
      <c r="AY349" s="2966">
        <f t="shared" si="210"/>
        <v>0</v>
      </c>
      <c r="AZ349" s="2897">
        <f t="shared" si="211"/>
        <v>0</v>
      </c>
      <c r="BA349" s="2897">
        <f t="shared" si="212"/>
        <v>0</v>
      </c>
      <c r="BB349" s="2897">
        <f t="shared" si="213"/>
        <v>0</v>
      </c>
      <c r="BC349" s="2897">
        <f t="shared" si="214"/>
        <v>0</v>
      </c>
      <c r="BD349" s="2897">
        <f t="shared" si="215"/>
        <v>0</v>
      </c>
      <c r="BE349" s="2897">
        <f t="shared" si="216"/>
        <v>0</v>
      </c>
      <c r="BF349" s="2897">
        <f t="shared" si="217"/>
        <v>0</v>
      </c>
      <c r="BG349" s="2897">
        <f t="shared" si="218"/>
        <v>0</v>
      </c>
      <c r="BH349" s="2897">
        <f t="shared" si="219"/>
        <v>0</v>
      </c>
      <c r="BI349" s="2897">
        <f t="shared" si="220"/>
        <v>0</v>
      </c>
      <c r="BJ349" s="2897">
        <f t="shared" si="221"/>
        <v>0</v>
      </c>
      <c r="BK349" s="2897">
        <f t="shared" si="222"/>
        <v>0</v>
      </c>
      <c r="BL349" s="2897">
        <f t="shared" si="223"/>
        <v>0</v>
      </c>
      <c r="BM349" s="2897">
        <f t="shared" si="224"/>
        <v>0</v>
      </c>
      <c r="BN349" s="2897">
        <f t="shared" si="225"/>
        <v>0</v>
      </c>
      <c r="BO349" s="2897">
        <f t="shared" si="226"/>
        <v>0</v>
      </c>
      <c r="BP349" s="2897">
        <f t="shared" si="227"/>
        <v>0</v>
      </c>
      <c r="BQ349" s="2897">
        <f t="shared" si="228"/>
        <v>0</v>
      </c>
      <c r="BR349" s="2897">
        <f t="shared" si="229"/>
        <v>0</v>
      </c>
      <c r="BS349" s="2897">
        <f t="shared" si="230"/>
        <v>0</v>
      </c>
      <c r="BT349" s="2971">
        <f t="shared" si="231"/>
        <v>0</v>
      </c>
    </row>
    <row r="350" spans="1:72">
      <c r="A350" s="2894"/>
      <c r="B350" s="2895"/>
      <c r="C350" s="2895"/>
      <c r="D350" s="2907"/>
      <c r="E350" s="2897">
        <f t="shared" si="232"/>
        <v>0</v>
      </c>
      <c r="F350" s="2898"/>
      <c r="G350" s="2899">
        <f t="shared" si="207"/>
        <v>0</v>
      </c>
      <c r="H350" s="2900">
        <f t="shared" si="208"/>
        <v>0</v>
      </c>
      <c r="I350" s="2918"/>
      <c r="J350" s="2918"/>
      <c r="K350" s="2918"/>
      <c r="L350" s="2918"/>
      <c r="M350" s="2918"/>
      <c r="N350" s="2918"/>
      <c r="O350" s="2918"/>
      <c r="P350" s="2918"/>
      <c r="Q350" s="2918"/>
      <c r="R350" s="2918"/>
      <c r="S350" s="2918"/>
      <c r="T350" s="2918"/>
      <c r="U350" s="2918"/>
      <c r="V350" s="2918"/>
      <c r="W350" s="2918"/>
      <c r="X350" s="2918"/>
      <c r="Y350" s="2918"/>
      <c r="Z350" s="2918"/>
      <c r="AA350" s="2918"/>
      <c r="AB350" s="2918"/>
      <c r="AC350" s="2897">
        <f t="shared" si="209"/>
        <v>0</v>
      </c>
      <c r="AD350" s="2929"/>
      <c r="AE350" s="2929"/>
      <c r="AF350" s="2929"/>
      <c r="AG350" s="2929"/>
      <c r="AH350" s="2929"/>
      <c r="AI350" s="2929"/>
      <c r="AJ350" s="2929"/>
      <c r="AK350" s="2929"/>
      <c r="AL350" s="2929"/>
      <c r="AM350" s="2929"/>
      <c r="AN350" s="2929"/>
      <c r="AO350" s="2929"/>
      <c r="AP350" s="2929"/>
      <c r="AQ350" s="2929"/>
      <c r="AR350" s="2929"/>
      <c r="AS350" s="2929"/>
      <c r="AT350" s="2949"/>
      <c r="AU350" s="2950"/>
      <c r="AV350" s="454">
        <f t="shared" si="233"/>
        <v>0</v>
      </c>
      <c r="AW350" s="454">
        <f t="shared" si="234"/>
        <v>0</v>
      </c>
      <c r="AX350" s="454">
        <f t="shared" si="235"/>
        <v>0</v>
      </c>
      <c r="AY350" s="2966">
        <f t="shared" si="210"/>
        <v>0</v>
      </c>
      <c r="AZ350" s="2897">
        <f t="shared" si="211"/>
        <v>0</v>
      </c>
      <c r="BA350" s="2897">
        <f t="shared" si="212"/>
        <v>0</v>
      </c>
      <c r="BB350" s="2897">
        <f t="shared" si="213"/>
        <v>0</v>
      </c>
      <c r="BC350" s="2897">
        <f t="shared" si="214"/>
        <v>0</v>
      </c>
      <c r="BD350" s="2897">
        <f t="shared" si="215"/>
        <v>0</v>
      </c>
      <c r="BE350" s="2897">
        <f t="shared" si="216"/>
        <v>0</v>
      </c>
      <c r="BF350" s="2897">
        <f t="shared" si="217"/>
        <v>0</v>
      </c>
      <c r="BG350" s="2897">
        <f t="shared" si="218"/>
        <v>0</v>
      </c>
      <c r="BH350" s="2897">
        <f t="shared" si="219"/>
        <v>0</v>
      </c>
      <c r="BI350" s="2897">
        <f t="shared" si="220"/>
        <v>0</v>
      </c>
      <c r="BJ350" s="2897">
        <f t="shared" si="221"/>
        <v>0</v>
      </c>
      <c r="BK350" s="2897">
        <f t="shared" si="222"/>
        <v>0</v>
      </c>
      <c r="BL350" s="2897">
        <f t="shared" si="223"/>
        <v>0</v>
      </c>
      <c r="BM350" s="2897">
        <f t="shared" si="224"/>
        <v>0</v>
      </c>
      <c r="BN350" s="2897">
        <f t="shared" si="225"/>
        <v>0</v>
      </c>
      <c r="BO350" s="2897">
        <f t="shared" si="226"/>
        <v>0</v>
      </c>
      <c r="BP350" s="2897">
        <f t="shared" si="227"/>
        <v>0</v>
      </c>
      <c r="BQ350" s="2897">
        <f t="shared" si="228"/>
        <v>0</v>
      </c>
      <c r="BR350" s="2897">
        <f t="shared" si="229"/>
        <v>0</v>
      </c>
      <c r="BS350" s="2897">
        <f t="shared" si="230"/>
        <v>0</v>
      </c>
      <c r="BT350" s="2971">
        <f t="shared" si="231"/>
        <v>0</v>
      </c>
    </row>
    <row r="351" spans="1:72">
      <c r="A351" s="2894"/>
      <c r="B351" s="2895"/>
      <c r="C351" s="2895"/>
      <c r="D351" s="2907"/>
      <c r="E351" s="2897">
        <f t="shared" si="232"/>
        <v>0</v>
      </c>
      <c r="F351" s="2898"/>
      <c r="G351" s="2899">
        <f t="shared" si="207"/>
        <v>0</v>
      </c>
      <c r="H351" s="2900">
        <f t="shared" si="208"/>
        <v>0</v>
      </c>
      <c r="I351" s="2918"/>
      <c r="J351" s="2918"/>
      <c r="K351" s="2918"/>
      <c r="L351" s="2918"/>
      <c r="M351" s="2918"/>
      <c r="N351" s="2918"/>
      <c r="O351" s="2918"/>
      <c r="P351" s="2918"/>
      <c r="Q351" s="2918"/>
      <c r="R351" s="2918"/>
      <c r="S351" s="2918"/>
      <c r="T351" s="2918"/>
      <c r="U351" s="2918"/>
      <c r="V351" s="2918"/>
      <c r="W351" s="2918"/>
      <c r="X351" s="2918"/>
      <c r="Y351" s="2918"/>
      <c r="Z351" s="2918"/>
      <c r="AA351" s="2918"/>
      <c r="AB351" s="2918"/>
      <c r="AC351" s="2897">
        <f t="shared" si="209"/>
        <v>0</v>
      </c>
      <c r="AD351" s="2929"/>
      <c r="AE351" s="2929"/>
      <c r="AF351" s="2929"/>
      <c r="AG351" s="2929"/>
      <c r="AH351" s="2929"/>
      <c r="AI351" s="2929"/>
      <c r="AJ351" s="2929"/>
      <c r="AK351" s="2929"/>
      <c r="AL351" s="2929"/>
      <c r="AM351" s="2929"/>
      <c r="AN351" s="2929"/>
      <c r="AO351" s="2929"/>
      <c r="AP351" s="2929"/>
      <c r="AQ351" s="2929"/>
      <c r="AR351" s="2929"/>
      <c r="AS351" s="2929"/>
      <c r="AT351" s="2949"/>
      <c r="AU351" s="2950"/>
      <c r="AV351" s="454">
        <f t="shared" si="233"/>
        <v>0</v>
      </c>
      <c r="AW351" s="454">
        <f t="shared" si="234"/>
        <v>0</v>
      </c>
      <c r="AX351" s="454">
        <f t="shared" si="235"/>
        <v>0</v>
      </c>
      <c r="AY351" s="2966">
        <f t="shared" si="210"/>
        <v>0</v>
      </c>
      <c r="AZ351" s="2897">
        <f t="shared" si="211"/>
        <v>0</v>
      </c>
      <c r="BA351" s="2897">
        <f t="shared" si="212"/>
        <v>0</v>
      </c>
      <c r="BB351" s="2897">
        <f t="shared" si="213"/>
        <v>0</v>
      </c>
      <c r="BC351" s="2897">
        <f t="shared" si="214"/>
        <v>0</v>
      </c>
      <c r="BD351" s="2897">
        <f t="shared" si="215"/>
        <v>0</v>
      </c>
      <c r="BE351" s="2897">
        <f t="shared" si="216"/>
        <v>0</v>
      </c>
      <c r="BF351" s="2897">
        <f t="shared" si="217"/>
        <v>0</v>
      </c>
      <c r="BG351" s="2897">
        <f t="shared" si="218"/>
        <v>0</v>
      </c>
      <c r="BH351" s="2897">
        <f t="shared" si="219"/>
        <v>0</v>
      </c>
      <c r="BI351" s="2897">
        <f t="shared" si="220"/>
        <v>0</v>
      </c>
      <c r="BJ351" s="2897">
        <f t="shared" si="221"/>
        <v>0</v>
      </c>
      <c r="BK351" s="2897">
        <f t="shared" si="222"/>
        <v>0</v>
      </c>
      <c r="BL351" s="2897">
        <f t="shared" si="223"/>
        <v>0</v>
      </c>
      <c r="BM351" s="2897">
        <f t="shared" si="224"/>
        <v>0</v>
      </c>
      <c r="BN351" s="2897">
        <f t="shared" si="225"/>
        <v>0</v>
      </c>
      <c r="BO351" s="2897">
        <f t="shared" si="226"/>
        <v>0</v>
      </c>
      <c r="BP351" s="2897">
        <f t="shared" si="227"/>
        <v>0</v>
      </c>
      <c r="BQ351" s="2897">
        <f t="shared" si="228"/>
        <v>0</v>
      </c>
      <c r="BR351" s="2897">
        <f t="shared" si="229"/>
        <v>0</v>
      </c>
      <c r="BS351" s="2897">
        <f t="shared" si="230"/>
        <v>0</v>
      </c>
      <c r="BT351" s="2971">
        <f t="shared" si="231"/>
        <v>0</v>
      </c>
    </row>
    <row r="352" spans="1:72">
      <c r="A352" s="2894"/>
      <c r="B352" s="2895"/>
      <c r="C352" s="2895"/>
      <c r="D352" s="2907"/>
      <c r="E352" s="2897">
        <f t="shared" si="232"/>
        <v>0</v>
      </c>
      <c r="F352" s="2898"/>
      <c r="G352" s="2899">
        <f t="shared" si="207"/>
        <v>0</v>
      </c>
      <c r="H352" s="2900">
        <f t="shared" si="208"/>
        <v>0</v>
      </c>
      <c r="I352" s="2918"/>
      <c r="J352" s="2918"/>
      <c r="K352" s="2918"/>
      <c r="L352" s="2918"/>
      <c r="M352" s="2918"/>
      <c r="N352" s="2918"/>
      <c r="O352" s="2918"/>
      <c r="P352" s="2918"/>
      <c r="Q352" s="2918"/>
      <c r="R352" s="2918"/>
      <c r="S352" s="2918"/>
      <c r="T352" s="2918"/>
      <c r="U352" s="2918"/>
      <c r="V352" s="2918"/>
      <c r="W352" s="2918"/>
      <c r="X352" s="2918"/>
      <c r="Y352" s="2918"/>
      <c r="Z352" s="2918"/>
      <c r="AA352" s="2918"/>
      <c r="AB352" s="2918"/>
      <c r="AC352" s="2897">
        <f t="shared" si="209"/>
        <v>0</v>
      </c>
      <c r="AD352" s="2929"/>
      <c r="AE352" s="2929"/>
      <c r="AF352" s="2929"/>
      <c r="AG352" s="2929"/>
      <c r="AH352" s="2929"/>
      <c r="AI352" s="2929"/>
      <c r="AJ352" s="2929"/>
      <c r="AK352" s="2929"/>
      <c r="AL352" s="2929"/>
      <c r="AM352" s="2929"/>
      <c r="AN352" s="2929"/>
      <c r="AO352" s="2929"/>
      <c r="AP352" s="2929"/>
      <c r="AQ352" s="2929"/>
      <c r="AR352" s="2929"/>
      <c r="AS352" s="2929"/>
      <c r="AT352" s="2949"/>
      <c r="AU352" s="2950"/>
      <c r="AV352" s="454">
        <f t="shared" si="233"/>
        <v>0</v>
      </c>
      <c r="AW352" s="454">
        <f t="shared" si="234"/>
        <v>0</v>
      </c>
      <c r="AX352" s="454">
        <f t="shared" si="235"/>
        <v>0</v>
      </c>
      <c r="AY352" s="2966">
        <f t="shared" si="210"/>
        <v>0</v>
      </c>
      <c r="AZ352" s="2897">
        <f t="shared" si="211"/>
        <v>0</v>
      </c>
      <c r="BA352" s="2897">
        <f t="shared" si="212"/>
        <v>0</v>
      </c>
      <c r="BB352" s="2897">
        <f t="shared" si="213"/>
        <v>0</v>
      </c>
      <c r="BC352" s="2897">
        <f t="shared" si="214"/>
        <v>0</v>
      </c>
      <c r="BD352" s="2897">
        <f t="shared" si="215"/>
        <v>0</v>
      </c>
      <c r="BE352" s="2897">
        <f t="shared" si="216"/>
        <v>0</v>
      </c>
      <c r="BF352" s="2897">
        <f t="shared" si="217"/>
        <v>0</v>
      </c>
      <c r="BG352" s="2897">
        <f t="shared" si="218"/>
        <v>0</v>
      </c>
      <c r="BH352" s="2897">
        <f t="shared" si="219"/>
        <v>0</v>
      </c>
      <c r="BI352" s="2897">
        <f t="shared" si="220"/>
        <v>0</v>
      </c>
      <c r="BJ352" s="2897">
        <f t="shared" si="221"/>
        <v>0</v>
      </c>
      <c r="BK352" s="2897">
        <f t="shared" si="222"/>
        <v>0</v>
      </c>
      <c r="BL352" s="2897">
        <f t="shared" si="223"/>
        <v>0</v>
      </c>
      <c r="BM352" s="2897">
        <f t="shared" si="224"/>
        <v>0</v>
      </c>
      <c r="BN352" s="2897">
        <f t="shared" si="225"/>
        <v>0</v>
      </c>
      <c r="BO352" s="2897">
        <f t="shared" si="226"/>
        <v>0</v>
      </c>
      <c r="BP352" s="2897">
        <f t="shared" si="227"/>
        <v>0</v>
      </c>
      <c r="BQ352" s="2897">
        <f t="shared" si="228"/>
        <v>0</v>
      </c>
      <c r="BR352" s="2897">
        <f t="shared" si="229"/>
        <v>0</v>
      </c>
      <c r="BS352" s="2897">
        <f t="shared" si="230"/>
        <v>0</v>
      </c>
      <c r="BT352" s="2971">
        <f t="shared" si="231"/>
        <v>0</v>
      </c>
    </row>
    <row r="353" spans="1:72">
      <c r="A353" s="2894"/>
      <c r="B353" s="2895"/>
      <c r="C353" s="2895"/>
      <c r="D353" s="2907"/>
      <c r="E353" s="2897">
        <f t="shared" si="232"/>
        <v>0</v>
      </c>
      <c r="F353" s="2898"/>
      <c r="G353" s="2899">
        <f t="shared" si="207"/>
        <v>0</v>
      </c>
      <c r="H353" s="2900">
        <f t="shared" si="208"/>
        <v>0</v>
      </c>
      <c r="I353" s="2918"/>
      <c r="J353" s="2918"/>
      <c r="K353" s="2918"/>
      <c r="L353" s="2918"/>
      <c r="M353" s="2918"/>
      <c r="N353" s="2918"/>
      <c r="O353" s="2918"/>
      <c r="P353" s="2918"/>
      <c r="Q353" s="2918"/>
      <c r="R353" s="2918"/>
      <c r="S353" s="2918"/>
      <c r="T353" s="2918"/>
      <c r="U353" s="2918"/>
      <c r="V353" s="2918"/>
      <c r="W353" s="2918"/>
      <c r="X353" s="2918"/>
      <c r="Y353" s="2918"/>
      <c r="Z353" s="2918"/>
      <c r="AA353" s="2918"/>
      <c r="AB353" s="2918"/>
      <c r="AC353" s="2897">
        <f t="shared" si="209"/>
        <v>0</v>
      </c>
      <c r="AD353" s="2929"/>
      <c r="AE353" s="2929"/>
      <c r="AF353" s="2929"/>
      <c r="AG353" s="2929"/>
      <c r="AH353" s="2929"/>
      <c r="AI353" s="2929"/>
      <c r="AJ353" s="2929"/>
      <c r="AK353" s="2929"/>
      <c r="AL353" s="2929"/>
      <c r="AM353" s="2929"/>
      <c r="AN353" s="2929"/>
      <c r="AO353" s="2929"/>
      <c r="AP353" s="2929"/>
      <c r="AQ353" s="2929"/>
      <c r="AR353" s="2929"/>
      <c r="AS353" s="2929"/>
      <c r="AT353" s="2949"/>
      <c r="AU353" s="2950"/>
      <c r="AV353" s="454">
        <f t="shared" si="233"/>
        <v>0</v>
      </c>
      <c r="AW353" s="454">
        <f t="shared" si="234"/>
        <v>0</v>
      </c>
      <c r="AX353" s="454">
        <f t="shared" si="235"/>
        <v>0</v>
      </c>
      <c r="AY353" s="2966">
        <f t="shared" si="210"/>
        <v>0</v>
      </c>
      <c r="AZ353" s="2897">
        <f t="shared" si="211"/>
        <v>0</v>
      </c>
      <c r="BA353" s="2897">
        <f t="shared" si="212"/>
        <v>0</v>
      </c>
      <c r="BB353" s="2897">
        <f t="shared" si="213"/>
        <v>0</v>
      </c>
      <c r="BC353" s="2897">
        <f t="shared" si="214"/>
        <v>0</v>
      </c>
      <c r="BD353" s="2897">
        <f t="shared" si="215"/>
        <v>0</v>
      </c>
      <c r="BE353" s="2897">
        <f t="shared" si="216"/>
        <v>0</v>
      </c>
      <c r="BF353" s="2897">
        <f t="shared" si="217"/>
        <v>0</v>
      </c>
      <c r="BG353" s="2897">
        <f t="shared" si="218"/>
        <v>0</v>
      </c>
      <c r="BH353" s="2897">
        <f t="shared" si="219"/>
        <v>0</v>
      </c>
      <c r="BI353" s="2897">
        <f t="shared" si="220"/>
        <v>0</v>
      </c>
      <c r="BJ353" s="2897">
        <f t="shared" si="221"/>
        <v>0</v>
      </c>
      <c r="BK353" s="2897">
        <f t="shared" si="222"/>
        <v>0</v>
      </c>
      <c r="BL353" s="2897">
        <f t="shared" si="223"/>
        <v>0</v>
      </c>
      <c r="BM353" s="2897">
        <f t="shared" si="224"/>
        <v>0</v>
      </c>
      <c r="BN353" s="2897">
        <f t="shared" si="225"/>
        <v>0</v>
      </c>
      <c r="BO353" s="2897">
        <f t="shared" si="226"/>
        <v>0</v>
      </c>
      <c r="BP353" s="2897">
        <f t="shared" si="227"/>
        <v>0</v>
      </c>
      <c r="BQ353" s="2897">
        <f t="shared" si="228"/>
        <v>0</v>
      </c>
      <c r="BR353" s="2897">
        <f t="shared" si="229"/>
        <v>0</v>
      </c>
      <c r="BS353" s="2897">
        <f t="shared" si="230"/>
        <v>0</v>
      </c>
      <c r="BT353" s="2971">
        <f t="shared" si="231"/>
        <v>0</v>
      </c>
    </row>
    <row r="354" spans="1:72">
      <c r="A354" s="2894"/>
      <c r="B354" s="2895"/>
      <c r="C354" s="2895"/>
      <c r="D354" s="2907"/>
      <c r="E354" s="2897">
        <f t="shared" si="232"/>
        <v>0</v>
      </c>
      <c r="F354" s="2898"/>
      <c r="G354" s="2899">
        <f t="shared" si="207"/>
        <v>0</v>
      </c>
      <c r="H354" s="2900">
        <f t="shared" si="208"/>
        <v>0</v>
      </c>
      <c r="I354" s="2918"/>
      <c r="J354" s="2918"/>
      <c r="K354" s="2918"/>
      <c r="L354" s="2918"/>
      <c r="M354" s="2918"/>
      <c r="N354" s="2918"/>
      <c r="O354" s="2918"/>
      <c r="P354" s="2918"/>
      <c r="Q354" s="2918"/>
      <c r="R354" s="2918"/>
      <c r="S354" s="2918"/>
      <c r="T354" s="2918"/>
      <c r="U354" s="2918"/>
      <c r="V354" s="2918"/>
      <c r="W354" s="2918"/>
      <c r="X354" s="2918"/>
      <c r="Y354" s="2918"/>
      <c r="Z354" s="2918"/>
      <c r="AA354" s="2918"/>
      <c r="AB354" s="2918"/>
      <c r="AC354" s="2897">
        <f t="shared" si="209"/>
        <v>0</v>
      </c>
      <c r="AD354" s="2929"/>
      <c r="AE354" s="2929"/>
      <c r="AF354" s="2929"/>
      <c r="AG354" s="2929"/>
      <c r="AH354" s="2929"/>
      <c r="AI354" s="2929"/>
      <c r="AJ354" s="2929"/>
      <c r="AK354" s="2929"/>
      <c r="AL354" s="2929"/>
      <c r="AM354" s="2929"/>
      <c r="AN354" s="2929"/>
      <c r="AO354" s="2929"/>
      <c r="AP354" s="2929"/>
      <c r="AQ354" s="2929"/>
      <c r="AR354" s="2929"/>
      <c r="AS354" s="2929"/>
      <c r="AT354" s="2949"/>
      <c r="AU354" s="2950"/>
      <c r="AV354" s="454">
        <f t="shared" si="233"/>
        <v>0</v>
      </c>
      <c r="AW354" s="454">
        <f t="shared" si="234"/>
        <v>0</v>
      </c>
      <c r="AX354" s="454">
        <f t="shared" si="235"/>
        <v>0</v>
      </c>
      <c r="AY354" s="2966">
        <f t="shared" si="210"/>
        <v>0</v>
      </c>
      <c r="AZ354" s="2897">
        <f t="shared" si="211"/>
        <v>0</v>
      </c>
      <c r="BA354" s="2897">
        <f t="shared" si="212"/>
        <v>0</v>
      </c>
      <c r="BB354" s="2897">
        <f t="shared" si="213"/>
        <v>0</v>
      </c>
      <c r="BC354" s="2897">
        <f t="shared" si="214"/>
        <v>0</v>
      </c>
      <c r="BD354" s="2897">
        <f t="shared" si="215"/>
        <v>0</v>
      </c>
      <c r="BE354" s="2897">
        <f t="shared" si="216"/>
        <v>0</v>
      </c>
      <c r="BF354" s="2897">
        <f t="shared" si="217"/>
        <v>0</v>
      </c>
      <c r="BG354" s="2897">
        <f t="shared" si="218"/>
        <v>0</v>
      </c>
      <c r="BH354" s="2897">
        <f t="shared" si="219"/>
        <v>0</v>
      </c>
      <c r="BI354" s="2897">
        <f t="shared" si="220"/>
        <v>0</v>
      </c>
      <c r="BJ354" s="2897">
        <f t="shared" si="221"/>
        <v>0</v>
      </c>
      <c r="BK354" s="2897">
        <f t="shared" si="222"/>
        <v>0</v>
      </c>
      <c r="BL354" s="2897">
        <f t="shared" si="223"/>
        <v>0</v>
      </c>
      <c r="BM354" s="2897">
        <f t="shared" si="224"/>
        <v>0</v>
      </c>
      <c r="BN354" s="2897">
        <f t="shared" si="225"/>
        <v>0</v>
      </c>
      <c r="BO354" s="2897">
        <f t="shared" si="226"/>
        <v>0</v>
      </c>
      <c r="BP354" s="2897">
        <f t="shared" si="227"/>
        <v>0</v>
      </c>
      <c r="BQ354" s="2897">
        <f t="shared" si="228"/>
        <v>0</v>
      </c>
      <c r="BR354" s="2897">
        <f t="shared" si="229"/>
        <v>0</v>
      </c>
      <c r="BS354" s="2897">
        <f t="shared" si="230"/>
        <v>0</v>
      </c>
      <c r="BT354" s="2971">
        <f t="shared" si="231"/>
        <v>0</v>
      </c>
    </row>
    <row r="355" spans="1:72">
      <c r="A355" s="2894"/>
      <c r="B355" s="2895"/>
      <c r="C355" s="2895"/>
      <c r="D355" s="2907"/>
      <c r="E355" s="2897">
        <f t="shared" si="232"/>
        <v>0</v>
      </c>
      <c r="F355" s="2898"/>
      <c r="G355" s="2899">
        <f t="shared" si="207"/>
        <v>0</v>
      </c>
      <c r="H355" s="2900">
        <f t="shared" si="208"/>
        <v>0</v>
      </c>
      <c r="I355" s="2918"/>
      <c r="J355" s="2918"/>
      <c r="K355" s="2918"/>
      <c r="L355" s="2918"/>
      <c r="M355" s="2918"/>
      <c r="N355" s="2918"/>
      <c r="O355" s="2918"/>
      <c r="P355" s="2918"/>
      <c r="Q355" s="2918"/>
      <c r="R355" s="2918"/>
      <c r="S355" s="2918"/>
      <c r="T355" s="2918"/>
      <c r="U355" s="2918"/>
      <c r="V355" s="2918"/>
      <c r="W355" s="2918"/>
      <c r="X355" s="2918"/>
      <c r="Y355" s="2918"/>
      <c r="Z355" s="2918"/>
      <c r="AA355" s="2918"/>
      <c r="AB355" s="2918"/>
      <c r="AC355" s="2897">
        <f t="shared" si="209"/>
        <v>0</v>
      </c>
      <c r="AD355" s="2929"/>
      <c r="AE355" s="2929"/>
      <c r="AF355" s="2929"/>
      <c r="AG355" s="2929"/>
      <c r="AH355" s="2929"/>
      <c r="AI355" s="2929"/>
      <c r="AJ355" s="2929"/>
      <c r="AK355" s="2929"/>
      <c r="AL355" s="2929"/>
      <c r="AM355" s="2929"/>
      <c r="AN355" s="2929"/>
      <c r="AO355" s="2929"/>
      <c r="AP355" s="2929"/>
      <c r="AQ355" s="2929"/>
      <c r="AR355" s="2929"/>
      <c r="AS355" s="2929"/>
      <c r="AT355" s="2949"/>
      <c r="AU355" s="2950"/>
      <c r="AV355" s="454">
        <f t="shared" si="233"/>
        <v>0</v>
      </c>
      <c r="AW355" s="454">
        <f t="shared" si="234"/>
        <v>0</v>
      </c>
      <c r="AX355" s="454">
        <f t="shared" si="235"/>
        <v>0</v>
      </c>
      <c r="AY355" s="2966">
        <f t="shared" si="210"/>
        <v>0</v>
      </c>
      <c r="AZ355" s="2897">
        <f t="shared" si="211"/>
        <v>0</v>
      </c>
      <c r="BA355" s="2897">
        <f t="shared" si="212"/>
        <v>0</v>
      </c>
      <c r="BB355" s="2897">
        <f t="shared" si="213"/>
        <v>0</v>
      </c>
      <c r="BC355" s="2897">
        <f t="shared" si="214"/>
        <v>0</v>
      </c>
      <c r="BD355" s="2897">
        <f t="shared" si="215"/>
        <v>0</v>
      </c>
      <c r="BE355" s="2897">
        <f t="shared" si="216"/>
        <v>0</v>
      </c>
      <c r="BF355" s="2897">
        <f t="shared" si="217"/>
        <v>0</v>
      </c>
      <c r="BG355" s="2897">
        <f t="shared" si="218"/>
        <v>0</v>
      </c>
      <c r="BH355" s="2897">
        <f t="shared" si="219"/>
        <v>0</v>
      </c>
      <c r="BI355" s="2897">
        <f t="shared" si="220"/>
        <v>0</v>
      </c>
      <c r="BJ355" s="2897">
        <f t="shared" si="221"/>
        <v>0</v>
      </c>
      <c r="BK355" s="2897">
        <f t="shared" si="222"/>
        <v>0</v>
      </c>
      <c r="BL355" s="2897">
        <f t="shared" si="223"/>
        <v>0</v>
      </c>
      <c r="BM355" s="2897">
        <f t="shared" si="224"/>
        <v>0</v>
      </c>
      <c r="BN355" s="2897">
        <f t="shared" si="225"/>
        <v>0</v>
      </c>
      <c r="BO355" s="2897">
        <f t="shared" si="226"/>
        <v>0</v>
      </c>
      <c r="BP355" s="2897">
        <f t="shared" si="227"/>
        <v>0</v>
      </c>
      <c r="BQ355" s="2897">
        <f t="shared" si="228"/>
        <v>0</v>
      </c>
      <c r="BR355" s="2897">
        <f t="shared" si="229"/>
        <v>0</v>
      </c>
      <c r="BS355" s="2897">
        <f t="shared" si="230"/>
        <v>0</v>
      </c>
      <c r="BT355" s="2971">
        <f t="shared" si="231"/>
        <v>0</v>
      </c>
    </row>
    <row r="356" spans="1:72">
      <c r="A356" s="2894"/>
      <c r="B356" s="2895"/>
      <c r="C356" s="2895"/>
      <c r="D356" s="2907"/>
      <c r="E356" s="2897">
        <f t="shared" si="232"/>
        <v>0</v>
      </c>
      <c r="F356" s="2898"/>
      <c r="G356" s="2899">
        <f t="shared" si="207"/>
        <v>0</v>
      </c>
      <c r="H356" s="2900">
        <f t="shared" si="208"/>
        <v>0</v>
      </c>
      <c r="I356" s="2918"/>
      <c r="J356" s="2918"/>
      <c r="K356" s="2918"/>
      <c r="L356" s="2918"/>
      <c r="M356" s="2918"/>
      <c r="N356" s="2918"/>
      <c r="O356" s="2918"/>
      <c r="P356" s="2918"/>
      <c r="Q356" s="2918"/>
      <c r="R356" s="2918"/>
      <c r="S356" s="2918"/>
      <c r="T356" s="2918"/>
      <c r="U356" s="2918"/>
      <c r="V356" s="2918"/>
      <c r="W356" s="2918"/>
      <c r="X356" s="2918"/>
      <c r="Y356" s="2918"/>
      <c r="Z356" s="2918"/>
      <c r="AA356" s="2918"/>
      <c r="AB356" s="2918"/>
      <c r="AC356" s="2897">
        <f t="shared" si="209"/>
        <v>0</v>
      </c>
      <c r="AD356" s="2929"/>
      <c r="AE356" s="2929"/>
      <c r="AF356" s="2929"/>
      <c r="AG356" s="2929"/>
      <c r="AH356" s="2929"/>
      <c r="AI356" s="2929"/>
      <c r="AJ356" s="2929"/>
      <c r="AK356" s="2929"/>
      <c r="AL356" s="2929"/>
      <c r="AM356" s="2929"/>
      <c r="AN356" s="2929"/>
      <c r="AO356" s="2929"/>
      <c r="AP356" s="2929"/>
      <c r="AQ356" s="2929"/>
      <c r="AR356" s="2929"/>
      <c r="AS356" s="2929"/>
      <c r="AT356" s="2949"/>
      <c r="AU356" s="2950"/>
      <c r="AV356" s="454">
        <f t="shared" si="233"/>
        <v>0</v>
      </c>
      <c r="AW356" s="454">
        <f t="shared" si="234"/>
        <v>0</v>
      </c>
      <c r="AX356" s="454">
        <f t="shared" si="235"/>
        <v>0</v>
      </c>
      <c r="AY356" s="2966">
        <f t="shared" si="210"/>
        <v>0</v>
      </c>
      <c r="AZ356" s="2897">
        <f t="shared" si="211"/>
        <v>0</v>
      </c>
      <c r="BA356" s="2897">
        <f t="shared" si="212"/>
        <v>0</v>
      </c>
      <c r="BB356" s="2897">
        <f t="shared" si="213"/>
        <v>0</v>
      </c>
      <c r="BC356" s="2897">
        <f t="shared" si="214"/>
        <v>0</v>
      </c>
      <c r="BD356" s="2897">
        <f t="shared" si="215"/>
        <v>0</v>
      </c>
      <c r="BE356" s="2897">
        <f t="shared" si="216"/>
        <v>0</v>
      </c>
      <c r="BF356" s="2897">
        <f t="shared" si="217"/>
        <v>0</v>
      </c>
      <c r="BG356" s="2897">
        <f t="shared" si="218"/>
        <v>0</v>
      </c>
      <c r="BH356" s="2897">
        <f t="shared" si="219"/>
        <v>0</v>
      </c>
      <c r="BI356" s="2897">
        <f t="shared" si="220"/>
        <v>0</v>
      </c>
      <c r="BJ356" s="2897">
        <f t="shared" si="221"/>
        <v>0</v>
      </c>
      <c r="BK356" s="2897">
        <f t="shared" si="222"/>
        <v>0</v>
      </c>
      <c r="BL356" s="2897">
        <f t="shared" si="223"/>
        <v>0</v>
      </c>
      <c r="BM356" s="2897">
        <f t="shared" si="224"/>
        <v>0</v>
      </c>
      <c r="BN356" s="2897">
        <f t="shared" si="225"/>
        <v>0</v>
      </c>
      <c r="BO356" s="2897">
        <f t="shared" si="226"/>
        <v>0</v>
      </c>
      <c r="BP356" s="2897">
        <f t="shared" si="227"/>
        <v>0</v>
      </c>
      <c r="BQ356" s="2897">
        <f t="shared" si="228"/>
        <v>0</v>
      </c>
      <c r="BR356" s="2897">
        <f t="shared" si="229"/>
        <v>0</v>
      </c>
      <c r="BS356" s="2897">
        <f t="shared" si="230"/>
        <v>0</v>
      </c>
      <c r="BT356" s="2971">
        <f t="shared" si="231"/>
        <v>0</v>
      </c>
    </row>
    <row r="357" spans="1:72">
      <c r="A357" s="2894"/>
      <c r="B357" s="2895"/>
      <c r="C357" s="2895"/>
      <c r="D357" s="2907"/>
      <c r="E357" s="2897">
        <f t="shared" si="232"/>
        <v>0</v>
      </c>
      <c r="F357" s="2898"/>
      <c r="G357" s="2899">
        <f t="shared" si="207"/>
        <v>0</v>
      </c>
      <c r="H357" s="2900">
        <f t="shared" si="208"/>
        <v>0</v>
      </c>
      <c r="I357" s="2918"/>
      <c r="J357" s="2918"/>
      <c r="K357" s="2918"/>
      <c r="L357" s="2918"/>
      <c r="M357" s="2918"/>
      <c r="N357" s="2918"/>
      <c r="O357" s="2918"/>
      <c r="P357" s="2918"/>
      <c r="Q357" s="2918"/>
      <c r="R357" s="2918"/>
      <c r="S357" s="2918"/>
      <c r="T357" s="2918"/>
      <c r="U357" s="2918"/>
      <c r="V357" s="2918"/>
      <c r="W357" s="2918"/>
      <c r="X357" s="2918"/>
      <c r="Y357" s="2918"/>
      <c r="Z357" s="2918"/>
      <c r="AA357" s="2918"/>
      <c r="AB357" s="2918"/>
      <c r="AC357" s="2897">
        <f t="shared" si="209"/>
        <v>0</v>
      </c>
      <c r="AD357" s="2929"/>
      <c r="AE357" s="2929"/>
      <c r="AF357" s="2929"/>
      <c r="AG357" s="2929"/>
      <c r="AH357" s="2929"/>
      <c r="AI357" s="2929"/>
      <c r="AJ357" s="2929"/>
      <c r="AK357" s="2929"/>
      <c r="AL357" s="2929"/>
      <c r="AM357" s="2929"/>
      <c r="AN357" s="2929"/>
      <c r="AO357" s="2929"/>
      <c r="AP357" s="2929"/>
      <c r="AQ357" s="2929"/>
      <c r="AR357" s="2929"/>
      <c r="AS357" s="2929"/>
      <c r="AT357" s="2949"/>
      <c r="AU357" s="2950"/>
      <c r="AV357" s="454">
        <f t="shared" si="233"/>
        <v>0</v>
      </c>
      <c r="AW357" s="454">
        <f t="shared" si="234"/>
        <v>0</v>
      </c>
      <c r="AX357" s="454">
        <f t="shared" si="235"/>
        <v>0</v>
      </c>
      <c r="AY357" s="2966">
        <f t="shared" si="210"/>
        <v>0</v>
      </c>
      <c r="AZ357" s="2897">
        <f t="shared" si="211"/>
        <v>0</v>
      </c>
      <c r="BA357" s="2897">
        <f t="shared" si="212"/>
        <v>0</v>
      </c>
      <c r="BB357" s="2897">
        <f t="shared" si="213"/>
        <v>0</v>
      </c>
      <c r="BC357" s="2897">
        <f t="shared" si="214"/>
        <v>0</v>
      </c>
      <c r="BD357" s="2897">
        <f t="shared" si="215"/>
        <v>0</v>
      </c>
      <c r="BE357" s="2897">
        <f t="shared" si="216"/>
        <v>0</v>
      </c>
      <c r="BF357" s="2897">
        <f t="shared" si="217"/>
        <v>0</v>
      </c>
      <c r="BG357" s="2897">
        <f t="shared" si="218"/>
        <v>0</v>
      </c>
      <c r="BH357" s="2897">
        <f t="shared" si="219"/>
        <v>0</v>
      </c>
      <c r="BI357" s="2897">
        <f t="shared" si="220"/>
        <v>0</v>
      </c>
      <c r="BJ357" s="2897">
        <f t="shared" si="221"/>
        <v>0</v>
      </c>
      <c r="BK357" s="2897">
        <f t="shared" si="222"/>
        <v>0</v>
      </c>
      <c r="BL357" s="2897">
        <f t="shared" si="223"/>
        <v>0</v>
      </c>
      <c r="BM357" s="2897">
        <f t="shared" si="224"/>
        <v>0</v>
      </c>
      <c r="BN357" s="2897">
        <f t="shared" si="225"/>
        <v>0</v>
      </c>
      <c r="BO357" s="2897">
        <f t="shared" si="226"/>
        <v>0</v>
      </c>
      <c r="BP357" s="2897">
        <f t="shared" si="227"/>
        <v>0</v>
      </c>
      <c r="BQ357" s="2897">
        <f t="shared" si="228"/>
        <v>0</v>
      </c>
      <c r="BR357" s="2897">
        <f t="shared" si="229"/>
        <v>0</v>
      </c>
      <c r="BS357" s="2897">
        <f t="shared" si="230"/>
        <v>0</v>
      </c>
      <c r="BT357" s="2971">
        <f t="shared" si="231"/>
        <v>0</v>
      </c>
    </row>
    <row r="358" spans="1:72">
      <c r="A358" s="2894"/>
      <c r="B358" s="2895"/>
      <c r="C358" s="2895"/>
      <c r="D358" s="2907"/>
      <c r="E358" s="2897">
        <f t="shared" si="232"/>
        <v>0</v>
      </c>
      <c r="F358" s="2898"/>
      <c r="G358" s="2899">
        <f t="shared" ref="G358:G388" si="236">H358+AC358+AT358</f>
        <v>0</v>
      </c>
      <c r="H358" s="2900">
        <f t="shared" ref="H358:H388" si="237">SUMIF(I$12:AB$12,"总值",I358:AB358)</f>
        <v>0</v>
      </c>
      <c r="I358" s="2918"/>
      <c r="J358" s="2918"/>
      <c r="K358" s="2918"/>
      <c r="L358" s="2918"/>
      <c r="M358" s="2918"/>
      <c r="N358" s="2918"/>
      <c r="O358" s="2918"/>
      <c r="P358" s="2918"/>
      <c r="Q358" s="2918"/>
      <c r="R358" s="2918"/>
      <c r="S358" s="2918"/>
      <c r="T358" s="2918"/>
      <c r="U358" s="2918"/>
      <c r="V358" s="2918"/>
      <c r="W358" s="2918"/>
      <c r="X358" s="2918"/>
      <c r="Y358" s="2918"/>
      <c r="Z358" s="2918"/>
      <c r="AA358" s="2918"/>
      <c r="AB358" s="2918"/>
      <c r="AC358" s="2897">
        <f t="shared" ref="AC358:AC388" si="238">SUMIF(AD$12:AS$12,"总值",AD358:AS358)</f>
        <v>0</v>
      </c>
      <c r="AD358" s="2929"/>
      <c r="AE358" s="2929"/>
      <c r="AF358" s="2929"/>
      <c r="AG358" s="2929"/>
      <c r="AH358" s="2929"/>
      <c r="AI358" s="2929"/>
      <c r="AJ358" s="2929"/>
      <c r="AK358" s="2929"/>
      <c r="AL358" s="2929"/>
      <c r="AM358" s="2929"/>
      <c r="AN358" s="2929"/>
      <c r="AO358" s="2929"/>
      <c r="AP358" s="2929"/>
      <c r="AQ358" s="2929"/>
      <c r="AR358" s="2929"/>
      <c r="AS358" s="2929"/>
      <c r="AT358" s="2949"/>
      <c r="AU358" s="2950"/>
      <c r="AV358" s="454">
        <f t="shared" si="233"/>
        <v>0</v>
      </c>
      <c r="AW358" s="454">
        <f t="shared" si="234"/>
        <v>0</v>
      </c>
      <c r="AX358" s="454">
        <f t="shared" si="235"/>
        <v>0</v>
      </c>
      <c r="AY358" s="2966">
        <f t="shared" ref="AY358:AY388" si="239">ROUND($AY$6*AZ358/$AZ$5,2)</f>
        <v>0</v>
      </c>
      <c r="AZ358" s="2897">
        <f t="shared" ref="AZ358:AZ388" si="240">BA358+BL358</f>
        <v>0</v>
      </c>
      <c r="BA358" s="2897">
        <f t="shared" ref="BA358:BA388" si="241">SUM(BB358:BK358)</f>
        <v>0</v>
      </c>
      <c r="BB358" s="2897">
        <f t="shared" ref="BB358:BB388" si="242">IF($D358="是",I358-J358,0)</f>
        <v>0</v>
      </c>
      <c r="BC358" s="2897">
        <f t="shared" ref="BC358:BC388" si="243">IF($D358="是",K358-L358,0)</f>
        <v>0</v>
      </c>
      <c r="BD358" s="2897">
        <f t="shared" ref="BD358:BD388" si="244">IF($D358="是",M358-N358,0)</f>
        <v>0</v>
      </c>
      <c r="BE358" s="2897">
        <f t="shared" ref="BE358:BE388" si="245">IF($D358="是",O358-P358,0)</f>
        <v>0</v>
      </c>
      <c r="BF358" s="2897">
        <f t="shared" ref="BF358:BF388" si="246">IF($D358="是",Q358-R358,0)</f>
        <v>0</v>
      </c>
      <c r="BG358" s="2897">
        <f t="shared" ref="BG358:BG388" si="247">IF($D358="是",S358-T358,0)</f>
        <v>0</v>
      </c>
      <c r="BH358" s="2897">
        <f t="shared" ref="BH358:BH388" si="248">IF($D358="是",U358-V358,0)</f>
        <v>0</v>
      </c>
      <c r="BI358" s="2897">
        <f t="shared" ref="BI358:BI388" si="249">IF($D358="是",W358-X358,0)</f>
        <v>0</v>
      </c>
      <c r="BJ358" s="2897">
        <f t="shared" ref="BJ358:BJ388" si="250">IF($D358="是",Y358-Z358,0)</f>
        <v>0</v>
      </c>
      <c r="BK358" s="2897">
        <f t="shared" ref="BK358:BK388" si="251">IF($D358="是",AA358-AB358,0)</f>
        <v>0</v>
      </c>
      <c r="BL358" s="2897">
        <f t="shared" ref="BL358:BL388" si="252">SUM(BM358:BT358)</f>
        <v>0</v>
      </c>
      <c r="BM358" s="2897">
        <f t="shared" ref="BM358:BM388" si="253">IF($D358="是",AD358-AE358,0)</f>
        <v>0</v>
      </c>
      <c r="BN358" s="2897">
        <f t="shared" ref="BN358:BN388" si="254">IF($D358="是",AF358-AG358,0)</f>
        <v>0</v>
      </c>
      <c r="BO358" s="2897">
        <f t="shared" ref="BO358:BO388" si="255">IF($D358="是",AH358-AI358,0)</f>
        <v>0</v>
      </c>
      <c r="BP358" s="2897">
        <f t="shared" ref="BP358:BP388" si="256">IF($D358="是",AJ358-AK358,0)</f>
        <v>0</v>
      </c>
      <c r="BQ358" s="2897">
        <f t="shared" ref="BQ358:BQ388" si="257">IF($D358="是",AL358-AM358,0)</f>
        <v>0</v>
      </c>
      <c r="BR358" s="2897">
        <f t="shared" ref="BR358:BR388" si="258">IF($D358="是",AN358-AO358,0)</f>
        <v>0</v>
      </c>
      <c r="BS358" s="2897">
        <f t="shared" ref="BS358:BS388" si="259">IF($D358="是",AP358-AQ358,0)</f>
        <v>0</v>
      </c>
      <c r="BT358" s="2971">
        <f t="shared" ref="BT358:BT388" si="260">IF($D358="是",AR358-AS358,0)</f>
        <v>0</v>
      </c>
    </row>
    <row r="359" spans="1:72">
      <c r="A359" s="2894"/>
      <c r="B359" s="2895"/>
      <c r="C359" s="2895"/>
      <c r="D359" s="2907"/>
      <c r="E359" s="2897">
        <f t="shared" si="232"/>
        <v>0</v>
      </c>
      <c r="F359" s="2898"/>
      <c r="G359" s="2899">
        <f t="shared" si="236"/>
        <v>0</v>
      </c>
      <c r="H359" s="2900">
        <f t="shared" si="237"/>
        <v>0</v>
      </c>
      <c r="I359" s="2918"/>
      <c r="J359" s="2918"/>
      <c r="K359" s="2918"/>
      <c r="L359" s="2918"/>
      <c r="M359" s="2918"/>
      <c r="N359" s="2918"/>
      <c r="O359" s="2918"/>
      <c r="P359" s="2918"/>
      <c r="Q359" s="2918"/>
      <c r="R359" s="2918"/>
      <c r="S359" s="2918"/>
      <c r="T359" s="2918"/>
      <c r="U359" s="2918"/>
      <c r="V359" s="2918"/>
      <c r="W359" s="2918"/>
      <c r="X359" s="2918"/>
      <c r="Y359" s="2918"/>
      <c r="Z359" s="2918"/>
      <c r="AA359" s="2918"/>
      <c r="AB359" s="2918"/>
      <c r="AC359" s="2897">
        <f t="shared" si="238"/>
        <v>0</v>
      </c>
      <c r="AD359" s="2929"/>
      <c r="AE359" s="2929"/>
      <c r="AF359" s="2929"/>
      <c r="AG359" s="2929"/>
      <c r="AH359" s="2929"/>
      <c r="AI359" s="2929"/>
      <c r="AJ359" s="2929"/>
      <c r="AK359" s="2929"/>
      <c r="AL359" s="2929"/>
      <c r="AM359" s="2929"/>
      <c r="AN359" s="2929"/>
      <c r="AO359" s="2929"/>
      <c r="AP359" s="2929"/>
      <c r="AQ359" s="2929"/>
      <c r="AR359" s="2929"/>
      <c r="AS359" s="2929"/>
      <c r="AT359" s="2949"/>
      <c r="AU359" s="2950"/>
      <c r="AV359" s="454">
        <f t="shared" si="233"/>
        <v>0</v>
      </c>
      <c r="AW359" s="454">
        <f t="shared" si="234"/>
        <v>0</v>
      </c>
      <c r="AX359" s="454">
        <f t="shared" si="235"/>
        <v>0</v>
      </c>
      <c r="AY359" s="2966">
        <f t="shared" si="239"/>
        <v>0</v>
      </c>
      <c r="AZ359" s="2897">
        <f t="shared" si="240"/>
        <v>0</v>
      </c>
      <c r="BA359" s="2897">
        <f t="shared" si="241"/>
        <v>0</v>
      </c>
      <c r="BB359" s="2897">
        <f t="shared" si="242"/>
        <v>0</v>
      </c>
      <c r="BC359" s="2897">
        <f t="shared" si="243"/>
        <v>0</v>
      </c>
      <c r="BD359" s="2897">
        <f t="shared" si="244"/>
        <v>0</v>
      </c>
      <c r="BE359" s="2897">
        <f t="shared" si="245"/>
        <v>0</v>
      </c>
      <c r="BF359" s="2897">
        <f t="shared" si="246"/>
        <v>0</v>
      </c>
      <c r="BG359" s="2897">
        <f t="shared" si="247"/>
        <v>0</v>
      </c>
      <c r="BH359" s="2897">
        <f t="shared" si="248"/>
        <v>0</v>
      </c>
      <c r="BI359" s="2897">
        <f t="shared" si="249"/>
        <v>0</v>
      </c>
      <c r="BJ359" s="2897">
        <f t="shared" si="250"/>
        <v>0</v>
      </c>
      <c r="BK359" s="2897">
        <f t="shared" si="251"/>
        <v>0</v>
      </c>
      <c r="BL359" s="2897">
        <f t="shared" si="252"/>
        <v>0</v>
      </c>
      <c r="BM359" s="2897">
        <f t="shared" si="253"/>
        <v>0</v>
      </c>
      <c r="BN359" s="2897">
        <f t="shared" si="254"/>
        <v>0</v>
      </c>
      <c r="BO359" s="2897">
        <f t="shared" si="255"/>
        <v>0</v>
      </c>
      <c r="BP359" s="2897">
        <f t="shared" si="256"/>
        <v>0</v>
      </c>
      <c r="BQ359" s="2897">
        <f t="shared" si="257"/>
        <v>0</v>
      </c>
      <c r="BR359" s="2897">
        <f t="shared" si="258"/>
        <v>0</v>
      </c>
      <c r="BS359" s="2897">
        <f t="shared" si="259"/>
        <v>0</v>
      </c>
      <c r="BT359" s="2971">
        <f t="shared" si="260"/>
        <v>0</v>
      </c>
    </row>
    <row r="360" spans="1:72">
      <c r="A360" s="2894"/>
      <c r="B360" s="2895"/>
      <c r="C360" s="2895"/>
      <c r="D360" s="2907"/>
      <c r="E360" s="2897">
        <f t="shared" si="232"/>
        <v>0</v>
      </c>
      <c r="F360" s="2898"/>
      <c r="G360" s="2899">
        <f t="shared" si="236"/>
        <v>0</v>
      </c>
      <c r="H360" s="2900">
        <f t="shared" si="237"/>
        <v>0</v>
      </c>
      <c r="I360" s="2918"/>
      <c r="J360" s="2918"/>
      <c r="K360" s="2918"/>
      <c r="L360" s="2918"/>
      <c r="M360" s="2918"/>
      <c r="N360" s="2918"/>
      <c r="O360" s="2918"/>
      <c r="P360" s="2918"/>
      <c r="Q360" s="2918"/>
      <c r="R360" s="2918"/>
      <c r="S360" s="2918"/>
      <c r="T360" s="2918"/>
      <c r="U360" s="2918"/>
      <c r="V360" s="2918"/>
      <c r="W360" s="2918"/>
      <c r="X360" s="2918"/>
      <c r="Y360" s="2918"/>
      <c r="Z360" s="2918"/>
      <c r="AA360" s="2918"/>
      <c r="AB360" s="2918"/>
      <c r="AC360" s="2897">
        <f t="shared" si="238"/>
        <v>0</v>
      </c>
      <c r="AD360" s="2929"/>
      <c r="AE360" s="2929"/>
      <c r="AF360" s="2929"/>
      <c r="AG360" s="2929"/>
      <c r="AH360" s="2929"/>
      <c r="AI360" s="2929"/>
      <c r="AJ360" s="2929"/>
      <c r="AK360" s="2929"/>
      <c r="AL360" s="2929"/>
      <c r="AM360" s="2929"/>
      <c r="AN360" s="2929"/>
      <c r="AO360" s="2929"/>
      <c r="AP360" s="2929"/>
      <c r="AQ360" s="2929"/>
      <c r="AR360" s="2929"/>
      <c r="AS360" s="2929"/>
      <c r="AT360" s="2949"/>
      <c r="AU360" s="2950"/>
      <c r="AV360" s="454">
        <f t="shared" si="233"/>
        <v>0</v>
      </c>
      <c r="AW360" s="454">
        <f t="shared" si="234"/>
        <v>0</v>
      </c>
      <c r="AX360" s="454">
        <f t="shared" si="235"/>
        <v>0</v>
      </c>
      <c r="AY360" s="2966">
        <f t="shared" si="239"/>
        <v>0</v>
      </c>
      <c r="AZ360" s="2897">
        <f t="shared" si="240"/>
        <v>0</v>
      </c>
      <c r="BA360" s="2897">
        <f t="shared" si="241"/>
        <v>0</v>
      </c>
      <c r="BB360" s="2897">
        <f t="shared" si="242"/>
        <v>0</v>
      </c>
      <c r="BC360" s="2897">
        <f t="shared" si="243"/>
        <v>0</v>
      </c>
      <c r="BD360" s="2897">
        <f t="shared" si="244"/>
        <v>0</v>
      </c>
      <c r="BE360" s="2897">
        <f t="shared" si="245"/>
        <v>0</v>
      </c>
      <c r="BF360" s="2897">
        <f t="shared" si="246"/>
        <v>0</v>
      </c>
      <c r="BG360" s="2897">
        <f t="shared" si="247"/>
        <v>0</v>
      </c>
      <c r="BH360" s="2897">
        <f t="shared" si="248"/>
        <v>0</v>
      </c>
      <c r="BI360" s="2897">
        <f t="shared" si="249"/>
        <v>0</v>
      </c>
      <c r="BJ360" s="2897">
        <f t="shared" si="250"/>
        <v>0</v>
      </c>
      <c r="BK360" s="2897">
        <f t="shared" si="251"/>
        <v>0</v>
      </c>
      <c r="BL360" s="2897">
        <f t="shared" si="252"/>
        <v>0</v>
      </c>
      <c r="BM360" s="2897">
        <f t="shared" si="253"/>
        <v>0</v>
      </c>
      <c r="BN360" s="2897">
        <f t="shared" si="254"/>
        <v>0</v>
      </c>
      <c r="BO360" s="2897">
        <f t="shared" si="255"/>
        <v>0</v>
      </c>
      <c r="BP360" s="2897">
        <f t="shared" si="256"/>
        <v>0</v>
      </c>
      <c r="BQ360" s="2897">
        <f t="shared" si="257"/>
        <v>0</v>
      </c>
      <c r="BR360" s="2897">
        <f t="shared" si="258"/>
        <v>0</v>
      </c>
      <c r="BS360" s="2897">
        <f t="shared" si="259"/>
        <v>0</v>
      </c>
      <c r="BT360" s="2971">
        <f t="shared" si="260"/>
        <v>0</v>
      </c>
    </row>
    <row r="361" spans="1:72">
      <c r="A361" s="2894"/>
      <c r="B361" s="2895"/>
      <c r="C361" s="2895"/>
      <c r="D361" s="2907"/>
      <c r="E361" s="2897">
        <f t="shared" ref="E361:E388" si="261">IF($C$3="是",ROUND($A$3*G361/$B$3,2),ROUND($A$3*(G361-AT361)/$B$3,2))</f>
        <v>0</v>
      </c>
      <c r="F361" s="2898"/>
      <c r="G361" s="2899">
        <f t="shared" si="236"/>
        <v>0</v>
      </c>
      <c r="H361" s="2900">
        <f t="shared" si="237"/>
        <v>0</v>
      </c>
      <c r="I361" s="2918"/>
      <c r="J361" s="2918"/>
      <c r="K361" s="2918"/>
      <c r="L361" s="2918"/>
      <c r="M361" s="2918"/>
      <c r="N361" s="2918"/>
      <c r="O361" s="2918"/>
      <c r="P361" s="2918"/>
      <c r="Q361" s="2918"/>
      <c r="R361" s="2918"/>
      <c r="S361" s="2918"/>
      <c r="T361" s="2918"/>
      <c r="U361" s="2918"/>
      <c r="V361" s="2918"/>
      <c r="W361" s="2918"/>
      <c r="X361" s="2918"/>
      <c r="Y361" s="2918"/>
      <c r="Z361" s="2918"/>
      <c r="AA361" s="2918"/>
      <c r="AB361" s="2918"/>
      <c r="AC361" s="2897">
        <f t="shared" si="238"/>
        <v>0</v>
      </c>
      <c r="AD361" s="2929"/>
      <c r="AE361" s="2929"/>
      <c r="AF361" s="2929"/>
      <c r="AG361" s="2929"/>
      <c r="AH361" s="2929"/>
      <c r="AI361" s="2929"/>
      <c r="AJ361" s="2929"/>
      <c r="AK361" s="2929"/>
      <c r="AL361" s="2929"/>
      <c r="AM361" s="2929"/>
      <c r="AN361" s="2929"/>
      <c r="AO361" s="2929"/>
      <c r="AP361" s="2929"/>
      <c r="AQ361" s="2929"/>
      <c r="AR361" s="2929"/>
      <c r="AS361" s="2929"/>
      <c r="AT361" s="2949"/>
      <c r="AU361" s="2950"/>
      <c r="AV361" s="454">
        <f t="shared" ref="AV361:AV388" si="262">A361</f>
        <v>0</v>
      </c>
      <c r="AW361" s="454">
        <f t="shared" ref="AW361:AW388" si="263">B361</f>
        <v>0</v>
      </c>
      <c r="AX361" s="454">
        <f t="shared" ref="AX361:AX388" si="264">C361</f>
        <v>0</v>
      </c>
      <c r="AY361" s="2966">
        <f t="shared" si="239"/>
        <v>0</v>
      </c>
      <c r="AZ361" s="2897">
        <f t="shared" si="240"/>
        <v>0</v>
      </c>
      <c r="BA361" s="2897">
        <f t="shared" si="241"/>
        <v>0</v>
      </c>
      <c r="BB361" s="2897">
        <f t="shared" si="242"/>
        <v>0</v>
      </c>
      <c r="BC361" s="2897">
        <f t="shared" si="243"/>
        <v>0</v>
      </c>
      <c r="BD361" s="2897">
        <f t="shared" si="244"/>
        <v>0</v>
      </c>
      <c r="BE361" s="2897">
        <f t="shared" si="245"/>
        <v>0</v>
      </c>
      <c r="BF361" s="2897">
        <f t="shared" si="246"/>
        <v>0</v>
      </c>
      <c r="BG361" s="2897">
        <f t="shared" si="247"/>
        <v>0</v>
      </c>
      <c r="BH361" s="2897">
        <f t="shared" si="248"/>
        <v>0</v>
      </c>
      <c r="BI361" s="2897">
        <f t="shared" si="249"/>
        <v>0</v>
      </c>
      <c r="BJ361" s="2897">
        <f t="shared" si="250"/>
        <v>0</v>
      </c>
      <c r="BK361" s="2897">
        <f t="shared" si="251"/>
        <v>0</v>
      </c>
      <c r="BL361" s="2897">
        <f t="shared" si="252"/>
        <v>0</v>
      </c>
      <c r="BM361" s="2897">
        <f t="shared" si="253"/>
        <v>0</v>
      </c>
      <c r="BN361" s="2897">
        <f t="shared" si="254"/>
        <v>0</v>
      </c>
      <c r="BO361" s="2897">
        <f t="shared" si="255"/>
        <v>0</v>
      </c>
      <c r="BP361" s="2897">
        <f t="shared" si="256"/>
        <v>0</v>
      </c>
      <c r="BQ361" s="2897">
        <f t="shared" si="257"/>
        <v>0</v>
      </c>
      <c r="BR361" s="2897">
        <f t="shared" si="258"/>
        <v>0</v>
      </c>
      <c r="BS361" s="2897">
        <f t="shared" si="259"/>
        <v>0</v>
      </c>
      <c r="BT361" s="2971">
        <f t="shared" si="260"/>
        <v>0</v>
      </c>
    </row>
    <row r="362" spans="1:72">
      <c r="A362" s="2894"/>
      <c r="B362" s="2895"/>
      <c r="C362" s="2895"/>
      <c r="D362" s="2907"/>
      <c r="E362" s="2897">
        <f t="shared" si="261"/>
        <v>0</v>
      </c>
      <c r="F362" s="2898"/>
      <c r="G362" s="2899">
        <f t="shared" si="236"/>
        <v>0</v>
      </c>
      <c r="H362" s="2900">
        <f t="shared" si="237"/>
        <v>0</v>
      </c>
      <c r="I362" s="2918"/>
      <c r="J362" s="2918"/>
      <c r="K362" s="2918"/>
      <c r="L362" s="2918"/>
      <c r="M362" s="2918"/>
      <c r="N362" s="2918"/>
      <c r="O362" s="2918"/>
      <c r="P362" s="2918"/>
      <c r="Q362" s="2918"/>
      <c r="R362" s="2918"/>
      <c r="S362" s="2918"/>
      <c r="T362" s="2918"/>
      <c r="U362" s="2918"/>
      <c r="V362" s="2918"/>
      <c r="W362" s="2918"/>
      <c r="X362" s="2918"/>
      <c r="Y362" s="2918"/>
      <c r="Z362" s="2918"/>
      <c r="AA362" s="2918"/>
      <c r="AB362" s="2918"/>
      <c r="AC362" s="2897">
        <f t="shared" si="238"/>
        <v>0</v>
      </c>
      <c r="AD362" s="2929"/>
      <c r="AE362" s="2929"/>
      <c r="AF362" s="2929"/>
      <c r="AG362" s="2929"/>
      <c r="AH362" s="2929"/>
      <c r="AI362" s="2929"/>
      <c r="AJ362" s="2929"/>
      <c r="AK362" s="2929"/>
      <c r="AL362" s="2929"/>
      <c r="AM362" s="2929"/>
      <c r="AN362" s="2929"/>
      <c r="AO362" s="2929"/>
      <c r="AP362" s="2929"/>
      <c r="AQ362" s="2929"/>
      <c r="AR362" s="2929"/>
      <c r="AS362" s="2929"/>
      <c r="AT362" s="2949"/>
      <c r="AU362" s="2950"/>
      <c r="AV362" s="454">
        <f t="shared" si="262"/>
        <v>0</v>
      </c>
      <c r="AW362" s="454">
        <f t="shared" si="263"/>
        <v>0</v>
      </c>
      <c r="AX362" s="454">
        <f t="shared" si="264"/>
        <v>0</v>
      </c>
      <c r="AY362" s="2966">
        <f t="shared" si="239"/>
        <v>0</v>
      </c>
      <c r="AZ362" s="2897">
        <f t="shared" si="240"/>
        <v>0</v>
      </c>
      <c r="BA362" s="2897">
        <f t="shared" si="241"/>
        <v>0</v>
      </c>
      <c r="BB362" s="2897">
        <f t="shared" si="242"/>
        <v>0</v>
      </c>
      <c r="BC362" s="2897">
        <f t="shared" si="243"/>
        <v>0</v>
      </c>
      <c r="BD362" s="2897">
        <f t="shared" si="244"/>
        <v>0</v>
      </c>
      <c r="BE362" s="2897">
        <f t="shared" si="245"/>
        <v>0</v>
      </c>
      <c r="BF362" s="2897">
        <f t="shared" si="246"/>
        <v>0</v>
      </c>
      <c r="BG362" s="2897">
        <f t="shared" si="247"/>
        <v>0</v>
      </c>
      <c r="BH362" s="2897">
        <f t="shared" si="248"/>
        <v>0</v>
      </c>
      <c r="BI362" s="2897">
        <f t="shared" si="249"/>
        <v>0</v>
      </c>
      <c r="BJ362" s="2897">
        <f t="shared" si="250"/>
        <v>0</v>
      </c>
      <c r="BK362" s="2897">
        <f t="shared" si="251"/>
        <v>0</v>
      </c>
      <c r="BL362" s="2897">
        <f t="shared" si="252"/>
        <v>0</v>
      </c>
      <c r="BM362" s="2897">
        <f t="shared" si="253"/>
        <v>0</v>
      </c>
      <c r="BN362" s="2897">
        <f t="shared" si="254"/>
        <v>0</v>
      </c>
      <c r="BO362" s="2897">
        <f t="shared" si="255"/>
        <v>0</v>
      </c>
      <c r="BP362" s="2897">
        <f t="shared" si="256"/>
        <v>0</v>
      </c>
      <c r="BQ362" s="2897">
        <f t="shared" si="257"/>
        <v>0</v>
      </c>
      <c r="BR362" s="2897">
        <f t="shared" si="258"/>
        <v>0</v>
      </c>
      <c r="BS362" s="2897">
        <f t="shared" si="259"/>
        <v>0</v>
      </c>
      <c r="BT362" s="2971">
        <f t="shared" si="260"/>
        <v>0</v>
      </c>
    </row>
    <row r="363" spans="1:72">
      <c r="A363" s="2894"/>
      <c r="B363" s="2895"/>
      <c r="C363" s="2895"/>
      <c r="D363" s="2907"/>
      <c r="E363" s="2897">
        <f t="shared" si="261"/>
        <v>0</v>
      </c>
      <c r="F363" s="2898"/>
      <c r="G363" s="2899">
        <f t="shared" si="236"/>
        <v>0</v>
      </c>
      <c r="H363" s="2900">
        <f t="shared" si="237"/>
        <v>0</v>
      </c>
      <c r="I363" s="2918"/>
      <c r="J363" s="2918"/>
      <c r="K363" s="2918"/>
      <c r="L363" s="2918"/>
      <c r="M363" s="2918"/>
      <c r="N363" s="2918"/>
      <c r="O363" s="2918"/>
      <c r="P363" s="2918"/>
      <c r="Q363" s="2918"/>
      <c r="R363" s="2918"/>
      <c r="S363" s="2918"/>
      <c r="T363" s="2918"/>
      <c r="U363" s="2918"/>
      <c r="V363" s="2918"/>
      <c r="W363" s="2918"/>
      <c r="X363" s="2918"/>
      <c r="Y363" s="2918"/>
      <c r="Z363" s="2918"/>
      <c r="AA363" s="2918"/>
      <c r="AB363" s="2918"/>
      <c r="AC363" s="2897">
        <f t="shared" si="238"/>
        <v>0</v>
      </c>
      <c r="AD363" s="2929"/>
      <c r="AE363" s="2929"/>
      <c r="AF363" s="2929"/>
      <c r="AG363" s="2929"/>
      <c r="AH363" s="2929"/>
      <c r="AI363" s="2929"/>
      <c r="AJ363" s="2929"/>
      <c r="AK363" s="2929"/>
      <c r="AL363" s="2929"/>
      <c r="AM363" s="2929"/>
      <c r="AN363" s="2929"/>
      <c r="AO363" s="2929"/>
      <c r="AP363" s="2929"/>
      <c r="AQ363" s="2929"/>
      <c r="AR363" s="2929"/>
      <c r="AS363" s="2929"/>
      <c r="AT363" s="2949"/>
      <c r="AU363" s="2950"/>
      <c r="AV363" s="454">
        <f t="shared" si="262"/>
        <v>0</v>
      </c>
      <c r="AW363" s="454">
        <f t="shared" si="263"/>
        <v>0</v>
      </c>
      <c r="AX363" s="454">
        <f t="shared" si="264"/>
        <v>0</v>
      </c>
      <c r="AY363" s="2966">
        <f t="shared" si="239"/>
        <v>0</v>
      </c>
      <c r="AZ363" s="2897">
        <f t="shared" si="240"/>
        <v>0</v>
      </c>
      <c r="BA363" s="2897">
        <f t="shared" si="241"/>
        <v>0</v>
      </c>
      <c r="BB363" s="2897">
        <f t="shared" si="242"/>
        <v>0</v>
      </c>
      <c r="BC363" s="2897">
        <f t="shared" si="243"/>
        <v>0</v>
      </c>
      <c r="BD363" s="2897">
        <f t="shared" si="244"/>
        <v>0</v>
      </c>
      <c r="BE363" s="2897">
        <f t="shared" si="245"/>
        <v>0</v>
      </c>
      <c r="BF363" s="2897">
        <f t="shared" si="246"/>
        <v>0</v>
      </c>
      <c r="BG363" s="2897">
        <f t="shared" si="247"/>
        <v>0</v>
      </c>
      <c r="BH363" s="2897">
        <f t="shared" si="248"/>
        <v>0</v>
      </c>
      <c r="BI363" s="2897">
        <f t="shared" si="249"/>
        <v>0</v>
      </c>
      <c r="BJ363" s="2897">
        <f t="shared" si="250"/>
        <v>0</v>
      </c>
      <c r="BK363" s="2897">
        <f t="shared" si="251"/>
        <v>0</v>
      </c>
      <c r="BL363" s="2897">
        <f t="shared" si="252"/>
        <v>0</v>
      </c>
      <c r="BM363" s="2897">
        <f t="shared" si="253"/>
        <v>0</v>
      </c>
      <c r="BN363" s="2897">
        <f t="shared" si="254"/>
        <v>0</v>
      </c>
      <c r="BO363" s="2897">
        <f t="shared" si="255"/>
        <v>0</v>
      </c>
      <c r="BP363" s="2897">
        <f t="shared" si="256"/>
        <v>0</v>
      </c>
      <c r="BQ363" s="2897">
        <f t="shared" si="257"/>
        <v>0</v>
      </c>
      <c r="BR363" s="2897">
        <f t="shared" si="258"/>
        <v>0</v>
      </c>
      <c r="BS363" s="2897">
        <f t="shared" si="259"/>
        <v>0</v>
      </c>
      <c r="BT363" s="2971">
        <f t="shared" si="260"/>
        <v>0</v>
      </c>
    </row>
    <row r="364" spans="1:72">
      <c r="A364" s="2894"/>
      <c r="B364" s="2895"/>
      <c r="C364" s="2895"/>
      <c r="D364" s="2907"/>
      <c r="E364" s="2897">
        <f t="shared" si="261"/>
        <v>0</v>
      </c>
      <c r="F364" s="2898"/>
      <c r="G364" s="2899">
        <f t="shared" si="236"/>
        <v>0</v>
      </c>
      <c r="H364" s="2900">
        <f t="shared" si="237"/>
        <v>0</v>
      </c>
      <c r="I364" s="2918"/>
      <c r="J364" s="2918"/>
      <c r="K364" s="2918"/>
      <c r="L364" s="2918"/>
      <c r="M364" s="2918"/>
      <c r="N364" s="2918"/>
      <c r="O364" s="2918"/>
      <c r="P364" s="2918"/>
      <c r="Q364" s="2918"/>
      <c r="R364" s="2918"/>
      <c r="S364" s="2918"/>
      <c r="T364" s="2918"/>
      <c r="U364" s="2918"/>
      <c r="V364" s="2918"/>
      <c r="W364" s="2918"/>
      <c r="X364" s="2918"/>
      <c r="Y364" s="2918"/>
      <c r="Z364" s="2918"/>
      <c r="AA364" s="2918"/>
      <c r="AB364" s="2918"/>
      <c r="AC364" s="2897">
        <f t="shared" si="238"/>
        <v>0</v>
      </c>
      <c r="AD364" s="2929"/>
      <c r="AE364" s="2929"/>
      <c r="AF364" s="2929"/>
      <c r="AG364" s="2929"/>
      <c r="AH364" s="2929"/>
      <c r="AI364" s="2929"/>
      <c r="AJ364" s="2929"/>
      <c r="AK364" s="2929"/>
      <c r="AL364" s="2929"/>
      <c r="AM364" s="2929"/>
      <c r="AN364" s="2929"/>
      <c r="AO364" s="2929"/>
      <c r="AP364" s="2929"/>
      <c r="AQ364" s="2929"/>
      <c r="AR364" s="2929"/>
      <c r="AS364" s="2929"/>
      <c r="AT364" s="2949"/>
      <c r="AU364" s="2950"/>
      <c r="AV364" s="454">
        <f t="shared" si="262"/>
        <v>0</v>
      </c>
      <c r="AW364" s="454">
        <f t="shared" si="263"/>
        <v>0</v>
      </c>
      <c r="AX364" s="454">
        <f t="shared" si="264"/>
        <v>0</v>
      </c>
      <c r="AY364" s="2966">
        <f t="shared" si="239"/>
        <v>0</v>
      </c>
      <c r="AZ364" s="2897">
        <f t="shared" si="240"/>
        <v>0</v>
      </c>
      <c r="BA364" s="2897">
        <f t="shared" si="241"/>
        <v>0</v>
      </c>
      <c r="BB364" s="2897">
        <f t="shared" si="242"/>
        <v>0</v>
      </c>
      <c r="BC364" s="2897">
        <f t="shared" si="243"/>
        <v>0</v>
      </c>
      <c r="BD364" s="2897">
        <f t="shared" si="244"/>
        <v>0</v>
      </c>
      <c r="BE364" s="2897">
        <f t="shared" si="245"/>
        <v>0</v>
      </c>
      <c r="BF364" s="2897">
        <f t="shared" si="246"/>
        <v>0</v>
      </c>
      <c r="BG364" s="2897">
        <f t="shared" si="247"/>
        <v>0</v>
      </c>
      <c r="BH364" s="2897">
        <f t="shared" si="248"/>
        <v>0</v>
      </c>
      <c r="BI364" s="2897">
        <f t="shared" si="249"/>
        <v>0</v>
      </c>
      <c r="BJ364" s="2897">
        <f t="shared" si="250"/>
        <v>0</v>
      </c>
      <c r="BK364" s="2897">
        <f t="shared" si="251"/>
        <v>0</v>
      </c>
      <c r="BL364" s="2897">
        <f t="shared" si="252"/>
        <v>0</v>
      </c>
      <c r="BM364" s="2897">
        <f t="shared" si="253"/>
        <v>0</v>
      </c>
      <c r="BN364" s="2897">
        <f t="shared" si="254"/>
        <v>0</v>
      </c>
      <c r="BO364" s="2897">
        <f t="shared" si="255"/>
        <v>0</v>
      </c>
      <c r="BP364" s="2897">
        <f t="shared" si="256"/>
        <v>0</v>
      </c>
      <c r="BQ364" s="2897">
        <f t="shared" si="257"/>
        <v>0</v>
      </c>
      <c r="BR364" s="2897">
        <f t="shared" si="258"/>
        <v>0</v>
      </c>
      <c r="BS364" s="2897">
        <f t="shared" si="259"/>
        <v>0</v>
      </c>
      <c r="BT364" s="2971">
        <f t="shared" si="260"/>
        <v>0</v>
      </c>
    </row>
    <row r="365" spans="1:72">
      <c r="A365" s="2894"/>
      <c r="B365" s="2895"/>
      <c r="C365" s="2895"/>
      <c r="D365" s="2907"/>
      <c r="E365" s="2897">
        <f t="shared" si="261"/>
        <v>0</v>
      </c>
      <c r="F365" s="2898"/>
      <c r="G365" s="2899">
        <f t="shared" si="236"/>
        <v>0</v>
      </c>
      <c r="H365" s="2900">
        <f t="shared" si="237"/>
        <v>0</v>
      </c>
      <c r="I365" s="2918"/>
      <c r="J365" s="2918"/>
      <c r="K365" s="2918"/>
      <c r="L365" s="2918"/>
      <c r="M365" s="2918"/>
      <c r="N365" s="2918"/>
      <c r="O365" s="2918"/>
      <c r="P365" s="2918"/>
      <c r="Q365" s="2918"/>
      <c r="R365" s="2918"/>
      <c r="S365" s="2918"/>
      <c r="T365" s="2918"/>
      <c r="U365" s="2918"/>
      <c r="V365" s="2918"/>
      <c r="W365" s="2918"/>
      <c r="X365" s="2918"/>
      <c r="Y365" s="2918"/>
      <c r="Z365" s="2918"/>
      <c r="AA365" s="2918"/>
      <c r="AB365" s="2918"/>
      <c r="AC365" s="2897">
        <f t="shared" si="238"/>
        <v>0</v>
      </c>
      <c r="AD365" s="2929"/>
      <c r="AE365" s="2929"/>
      <c r="AF365" s="2929"/>
      <c r="AG365" s="2929"/>
      <c r="AH365" s="2929"/>
      <c r="AI365" s="2929"/>
      <c r="AJ365" s="2929"/>
      <c r="AK365" s="2929"/>
      <c r="AL365" s="2929"/>
      <c r="AM365" s="2929"/>
      <c r="AN365" s="2929"/>
      <c r="AO365" s="2929"/>
      <c r="AP365" s="2929"/>
      <c r="AQ365" s="2929"/>
      <c r="AR365" s="2929"/>
      <c r="AS365" s="2929"/>
      <c r="AT365" s="2949"/>
      <c r="AU365" s="2950"/>
      <c r="AV365" s="454">
        <f t="shared" si="262"/>
        <v>0</v>
      </c>
      <c r="AW365" s="454">
        <f t="shared" si="263"/>
        <v>0</v>
      </c>
      <c r="AX365" s="454">
        <f t="shared" si="264"/>
        <v>0</v>
      </c>
      <c r="AY365" s="2966">
        <f t="shared" si="239"/>
        <v>0</v>
      </c>
      <c r="AZ365" s="2897">
        <f t="shared" si="240"/>
        <v>0</v>
      </c>
      <c r="BA365" s="2897">
        <f t="shared" si="241"/>
        <v>0</v>
      </c>
      <c r="BB365" s="2897">
        <f t="shared" si="242"/>
        <v>0</v>
      </c>
      <c r="BC365" s="2897">
        <f t="shared" si="243"/>
        <v>0</v>
      </c>
      <c r="BD365" s="2897">
        <f t="shared" si="244"/>
        <v>0</v>
      </c>
      <c r="BE365" s="2897">
        <f t="shared" si="245"/>
        <v>0</v>
      </c>
      <c r="BF365" s="2897">
        <f t="shared" si="246"/>
        <v>0</v>
      </c>
      <c r="BG365" s="2897">
        <f t="shared" si="247"/>
        <v>0</v>
      </c>
      <c r="BH365" s="2897">
        <f t="shared" si="248"/>
        <v>0</v>
      </c>
      <c r="BI365" s="2897">
        <f t="shared" si="249"/>
        <v>0</v>
      </c>
      <c r="BJ365" s="2897">
        <f t="shared" si="250"/>
        <v>0</v>
      </c>
      <c r="BK365" s="2897">
        <f t="shared" si="251"/>
        <v>0</v>
      </c>
      <c r="BL365" s="2897">
        <f t="shared" si="252"/>
        <v>0</v>
      </c>
      <c r="BM365" s="2897">
        <f t="shared" si="253"/>
        <v>0</v>
      </c>
      <c r="BN365" s="2897">
        <f t="shared" si="254"/>
        <v>0</v>
      </c>
      <c r="BO365" s="2897">
        <f t="shared" si="255"/>
        <v>0</v>
      </c>
      <c r="BP365" s="2897">
        <f t="shared" si="256"/>
        <v>0</v>
      </c>
      <c r="BQ365" s="2897">
        <f t="shared" si="257"/>
        <v>0</v>
      </c>
      <c r="BR365" s="2897">
        <f t="shared" si="258"/>
        <v>0</v>
      </c>
      <c r="BS365" s="2897">
        <f t="shared" si="259"/>
        <v>0</v>
      </c>
      <c r="BT365" s="2971">
        <f t="shared" si="260"/>
        <v>0</v>
      </c>
    </row>
    <row r="366" spans="1:72">
      <c r="A366" s="2894"/>
      <c r="B366" s="2895"/>
      <c r="C366" s="2895"/>
      <c r="D366" s="2907"/>
      <c r="E366" s="2897">
        <f t="shared" si="261"/>
        <v>0</v>
      </c>
      <c r="F366" s="2898"/>
      <c r="G366" s="2899">
        <f t="shared" si="236"/>
        <v>0</v>
      </c>
      <c r="H366" s="2900">
        <f t="shared" si="237"/>
        <v>0</v>
      </c>
      <c r="I366" s="2918"/>
      <c r="J366" s="2918"/>
      <c r="K366" s="2918"/>
      <c r="L366" s="2918"/>
      <c r="M366" s="2918"/>
      <c r="N366" s="2918"/>
      <c r="O366" s="2918"/>
      <c r="P366" s="2918"/>
      <c r="Q366" s="2918"/>
      <c r="R366" s="2918"/>
      <c r="S366" s="2918"/>
      <c r="T366" s="2918"/>
      <c r="U366" s="2918"/>
      <c r="V366" s="2918"/>
      <c r="W366" s="2918"/>
      <c r="X366" s="2918"/>
      <c r="Y366" s="2918"/>
      <c r="Z366" s="2918"/>
      <c r="AA366" s="2918"/>
      <c r="AB366" s="2918"/>
      <c r="AC366" s="2897">
        <f t="shared" si="238"/>
        <v>0</v>
      </c>
      <c r="AD366" s="2929"/>
      <c r="AE366" s="2929"/>
      <c r="AF366" s="2929"/>
      <c r="AG366" s="2929"/>
      <c r="AH366" s="2929"/>
      <c r="AI366" s="2929"/>
      <c r="AJ366" s="2929"/>
      <c r="AK366" s="2929"/>
      <c r="AL366" s="2929"/>
      <c r="AM366" s="2929"/>
      <c r="AN366" s="2929"/>
      <c r="AO366" s="2929"/>
      <c r="AP366" s="2929"/>
      <c r="AQ366" s="2929"/>
      <c r="AR366" s="2929"/>
      <c r="AS366" s="2929"/>
      <c r="AT366" s="2949"/>
      <c r="AU366" s="2950"/>
      <c r="AV366" s="454">
        <f t="shared" si="262"/>
        <v>0</v>
      </c>
      <c r="AW366" s="454">
        <f t="shared" si="263"/>
        <v>0</v>
      </c>
      <c r="AX366" s="454">
        <f t="shared" si="264"/>
        <v>0</v>
      </c>
      <c r="AY366" s="2966">
        <f t="shared" si="239"/>
        <v>0</v>
      </c>
      <c r="AZ366" s="2897">
        <f t="shared" si="240"/>
        <v>0</v>
      </c>
      <c r="BA366" s="2897">
        <f t="shared" si="241"/>
        <v>0</v>
      </c>
      <c r="BB366" s="2897">
        <f t="shared" si="242"/>
        <v>0</v>
      </c>
      <c r="BC366" s="2897">
        <f t="shared" si="243"/>
        <v>0</v>
      </c>
      <c r="BD366" s="2897">
        <f t="shared" si="244"/>
        <v>0</v>
      </c>
      <c r="BE366" s="2897">
        <f t="shared" si="245"/>
        <v>0</v>
      </c>
      <c r="BF366" s="2897">
        <f t="shared" si="246"/>
        <v>0</v>
      </c>
      <c r="BG366" s="2897">
        <f t="shared" si="247"/>
        <v>0</v>
      </c>
      <c r="BH366" s="2897">
        <f t="shared" si="248"/>
        <v>0</v>
      </c>
      <c r="BI366" s="2897">
        <f t="shared" si="249"/>
        <v>0</v>
      </c>
      <c r="BJ366" s="2897">
        <f t="shared" si="250"/>
        <v>0</v>
      </c>
      <c r="BK366" s="2897">
        <f t="shared" si="251"/>
        <v>0</v>
      </c>
      <c r="BL366" s="2897">
        <f t="shared" si="252"/>
        <v>0</v>
      </c>
      <c r="BM366" s="2897">
        <f t="shared" si="253"/>
        <v>0</v>
      </c>
      <c r="BN366" s="2897">
        <f t="shared" si="254"/>
        <v>0</v>
      </c>
      <c r="BO366" s="2897">
        <f t="shared" si="255"/>
        <v>0</v>
      </c>
      <c r="BP366" s="2897">
        <f t="shared" si="256"/>
        <v>0</v>
      </c>
      <c r="BQ366" s="2897">
        <f t="shared" si="257"/>
        <v>0</v>
      </c>
      <c r="BR366" s="2897">
        <f t="shared" si="258"/>
        <v>0</v>
      </c>
      <c r="BS366" s="2897">
        <f t="shared" si="259"/>
        <v>0</v>
      </c>
      <c r="BT366" s="2971">
        <f t="shared" si="260"/>
        <v>0</v>
      </c>
    </row>
    <row r="367" spans="1:72">
      <c r="A367" s="2894"/>
      <c r="B367" s="2895"/>
      <c r="C367" s="2895"/>
      <c r="D367" s="2907"/>
      <c r="E367" s="2897">
        <f t="shared" si="261"/>
        <v>0</v>
      </c>
      <c r="F367" s="2898"/>
      <c r="G367" s="2899">
        <f t="shared" si="236"/>
        <v>0</v>
      </c>
      <c r="H367" s="2900">
        <f t="shared" si="237"/>
        <v>0</v>
      </c>
      <c r="I367" s="2918"/>
      <c r="J367" s="2918"/>
      <c r="K367" s="2918"/>
      <c r="L367" s="2918"/>
      <c r="M367" s="2918"/>
      <c r="N367" s="2918"/>
      <c r="O367" s="2918"/>
      <c r="P367" s="2918"/>
      <c r="Q367" s="2918"/>
      <c r="R367" s="2918"/>
      <c r="S367" s="2918"/>
      <c r="T367" s="2918"/>
      <c r="U367" s="2918"/>
      <c r="V367" s="2918"/>
      <c r="W367" s="2918"/>
      <c r="X367" s="2918"/>
      <c r="Y367" s="2918"/>
      <c r="Z367" s="2918"/>
      <c r="AA367" s="2918"/>
      <c r="AB367" s="2918"/>
      <c r="AC367" s="2897">
        <f t="shared" si="238"/>
        <v>0</v>
      </c>
      <c r="AD367" s="2929"/>
      <c r="AE367" s="2929"/>
      <c r="AF367" s="2929"/>
      <c r="AG367" s="2929"/>
      <c r="AH367" s="2929"/>
      <c r="AI367" s="2929"/>
      <c r="AJ367" s="2929"/>
      <c r="AK367" s="2929"/>
      <c r="AL367" s="2929"/>
      <c r="AM367" s="2929"/>
      <c r="AN367" s="2929"/>
      <c r="AO367" s="2929"/>
      <c r="AP367" s="2929"/>
      <c r="AQ367" s="2929"/>
      <c r="AR367" s="2929"/>
      <c r="AS367" s="2929"/>
      <c r="AT367" s="2949"/>
      <c r="AU367" s="2950"/>
      <c r="AV367" s="454">
        <f t="shared" si="262"/>
        <v>0</v>
      </c>
      <c r="AW367" s="454">
        <f t="shared" si="263"/>
        <v>0</v>
      </c>
      <c r="AX367" s="454">
        <f t="shared" si="264"/>
        <v>0</v>
      </c>
      <c r="AY367" s="2966">
        <f t="shared" si="239"/>
        <v>0</v>
      </c>
      <c r="AZ367" s="2897">
        <f t="shared" si="240"/>
        <v>0</v>
      </c>
      <c r="BA367" s="2897">
        <f t="shared" si="241"/>
        <v>0</v>
      </c>
      <c r="BB367" s="2897">
        <f t="shared" si="242"/>
        <v>0</v>
      </c>
      <c r="BC367" s="2897">
        <f t="shared" si="243"/>
        <v>0</v>
      </c>
      <c r="BD367" s="2897">
        <f t="shared" si="244"/>
        <v>0</v>
      </c>
      <c r="BE367" s="2897">
        <f t="shared" si="245"/>
        <v>0</v>
      </c>
      <c r="BF367" s="2897">
        <f t="shared" si="246"/>
        <v>0</v>
      </c>
      <c r="BG367" s="2897">
        <f t="shared" si="247"/>
        <v>0</v>
      </c>
      <c r="BH367" s="2897">
        <f t="shared" si="248"/>
        <v>0</v>
      </c>
      <c r="BI367" s="2897">
        <f t="shared" si="249"/>
        <v>0</v>
      </c>
      <c r="BJ367" s="2897">
        <f t="shared" si="250"/>
        <v>0</v>
      </c>
      <c r="BK367" s="2897">
        <f t="shared" si="251"/>
        <v>0</v>
      </c>
      <c r="BL367" s="2897">
        <f t="shared" si="252"/>
        <v>0</v>
      </c>
      <c r="BM367" s="2897">
        <f t="shared" si="253"/>
        <v>0</v>
      </c>
      <c r="BN367" s="2897">
        <f t="shared" si="254"/>
        <v>0</v>
      </c>
      <c r="BO367" s="2897">
        <f t="shared" si="255"/>
        <v>0</v>
      </c>
      <c r="BP367" s="2897">
        <f t="shared" si="256"/>
        <v>0</v>
      </c>
      <c r="BQ367" s="2897">
        <f t="shared" si="257"/>
        <v>0</v>
      </c>
      <c r="BR367" s="2897">
        <f t="shared" si="258"/>
        <v>0</v>
      </c>
      <c r="BS367" s="2897">
        <f t="shared" si="259"/>
        <v>0</v>
      </c>
      <c r="BT367" s="2971">
        <f t="shared" si="260"/>
        <v>0</v>
      </c>
    </row>
    <row r="368" spans="1:72">
      <c r="A368" s="2894"/>
      <c r="B368" s="2895"/>
      <c r="C368" s="2895"/>
      <c r="D368" s="2907"/>
      <c r="E368" s="2897">
        <f t="shared" si="261"/>
        <v>0</v>
      </c>
      <c r="F368" s="2898"/>
      <c r="G368" s="2899">
        <f t="shared" si="236"/>
        <v>0</v>
      </c>
      <c r="H368" s="2900">
        <f t="shared" si="237"/>
        <v>0</v>
      </c>
      <c r="I368" s="2918"/>
      <c r="J368" s="2918"/>
      <c r="K368" s="2918"/>
      <c r="L368" s="2918"/>
      <c r="M368" s="2918"/>
      <c r="N368" s="2918"/>
      <c r="O368" s="2918"/>
      <c r="P368" s="2918"/>
      <c r="Q368" s="2918"/>
      <c r="R368" s="2918"/>
      <c r="S368" s="2918"/>
      <c r="T368" s="2918"/>
      <c r="U368" s="2918"/>
      <c r="V368" s="2918"/>
      <c r="W368" s="2918"/>
      <c r="X368" s="2918"/>
      <c r="Y368" s="2918"/>
      <c r="Z368" s="2918"/>
      <c r="AA368" s="2918"/>
      <c r="AB368" s="2918"/>
      <c r="AC368" s="2897">
        <f t="shared" si="238"/>
        <v>0</v>
      </c>
      <c r="AD368" s="2929"/>
      <c r="AE368" s="2929"/>
      <c r="AF368" s="2929"/>
      <c r="AG368" s="2929"/>
      <c r="AH368" s="2929"/>
      <c r="AI368" s="2929"/>
      <c r="AJ368" s="2929"/>
      <c r="AK368" s="2929"/>
      <c r="AL368" s="2929"/>
      <c r="AM368" s="2929"/>
      <c r="AN368" s="2929"/>
      <c r="AO368" s="2929"/>
      <c r="AP368" s="2929"/>
      <c r="AQ368" s="2929"/>
      <c r="AR368" s="2929"/>
      <c r="AS368" s="2929"/>
      <c r="AT368" s="2949"/>
      <c r="AU368" s="2950"/>
      <c r="AV368" s="454">
        <f t="shared" si="262"/>
        <v>0</v>
      </c>
      <c r="AW368" s="454">
        <f t="shared" si="263"/>
        <v>0</v>
      </c>
      <c r="AX368" s="454">
        <f t="shared" si="264"/>
        <v>0</v>
      </c>
      <c r="AY368" s="2966">
        <f t="shared" si="239"/>
        <v>0</v>
      </c>
      <c r="AZ368" s="2897">
        <f t="shared" si="240"/>
        <v>0</v>
      </c>
      <c r="BA368" s="2897">
        <f t="shared" si="241"/>
        <v>0</v>
      </c>
      <c r="BB368" s="2897">
        <f t="shared" si="242"/>
        <v>0</v>
      </c>
      <c r="BC368" s="2897">
        <f t="shared" si="243"/>
        <v>0</v>
      </c>
      <c r="BD368" s="2897">
        <f t="shared" si="244"/>
        <v>0</v>
      </c>
      <c r="BE368" s="2897">
        <f t="shared" si="245"/>
        <v>0</v>
      </c>
      <c r="BF368" s="2897">
        <f t="shared" si="246"/>
        <v>0</v>
      </c>
      <c r="BG368" s="2897">
        <f t="shared" si="247"/>
        <v>0</v>
      </c>
      <c r="BH368" s="2897">
        <f t="shared" si="248"/>
        <v>0</v>
      </c>
      <c r="BI368" s="2897">
        <f t="shared" si="249"/>
        <v>0</v>
      </c>
      <c r="BJ368" s="2897">
        <f t="shared" si="250"/>
        <v>0</v>
      </c>
      <c r="BK368" s="2897">
        <f t="shared" si="251"/>
        <v>0</v>
      </c>
      <c r="BL368" s="2897">
        <f t="shared" si="252"/>
        <v>0</v>
      </c>
      <c r="BM368" s="2897">
        <f t="shared" si="253"/>
        <v>0</v>
      </c>
      <c r="BN368" s="2897">
        <f t="shared" si="254"/>
        <v>0</v>
      </c>
      <c r="BO368" s="2897">
        <f t="shared" si="255"/>
        <v>0</v>
      </c>
      <c r="BP368" s="2897">
        <f t="shared" si="256"/>
        <v>0</v>
      </c>
      <c r="BQ368" s="2897">
        <f t="shared" si="257"/>
        <v>0</v>
      </c>
      <c r="BR368" s="2897">
        <f t="shared" si="258"/>
        <v>0</v>
      </c>
      <c r="BS368" s="2897">
        <f t="shared" si="259"/>
        <v>0</v>
      </c>
      <c r="BT368" s="2971">
        <f t="shared" si="260"/>
        <v>0</v>
      </c>
    </row>
    <row r="369" spans="1:72">
      <c r="A369" s="2894"/>
      <c r="B369" s="2895"/>
      <c r="C369" s="2895"/>
      <c r="D369" s="2907"/>
      <c r="E369" s="2897">
        <f t="shared" si="261"/>
        <v>0</v>
      </c>
      <c r="F369" s="2898"/>
      <c r="G369" s="2899">
        <f t="shared" si="236"/>
        <v>0</v>
      </c>
      <c r="H369" s="2900">
        <f t="shared" si="237"/>
        <v>0</v>
      </c>
      <c r="I369" s="2918"/>
      <c r="J369" s="2918"/>
      <c r="K369" s="2918"/>
      <c r="L369" s="2918"/>
      <c r="M369" s="2918"/>
      <c r="N369" s="2918"/>
      <c r="O369" s="2918"/>
      <c r="P369" s="2918"/>
      <c r="Q369" s="2918"/>
      <c r="R369" s="2918"/>
      <c r="S369" s="2918"/>
      <c r="T369" s="2918"/>
      <c r="U369" s="2918"/>
      <c r="V369" s="2918"/>
      <c r="W369" s="2918"/>
      <c r="X369" s="2918"/>
      <c r="Y369" s="2918"/>
      <c r="Z369" s="2918"/>
      <c r="AA369" s="2918"/>
      <c r="AB369" s="2918"/>
      <c r="AC369" s="2897">
        <f t="shared" si="238"/>
        <v>0</v>
      </c>
      <c r="AD369" s="2929"/>
      <c r="AE369" s="2929"/>
      <c r="AF369" s="2929"/>
      <c r="AG369" s="2929"/>
      <c r="AH369" s="2929"/>
      <c r="AI369" s="2929"/>
      <c r="AJ369" s="2929"/>
      <c r="AK369" s="2929"/>
      <c r="AL369" s="2929"/>
      <c r="AM369" s="2929"/>
      <c r="AN369" s="2929"/>
      <c r="AO369" s="2929"/>
      <c r="AP369" s="2929"/>
      <c r="AQ369" s="2929"/>
      <c r="AR369" s="2929"/>
      <c r="AS369" s="2929"/>
      <c r="AT369" s="2949"/>
      <c r="AU369" s="2950"/>
      <c r="AV369" s="454">
        <f t="shared" si="262"/>
        <v>0</v>
      </c>
      <c r="AW369" s="454">
        <f t="shared" si="263"/>
        <v>0</v>
      </c>
      <c r="AX369" s="454">
        <f t="shared" si="264"/>
        <v>0</v>
      </c>
      <c r="AY369" s="2966">
        <f t="shared" si="239"/>
        <v>0</v>
      </c>
      <c r="AZ369" s="2897">
        <f t="shared" si="240"/>
        <v>0</v>
      </c>
      <c r="BA369" s="2897">
        <f t="shared" si="241"/>
        <v>0</v>
      </c>
      <c r="BB369" s="2897">
        <f t="shared" si="242"/>
        <v>0</v>
      </c>
      <c r="BC369" s="2897">
        <f t="shared" si="243"/>
        <v>0</v>
      </c>
      <c r="BD369" s="2897">
        <f t="shared" si="244"/>
        <v>0</v>
      </c>
      <c r="BE369" s="2897">
        <f t="shared" si="245"/>
        <v>0</v>
      </c>
      <c r="BF369" s="2897">
        <f t="shared" si="246"/>
        <v>0</v>
      </c>
      <c r="BG369" s="2897">
        <f t="shared" si="247"/>
        <v>0</v>
      </c>
      <c r="BH369" s="2897">
        <f t="shared" si="248"/>
        <v>0</v>
      </c>
      <c r="BI369" s="2897">
        <f t="shared" si="249"/>
        <v>0</v>
      </c>
      <c r="BJ369" s="2897">
        <f t="shared" si="250"/>
        <v>0</v>
      </c>
      <c r="BK369" s="2897">
        <f t="shared" si="251"/>
        <v>0</v>
      </c>
      <c r="BL369" s="2897">
        <f t="shared" si="252"/>
        <v>0</v>
      </c>
      <c r="BM369" s="2897">
        <f t="shared" si="253"/>
        <v>0</v>
      </c>
      <c r="BN369" s="2897">
        <f t="shared" si="254"/>
        <v>0</v>
      </c>
      <c r="BO369" s="2897">
        <f t="shared" si="255"/>
        <v>0</v>
      </c>
      <c r="BP369" s="2897">
        <f t="shared" si="256"/>
        <v>0</v>
      </c>
      <c r="BQ369" s="2897">
        <f t="shared" si="257"/>
        <v>0</v>
      </c>
      <c r="BR369" s="2897">
        <f t="shared" si="258"/>
        <v>0</v>
      </c>
      <c r="BS369" s="2897">
        <f t="shared" si="259"/>
        <v>0</v>
      </c>
      <c r="BT369" s="2971">
        <f t="shared" si="260"/>
        <v>0</v>
      </c>
    </row>
    <row r="370" spans="1:72">
      <c r="A370" s="2894"/>
      <c r="B370" s="2895"/>
      <c r="C370" s="2895"/>
      <c r="D370" s="2907"/>
      <c r="E370" s="2897">
        <f t="shared" si="261"/>
        <v>0</v>
      </c>
      <c r="F370" s="2898"/>
      <c r="G370" s="2899">
        <f t="shared" si="236"/>
        <v>0</v>
      </c>
      <c r="H370" s="2900">
        <f t="shared" si="237"/>
        <v>0</v>
      </c>
      <c r="I370" s="2918"/>
      <c r="J370" s="2918"/>
      <c r="K370" s="2918"/>
      <c r="L370" s="2918"/>
      <c r="M370" s="2918"/>
      <c r="N370" s="2918"/>
      <c r="O370" s="2918"/>
      <c r="P370" s="2918"/>
      <c r="Q370" s="2918"/>
      <c r="R370" s="2918"/>
      <c r="S370" s="2918"/>
      <c r="T370" s="2918"/>
      <c r="U370" s="2918"/>
      <c r="V370" s="2918"/>
      <c r="W370" s="2918"/>
      <c r="X370" s="2918"/>
      <c r="Y370" s="2918"/>
      <c r="Z370" s="2918"/>
      <c r="AA370" s="2918"/>
      <c r="AB370" s="2918"/>
      <c r="AC370" s="2897">
        <f t="shared" si="238"/>
        <v>0</v>
      </c>
      <c r="AD370" s="2929"/>
      <c r="AE370" s="2929"/>
      <c r="AF370" s="2929"/>
      <c r="AG370" s="2929"/>
      <c r="AH370" s="2929"/>
      <c r="AI370" s="2929"/>
      <c r="AJ370" s="2929"/>
      <c r="AK370" s="2929"/>
      <c r="AL370" s="2929"/>
      <c r="AM370" s="2929"/>
      <c r="AN370" s="2929"/>
      <c r="AO370" s="2929"/>
      <c r="AP370" s="2929"/>
      <c r="AQ370" s="2929"/>
      <c r="AR370" s="2929"/>
      <c r="AS370" s="2929"/>
      <c r="AT370" s="2949"/>
      <c r="AU370" s="2950"/>
      <c r="AV370" s="454">
        <f t="shared" si="262"/>
        <v>0</v>
      </c>
      <c r="AW370" s="454">
        <f t="shared" si="263"/>
        <v>0</v>
      </c>
      <c r="AX370" s="454">
        <f t="shared" si="264"/>
        <v>0</v>
      </c>
      <c r="AY370" s="2966">
        <f t="shared" si="239"/>
        <v>0</v>
      </c>
      <c r="AZ370" s="2897">
        <f t="shared" si="240"/>
        <v>0</v>
      </c>
      <c r="BA370" s="2897">
        <f t="shared" si="241"/>
        <v>0</v>
      </c>
      <c r="BB370" s="2897">
        <f t="shared" si="242"/>
        <v>0</v>
      </c>
      <c r="BC370" s="2897">
        <f t="shared" si="243"/>
        <v>0</v>
      </c>
      <c r="BD370" s="2897">
        <f t="shared" si="244"/>
        <v>0</v>
      </c>
      <c r="BE370" s="2897">
        <f t="shared" si="245"/>
        <v>0</v>
      </c>
      <c r="BF370" s="2897">
        <f t="shared" si="246"/>
        <v>0</v>
      </c>
      <c r="BG370" s="2897">
        <f t="shared" si="247"/>
        <v>0</v>
      </c>
      <c r="BH370" s="2897">
        <f t="shared" si="248"/>
        <v>0</v>
      </c>
      <c r="BI370" s="2897">
        <f t="shared" si="249"/>
        <v>0</v>
      </c>
      <c r="BJ370" s="2897">
        <f t="shared" si="250"/>
        <v>0</v>
      </c>
      <c r="BK370" s="2897">
        <f t="shared" si="251"/>
        <v>0</v>
      </c>
      <c r="BL370" s="2897">
        <f t="shared" si="252"/>
        <v>0</v>
      </c>
      <c r="BM370" s="2897">
        <f t="shared" si="253"/>
        <v>0</v>
      </c>
      <c r="BN370" s="2897">
        <f t="shared" si="254"/>
        <v>0</v>
      </c>
      <c r="BO370" s="2897">
        <f t="shared" si="255"/>
        <v>0</v>
      </c>
      <c r="BP370" s="2897">
        <f t="shared" si="256"/>
        <v>0</v>
      </c>
      <c r="BQ370" s="2897">
        <f t="shared" si="257"/>
        <v>0</v>
      </c>
      <c r="BR370" s="2897">
        <f t="shared" si="258"/>
        <v>0</v>
      </c>
      <c r="BS370" s="2897">
        <f t="shared" si="259"/>
        <v>0</v>
      </c>
      <c r="BT370" s="2971">
        <f t="shared" si="260"/>
        <v>0</v>
      </c>
    </row>
    <row r="371" spans="1:72">
      <c r="A371" s="2894"/>
      <c r="B371" s="2895"/>
      <c r="C371" s="2895"/>
      <c r="D371" s="2907"/>
      <c r="E371" s="2897">
        <f t="shared" si="261"/>
        <v>0</v>
      </c>
      <c r="F371" s="2898"/>
      <c r="G371" s="2899">
        <f t="shared" si="236"/>
        <v>0</v>
      </c>
      <c r="H371" s="2900">
        <f t="shared" si="237"/>
        <v>0</v>
      </c>
      <c r="I371" s="2918"/>
      <c r="J371" s="2918"/>
      <c r="K371" s="2918"/>
      <c r="L371" s="2918"/>
      <c r="M371" s="2918"/>
      <c r="N371" s="2918"/>
      <c r="O371" s="2918"/>
      <c r="P371" s="2918"/>
      <c r="Q371" s="2918"/>
      <c r="R371" s="2918"/>
      <c r="S371" s="2918"/>
      <c r="T371" s="2918"/>
      <c r="U371" s="2918"/>
      <c r="V371" s="2918"/>
      <c r="W371" s="2918"/>
      <c r="X371" s="2918"/>
      <c r="Y371" s="2918"/>
      <c r="Z371" s="2918"/>
      <c r="AA371" s="2918"/>
      <c r="AB371" s="2918"/>
      <c r="AC371" s="2897">
        <f t="shared" si="238"/>
        <v>0</v>
      </c>
      <c r="AD371" s="2929"/>
      <c r="AE371" s="2929"/>
      <c r="AF371" s="2929"/>
      <c r="AG371" s="2929"/>
      <c r="AH371" s="2929"/>
      <c r="AI371" s="2929"/>
      <c r="AJ371" s="2929"/>
      <c r="AK371" s="2929"/>
      <c r="AL371" s="2929"/>
      <c r="AM371" s="2929"/>
      <c r="AN371" s="2929"/>
      <c r="AO371" s="2929"/>
      <c r="AP371" s="2929"/>
      <c r="AQ371" s="2929"/>
      <c r="AR371" s="2929"/>
      <c r="AS371" s="2929"/>
      <c r="AT371" s="2949"/>
      <c r="AU371" s="2950"/>
      <c r="AV371" s="454">
        <f t="shared" si="262"/>
        <v>0</v>
      </c>
      <c r="AW371" s="454">
        <f t="shared" si="263"/>
        <v>0</v>
      </c>
      <c r="AX371" s="454">
        <f t="shared" si="264"/>
        <v>0</v>
      </c>
      <c r="AY371" s="2966">
        <f t="shared" si="239"/>
        <v>0</v>
      </c>
      <c r="AZ371" s="2897">
        <f t="shared" si="240"/>
        <v>0</v>
      </c>
      <c r="BA371" s="2897">
        <f t="shared" si="241"/>
        <v>0</v>
      </c>
      <c r="BB371" s="2897">
        <f t="shared" si="242"/>
        <v>0</v>
      </c>
      <c r="BC371" s="2897">
        <f t="shared" si="243"/>
        <v>0</v>
      </c>
      <c r="BD371" s="2897">
        <f t="shared" si="244"/>
        <v>0</v>
      </c>
      <c r="BE371" s="2897">
        <f t="shared" si="245"/>
        <v>0</v>
      </c>
      <c r="BF371" s="2897">
        <f t="shared" si="246"/>
        <v>0</v>
      </c>
      <c r="BG371" s="2897">
        <f t="shared" si="247"/>
        <v>0</v>
      </c>
      <c r="BH371" s="2897">
        <f t="shared" si="248"/>
        <v>0</v>
      </c>
      <c r="BI371" s="2897">
        <f t="shared" si="249"/>
        <v>0</v>
      </c>
      <c r="BJ371" s="2897">
        <f t="shared" si="250"/>
        <v>0</v>
      </c>
      <c r="BK371" s="2897">
        <f t="shared" si="251"/>
        <v>0</v>
      </c>
      <c r="BL371" s="2897">
        <f t="shared" si="252"/>
        <v>0</v>
      </c>
      <c r="BM371" s="2897">
        <f t="shared" si="253"/>
        <v>0</v>
      </c>
      <c r="BN371" s="2897">
        <f t="shared" si="254"/>
        <v>0</v>
      </c>
      <c r="BO371" s="2897">
        <f t="shared" si="255"/>
        <v>0</v>
      </c>
      <c r="BP371" s="2897">
        <f t="shared" si="256"/>
        <v>0</v>
      </c>
      <c r="BQ371" s="2897">
        <f t="shared" si="257"/>
        <v>0</v>
      </c>
      <c r="BR371" s="2897">
        <f t="shared" si="258"/>
        <v>0</v>
      </c>
      <c r="BS371" s="2897">
        <f t="shared" si="259"/>
        <v>0</v>
      </c>
      <c r="BT371" s="2971">
        <f t="shared" si="260"/>
        <v>0</v>
      </c>
    </row>
    <row r="372" spans="1:72">
      <c r="A372" s="2894"/>
      <c r="B372" s="2895"/>
      <c r="C372" s="2895"/>
      <c r="D372" s="2907"/>
      <c r="E372" s="2897">
        <f t="shared" si="261"/>
        <v>0</v>
      </c>
      <c r="F372" s="2898"/>
      <c r="G372" s="2899">
        <f t="shared" si="236"/>
        <v>0</v>
      </c>
      <c r="H372" s="2900">
        <f t="shared" si="237"/>
        <v>0</v>
      </c>
      <c r="I372" s="2918"/>
      <c r="J372" s="2918"/>
      <c r="K372" s="2918"/>
      <c r="L372" s="2918"/>
      <c r="M372" s="2918"/>
      <c r="N372" s="2918"/>
      <c r="O372" s="2918"/>
      <c r="P372" s="2918"/>
      <c r="Q372" s="2918"/>
      <c r="R372" s="2918"/>
      <c r="S372" s="2918"/>
      <c r="T372" s="2918"/>
      <c r="U372" s="2918"/>
      <c r="V372" s="2918"/>
      <c r="W372" s="2918"/>
      <c r="X372" s="2918"/>
      <c r="Y372" s="2918"/>
      <c r="Z372" s="2918"/>
      <c r="AA372" s="2918"/>
      <c r="AB372" s="2918"/>
      <c r="AC372" s="2897">
        <f t="shared" si="238"/>
        <v>0</v>
      </c>
      <c r="AD372" s="2929"/>
      <c r="AE372" s="2929"/>
      <c r="AF372" s="2929"/>
      <c r="AG372" s="2929"/>
      <c r="AH372" s="2929"/>
      <c r="AI372" s="2929"/>
      <c r="AJ372" s="2929"/>
      <c r="AK372" s="2929"/>
      <c r="AL372" s="2929"/>
      <c r="AM372" s="2929"/>
      <c r="AN372" s="2929"/>
      <c r="AO372" s="2929"/>
      <c r="AP372" s="2929"/>
      <c r="AQ372" s="2929"/>
      <c r="AR372" s="2929"/>
      <c r="AS372" s="2929"/>
      <c r="AT372" s="2949"/>
      <c r="AU372" s="2950"/>
      <c r="AV372" s="454">
        <f t="shared" si="262"/>
        <v>0</v>
      </c>
      <c r="AW372" s="454">
        <f t="shared" si="263"/>
        <v>0</v>
      </c>
      <c r="AX372" s="454">
        <f t="shared" si="264"/>
        <v>0</v>
      </c>
      <c r="AY372" s="2966">
        <f t="shared" si="239"/>
        <v>0</v>
      </c>
      <c r="AZ372" s="2897">
        <f t="shared" si="240"/>
        <v>0</v>
      </c>
      <c r="BA372" s="2897">
        <f t="shared" si="241"/>
        <v>0</v>
      </c>
      <c r="BB372" s="2897">
        <f t="shared" si="242"/>
        <v>0</v>
      </c>
      <c r="BC372" s="2897">
        <f t="shared" si="243"/>
        <v>0</v>
      </c>
      <c r="BD372" s="2897">
        <f t="shared" si="244"/>
        <v>0</v>
      </c>
      <c r="BE372" s="2897">
        <f t="shared" si="245"/>
        <v>0</v>
      </c>
      <c r="BF372" s="2897">
        <f t="shared" si="246"/>
        <v>0</v>
      </c>
      <c r="BG372" s="2897">
        <f t="shared" si="247"/>
        <v>0</v>
      </c>
      <c r="BH372" s="2897">
        <f t="shared" si="248"/>
        <v>0</v>
      </c>
      <c r="BI372" s="2897">
        <f t="shared" si="249"/>
        <v>0</v>
      </c>
      <c r="BJ372" s="2897">
        <f t="shared" si="250"/>
        <v>0</v>
      </c>
      <c r="BK372" s="2897">
        <f t="shared" si="251"/>
        <v>0</v>
      </c>
      <c r="BL372" s="2897">
        <f t="shared" si="252"/>
        <v>0</v>
      </c>
      <c r="BM372" s="2897">
        <f t="shared" si="253"/>
        <v>0</v>
      </c>
      <c r="BN372" s="2897">
        <f t="shared" si="254"/>
        <v>0</v>
      </c>
      <c r="BO372" s="2897">
        <f t="shared" si="255"/>
        <v>0</v>
      </c>
      <c r="BP372" s="2897">
        <f t="shared" si="256"/>
        <v>0</v>
      </c>
      <c r="BQ372" s="2897">
        <f t="shared" si="257"/>
        <v>0</v>
      </c>
      <c r="BR372" s="2897">
        <f t="shared" si="258"/>
        <v>0</v>
      </c>
      <c r="BS372" s="2897">
        <f t="shared" si="259"/>
        <v>0</v>
      </c>
      <c r="BT372" s="2971">
        <f t="shared" si="260"/>
        <v>0</v>
      </c>
    </row>
    <row r="373" spans="1:72">
      <c r="A373" s="2894"/>
      <c r="B373" s="2895"/>
      <c r="C373" s="2895"/>
      <c r="D373" s="2907"/>
      <c r="E373" s="2897">
        <f t="shared" si="261"/>
        <v>0</v>
      </c>
      <c r="F373" s="2898"/>
      <c r="G373" s="2899">
        <f t="shared" si="236"/>
        <v>0</v>
      </c>
      <c r="H373" s="2900">
        <f t="shared" si="237"/>
        <v>0</v>
      </c>
      <c r="I373" s="2918"/>
      <c r="J373" s="2918"/>
      <c r="K373" s="2918"/>
      <c r="L373" s="2918"/>
      <c r="M373" s="2918"/>
      <c r="N373" s="2918"/>
      <c r="O373" s="2918"/>
      <c r="P373" s="2918"/>
      <c r="Q373" s="2918"/>
      <c r="R373" s="2918"/>
      <c r="S373" s="2918"/>
      <c r="T373" s="2918"/>
      <c r="U373" s="2918"/>
      <c r="V373" s="2918"/>
      <c r="W373" s="2918"/>
      <c r="X373" s="2918"/>
      <c r="Y373" s="2918"/>
      <c r="Z373" s="2918"/>
      <c r="AA373" s="2918"/>
      <c r="AB373" s="2918"/>
      <c r="AC373" s="2897">
        <f t="shared" si="238"/>
        <v>0</v>
      </c>
      <c r="AD373" s="2929"/>
      <c r="AE373" s="2929"/>
      <c r="AF373" s="2929"/>
      <c r="AG373" s="2929"/>
      <c r="AH373" s="2929"/>
      <c r="AI373" s="2929"/>
      <c r="AJ373" s="2929"/>
      <c r="AK373" s="2929"/>
      <c r="AL373" s="2929"/>
      <c r="AM373" s="2929"/>
      <c r="AN373" s="2929"/>
      <c r="AO373" s="2929"/>
      <c r="AP373" s="2929"/>
      <c r="AQ373" s="2929"/>
      <c r="AR373" s="2929"/>
      <c r="AS373" s="2929"/>
      <c r="AT373" s="2949"/>
      <c r="AU373" s="2950"/>
      <c r="AV373" s="454">
        <f t="shared" si="262"/>
        <v>0</v>
      </c>
      <c r="AW373" s="454">
        <f t="shared" si="263"/>
        <v>0</v>
      </c>
      <c r="AX373" s="454">
        <f t="shared" si="264"/>
        <v>0</v>
      </c>
      <c r="AY373" s="2966">
        <f t="shared" si="239"/>
        <v>0</v>
      </c>
      <c r="AZ373" s="2897">
        <f t="shared" si="240"/>
        <v>0</v>
      </c>
      <c r="BA373" s="2897">
        <f t="shared" si="241"/>
        <v>0</v>
      </c>
      <c r="BB373" s="2897">
        <f t="shared" si="242"/>
        <v>0</v>
      </c>
      <c r="BC373" s="2897">
        <f t="shared" si="243"/>
        <v>0</v>
      </c>
      <c r="BD373" s="2897">
        <f t="shared" si="244"/>
        <v>0</v>
      </c>
      <c r="BE373" s="2897">
        <f t="shared" si="245"/>
        <v>0</v>
      </c>
      <c r="BF373" s="2897">
        <f t="shared" si="246"/>
        <v>0</v>
      </c>
      <c r="BG373" s="2897">
        <f t="shared" si="247"/>
        <v>0</v>
      </c>
      <c r="BH373" s="2897">
        <f t="shared" si="248"/>
        <v>0</v>
      </c>
      <c r="BI373" s="2897">
        <f t="shared" si="249"/>
        <v>0</v>
      </c>
      <c r="BJ373" s="2897">
        <f t="shared" si="250"/>
        <v>0</v>
      </c>
      <c r="BK373" s="2897">
        <f t="shared" si="251"/>
        <v>0</v>
      </c>
      <c r="BL373" s="2897">
        <f t="shared" si="252"/>
        <v>0</v>
      </c>
      <c r="BM373" s="2897">
        <f t="shared" si="253"/>
        <v>0</v>
      </c>
      <c r="BN373" s="2897">
        <f t="shared" si="254"/>
        <v>0</v>
      </c>
      <c r="BO373" s="2897">
        <f t="shared" si="255"/>
        <v>0</v>
      </c>
      <c r="BP373" s="2897">
        <f t="shared" si="256"/>
        <v>0</v>
      </c>
      <c r="BQ373" s="2897">
        <f t="shared" si="257"/>
        <v>0</v>
      </c>
      <c r="BR373" s="2897">
        <f t="shared" si="258"/>
        <v>0</v>
      </c>
      <c r="BS373" s="2897">
        <f t="shared" si="259"/>
        <v>0</v>
      </c>
      <c r="BT373" s="2971">
        <f t="shared" si="260"/>
        <v>0</v>
      </c>
    </row>
    <row r="374" spans="1:72">
      <c r="A374" s="2894"/>
      <c r="B374" s="2895"/>
      <c r="C374" s="2895"/>
      <c r="D374" s="2907"/>
      <c r="E374" s="2897">
        <f t="shared" si="261"/>
        <v>0</v>
      </c>
      <c r="F374" s="2898"/>
      <c r="G374" s="2899">
        <f t="shared" si="236"/>
        <v>0</v>
      </c>
      <c r="H374" s="2900">
        <f t="shared" si="237"/>
        <v>0</v>
      </c>
      <c r="I374" s="2918"/>
      <c r="J374" s="2918"/>
      <c r="K374" s="2918"/>
      <c r="L374" s="2918"/>
      <c r="M374" s="2918"/>
      <c r="N374" s="2918"/>
      <c r="O374" s="2918"/>
      <c r="P374" s="2918"/>
      <c r="Q374" s="2918"/>
      <c r="R374" s="2918"/>
      <c r="S374" s="2918"/>
      <c r="T374" s="2918"/>
      <c r="U374" s="2918"/>
      <c r="V374" s="2918"/>
      <c r="W374" s="2918"/>
      <c r="X374" s="2918"/>
      <c r="Y374" s="2918"/>
      <c r="Z374" s="2918"/>
      <c r="AA374" s="2918"/>
      <c r="AB374" s="2918"/>
      <c r="AC374" s="2897">
        <f t="shared" si="238"/>
        <v>0</v>
      </c>
      <c r="AD374" s="2929"/>
      <c r="AE374" s="2929"/>
      <c r="AF374" s="2929"/>
      <c r="AG374" s="2929"/>
      <c r="AH374" s="2929"/>
      <c r="AI374" s="2929"/>
      <c r="AJ374" s="2929"/>
      <c r="AK374" s="2929"/>
      <c r="AL374" s="2929"/>
      <c r="AM374" s="2929"/>
      <c r="AN374" s="2929"/>
      <c r="AO374" s="2929"/>
      <c r="AP374" s="2929"/>
      <c r="AQ374" s="2929"/>
      <c r="AR374" s="2929"/>
      <c r="AS374" s="2929"/>
      <c r="AT374" s="2949"/>
      <c r="AU374" s="2950"/>
      <c r="AV374" s="454">
        <f t="shared" si="262"/>
        <v>0</v>
      </c>
      <c r="AW374" s="454">
        <f t="shared" si="263"/>
        <v>0</v>
      </c>
      <c r="AX374" s="454">
        <f t="shared" si="264"/>
        <v>0</v>
      </c>
      <c r="AY374" s="2966">
        <f t="shared" si="239"/>
        <v>0</v>
      </c>
      <c r="AZ374" s="2897">
        <f t="shared" si="240"/>
        <v>0</v>
      </c>
      <c r="BA374" s="2897">
        <f t="shared" si="241"/>
        <v>0</v>
      </c>
      <c r="BB374" s="2897">
        <f t="shared" si="242"/>
        <v>0</v>
      </c>
      <c r="BC374" s="2897">
        <f t="shared" si="243"/>
        <v>0</v>
      </c>
      <c r="BD374" s="2897">
        <f t="shared" si="244"/>
        <v>0</v>
      </c>
      <c r="BE374" s="2897">
        <f t="shared" si="245"/>
        <v>0</v>
      </c>
      <c r="BF374" s="2897">
        <f t="shared" si="246"/>
        <v>0</v>
      </c>
      <c r="BG374" s="2897">
        <f t="shared" si="247"/>
        <v>0</v>
      </c>
      <c r="BH374" s="2897">
        <f t="shared" si="248"/>
        <v>0</v>
      </c>
      <c r="BI374" s="2897">
        <f t="shared" si="249"/>
        <v>0</v>
      </c>
      <c r="BJ374" s="2897">
        <f t="shared" si="250"/>
        <v>0</v>
      </c>
      <c r="BK374" s="2897">
        <f t="shared" si="251"/>
        <v>0</v>
      </c>
      <c r="BL374" s="2897">
        <f t="shared" si="252"/>
        <v>0</v>
      </c>
      <c r="BM374" s="2897">
        <f t="shared" si="253"/>
        <v>0</v>
      </c>
      <c r="BN374" s="2897">
        <f t="shared" si="254"/>
        <v>0</v>
      </c>
      <c r="BO374" s="2897">
        <f t="shared" si="255"/>
        <v>0</v>
      </c>
      <c r="BP374" s="2897">
        <f t="shared" si="256"/>
        <v>0</v>
      </c>
      <c r="BQ374" s="2897">
        <f t="shared" si="257"/>
        <v>0</v>
      </c>
      <c r="BR374" s="2897">
        <f t="shared" si="258"/>
        <v>0</v>
      </c>
      <c r="BS374" s="2897">
        <f t="shared" si="259"/>
        <v>0</v>
      </c>
      <c r="BT374" s="2971">
        <f t="shared" si="260"/>
        <v>0</v>
      </c>
    </row>
    <row r="375" spans="1:72">
      <c r="A375" s="2894"/>
      <c r="B375" s="2895"/>
      <c r="C375" s="2895"/>
      <c r="D375" s="2907"/>
      <c r="E375" s="2897">
        <f t="shared" si="261"/>
        <v>0</v>
      </c>
      <c r="F375" s="2898"/>
      <c r="G375" s="2899">
        <f t="shared" si="236"/>
        <v>0</v>
      </c>
      <c r="H375" s="2900">
        <f t="shared" si="237"/>
        <v>0</v>
      </c>
      <c r="I375" s="2918"/>
      <c r="J375" s="2918"/>
      <c r="K375" s="2918"/>
      <c r="L375" s="2918"/>
      <c r="M375" s="2918"/>
      <c r="N375" s="2918"/>
      <c r="O375" s="2918"/>
      <c r="P375" s="2918"/>
      <c r="Q375" s="2918"/>
      <c r="R375" s="2918"/>
      <c r="S375" s="2918"/>
      <c r="T375" s="2918"/>
      <c r="U375" s="2918"/>
      <c r="V375" s="2918"/>
      <c r="W375" s="2918"/>
      <c r="X375" s="2918"/>
      <c r="Y375" s="2918"/>
      <c r="Z375" s="2918"/>
      <c r="AA375" s="2918"/>
      <c r="AB375" s="2918"/>
      <c r="AC375" s="2897">
        <f t="shared" si="238"/>
        <v>0</v>
      </c>
      <c r="AD375" s="2929"/>
      <c r="AE375" s="2929"/>
      <c r="AF375" s="2929"/>
      <c r="AG375" s="2929"/>
      <c r="AH375" s="2929"/>
      <c r="AI375" s="2929"/>
      <c r="AJ375" s="2929"/>
      <c r="AK375" s="2929"/>
      <c r="AL375" s="2929"/>
      <c r="AM375" s="2929"/>
      <c r="AN375" s="2929"/>
      <c r="AO375" s="2929"/>
      <c r="AP375" s="2929"/>
      <c r="AQ375" s="2929"/>
      <c r="AR375" s="2929"/>
      <c r="AS375" s="2929"/>
      <c r="AT375" s="2949"/>
      <c r="AU375" s="2950"/>
      <c r="AV375" s="454">
        <f t="shared" si="262"/>
        <v>0</v>
      </c>
      <c r="AW375" s="454">
        <f t="shared" si="263"/>
        <v>0</v>
      </c>
      <c r="AX375" s="454">
        <f t="shared" si="264"/>
        <v>0</v>
      </c>
      <c r="AY375" s="2966">
        <f t="shared" si="239"/>
        <v>0</v>
      </c>
      <c r="AZ375" s="2897">
        <f t="shared" si="240"/>
        <v>0</v>
      </c>
      <c r="BA375" s="2897">
        <f t="shared" si="241"/>
        <v>0</v>
      </c>
      <c r="BB375" s="2897">
        <f t="shared" si="242"/>
        <v>0</v>
      </c>
      <c r="BC375" s="2897">
        <f t="shared" si="243"/>
        <v>0</v>
      </c>
      <c r="BD375" s="2897">
        <f t="shared" si="244"/>
        <v>0</v>
      </c>
      <c r="BE375" s="2897">
        <f t="shared" si="245"/>
        <v>0</v>
      </c>
      <c r="BF375" s="2897">
        <f t="shared" si="246"/>
        <v>0</v>
      </c>
      <c r="BG375" s="2897">
        <f t="shared" si="247"/>
        <v>0</v>
      </c>
      <c r="BH375" s="2897">
        <f t="shared" si="248"/>
        <v>0</v>
      </c>
      <c r="BI375" s="2897">
        <f t="shared" si="249"/>
        <v>0</v>
      </c>
      <c r="BJ375" s="2897">
        <f t="shared" si="250"/>
        <v>0</v>
      </c>
      <c r="BK375" s="2897">
        <f t="shared" si="251"/>
        <v>0</v>
      </c>
      <c r="BL375" s="2897">
        <f t="shared" si="252"/>
        <v>0</v>
      </c>
      <c r="BM375" s="2897">
        <f t="shared" si="253"/>
        <v>0</v>
      </c>
      <c r="BN375" s="2897">
        <f t="shared" si="254"/>
        <v>0</v>
      </c>
      <c r="BO375" s="2897">
        <f t="shared" si="255"/>
        <v>0</v>
      </c>
      <c r="BP375" s="2897">
        <f t="shared" si="256"/>
        <v>0</v>
      </c>
      <c r="BQ375" s="2897">
        <f t="shared" si="257"/>
        <v>0</v>
      </c>
      <c r="BR375" s="2897">
        <f t="shared" si="258"/>
        <v>0</v>
      </c>
      <c r="BS375" s="2897">
        <f t="shared" si="259"/>
        <v>0</v>
      </c>
      <c r="BT375" s="2971">
        <f t="shared" si="260"/>
        <v>0</v>
      </c>
    </row>
    <row r="376" spans="1:72">
      <c r="A376" s="2894"/>
      <c r="B376" s="2895"/>
      <c r="C376" s="2895"/>
      <c r="D376" s="2907"/>
      <c r="E376" s="2897">
        <f t="shared" si="261"/>
        <v>0</v>
      </c>
      <c r="F376" s="2898"/>
      <c r="G376" s="2899">
        <f t="shared" si="236"/>
        <v>0</v>
      </c>
      <c r="H376" s="2900">
        <f t="shared" si="237"/>
        <v>0</v>
      </c>
      <c r="I376" s="2918"/>
      <c r="J376" s="2918"/>
      <c r="K376" s="2918"/>
      <c r="L376" s="2918"/>
      <c r="M376" s="2918"/>
      <c r="N376" s="2918"/>
      <c r="O376" s="2918"/>
      <c r="P376" s="2918"/>
      <c r="Q376" s="2918"/>
      <c r="R376" s="2918"/>
      <c r="S376" s="2918"/>
      <c r="T376" s="2918"/>
      <c r="U376" s="2918"/>
      <c r="V376" s="2918"/>
      <c r="W376" s="2918"/>
      <c r="X376" s="2918"/>
      <c r="Y376" s="2918"/>
      <c r="Z376" s="2918"/>
      <c r="AA376" s="2918"/>
      <c r="AB376" s="2918"/>
      <c r="AC376" s="2897">
        <f t="shared" si="238"/>
        <v>0</v>
      </c>
      <c r="AD376" s="2929"/>
      <c r="AE376" s="2929"/>
      <c r="AF376" s="2929"/>
      <c r="AG376" s="2929"/>
      <c r="AH376" s="2929"/>
      <c r="AI376" s="2929"/>
      <c r="AJ376" s="2929"/>
      <c r="AK376" s="2929"/>
      <c r="AL376" s="2929"/>
      <c r="AM376" s="2929"/>
      <c r="AN376" s="2929"/>
      <c r="AO376" s="2929"/>
      <c r="AP376" s="2929"/>
      <c r="AQ376" s="2929"/>
      <c r="AR376" s="2929"/>
      <c r="AS376" s="2929"/>
      <c r="AT376" s="2949"/>
      <c r="AU376" s="2950"/>
      <c r="AV376" s="454">
        <f t="shared" si="262"/>
        <v>0</v>
      </c>
      <c r="AW376" s="454">
        <f t="shared" si="263"/>
        <v>0</v>
      </c>
      <c r="AX376" s="454">
        <f t="shared" si="264"/>
        <v>0</v>
      </c>
      <c r="AY376" s="2966">
        <f t="shared" si="239"/>
        <v>0</v>
      </c>
      <c r="AZ376" s="2897">
        <f t="shared" si="240"/>
        <v>0</v>
      </c>
      <c r="BA376" s="2897">
        <f t="shared" si="241"/>
        <v>0</v>
      </c>
      <c r="BB376" s="2897">
        <f t="shared" si="242"/>
        <v>0</v>
      </c>
      <c r="BC376" s="2897">
        <f t="shared" si="243"/>
        <v>0</v>
      </c>
      <c r="BD376" s="2897">
        <f t="shared" si="244"/>
        <v>0</v>
      </c>
      <c r="BE376" s="2897">
        <f t="shared" si="245"/>
        <v>0</v>
      </c>
      <c r="BF376" s="2897">
        <f t="shared" si="246"/>
        <v>0</v>
      </c>
      <c r="BG376" s="2897">
        <f t="shared" si="247"/>
        <v>0</v>
      </c>
      <c r="BH376" s="2897">
        <f t="shared" si="248"/>
        <v>0</v>
      </c>
      <c r="BI376" s="2897">
        <f t="shared" si="249"/>
        <v>0</v>
      </c>
      <c r="BJ376" s="2897">
        <f t="shared" si="250"/>
        <v>0</v>
      </c>
      <c r="BK376" s="2897">
        <f t="shared" si="251"/>
        <v>0</v>
      </c>
      <c r="BL376" s="2897">
        <f t="shared" si="252"/>
        <v>0</v>
      </c>
      <c r="BM376" s="2897">
        <f t="shared" si="253"/>
        <v>0</v>
      </c>
      <c r="BN376" s="2897">
        <f t="shared" si="254"/>
        <v>0</v>
      </c>
      <c r="BO376" s="2897">
        <f t="shared" si="255"/>
        <v>0</v>
      </c>
      <c r="BP376" s="2897">
        <f t="shared" si="256"/>
        <v>0</v>
      </c>
      <c r="BQ376" s="2897">
        <f t="shared" si="257"/>
        <v>0</v>
      </c>
      <c r="BR376" s="2897">
        <f t="shared" si="258"/>
        <v>0</v>
      </c>
      <c r="BS376" s="2897">
        <f t="shared" si="259"/>
        <v>0</v>
      </c>
      <c r="BT376" s="2971">
        <f t="shared" si="260"/>
        <v>0</v>
      </c>
    </row>
    <row r="377" spans="1:72">
      <c r="A377" s="2894"/>
      <c r="B377" s="2895"/>
      <c r="C377" s="2895"/>
      <c r="D377" s="2907"/>
      <c r="E377" s="2897">
        <f t="shared" si="261"/>
        <v>0</v>
      </c>
      <c r="F377" s="2898"/>
      <c r="G377" s="2899">
        <f t="shared" si="236"/>
        <v>0</v>
      </c>
      <c r="H377" s="2900">
        <f t="shared" si="237"/>
        <v>0</v>
      </c>
      <c r="I377" s="2918"/>
      <c r="J377" s="2918"/>
      <c r="K377" s="2918"/>
      <c r="L377" s="2918"/>
      <c r="M377" s="2918"/>
      <c r="N377" s="2918"/>
      <c r="O377" s="2918"/>
      <c r="P377" s="2918"/>
      <c r="Q377" s="2918"/>
      <c r="R377" s="2918"/>
      <c r="S377" s="2918"/>
      <c r="T377" s="2918"/>
      <c r="U377" s="2918"/>
      <c r="V377" s="2918"/>
      <c r="W377" s="2918"/>
      <c r="X377" s="2918"/>
      <c r="Y377" s="2918"/>
      <c r="Z377" s="2918"/>
      <c r="AA377" s="2918"/>
      <c r="AB377" s="2918"/>
      <c r="AC377" s="2897">
        <f t="shared" si="238"/>
        <v>0</v>
      </c>
      <c r="AD377" s="2929"/>
      <c r="AE377" s="2929"/>
      <c r="AF377" s="2929"/>
      <c r="AG377" s="2929"/>
      <c r="AH377" s="2929"/>
      <c r="AI377" s="2929"/>
      <c r="AJ377" s="2929"/>
      <c r="AK377" s="2929"/>
      <c r="AL377" s="2929"/>
      <c r="AM377" s="2929"/>
      <c r="AN377" s="2929"/>
      <c r="AO377" s="2929"/>
      <c r="AP377" s="2929"/>
      <c r="AQ377" s="2929"/>
      <c r="AR377" s="2929"/>
      <c r="AS377" s="2929"/>
      <c r="AT377" s="2949"/>
      <c r="AU377" s="2950"/>
      <c r="AV377" s="454">
        <f t="shared" si="262"/>
        <v>0</v>
      </c>
      <c r="AW377" s="454">
        <f t="shared" si="263"/>
        <v>0</v>
      </c>
      <c r="AX377" s="454">
        <f t="shared" si="264"/>
        <v>0</v>
      </c>
      <c r="AY377" s="2966">
        <f t="shared" si="239"/>
        <v>0</v>
      </c>
      <c r="AZ377" s="2897">
        <f t="shared" si="240"/>
        <v>0</v>
      </c>
      <c r="BA377" s="2897">
        <f t="shared" si="241"/>
        <v>0</v>
      </c>
      <c r="BB377" s="2897">
        <f t="shared" si="242"/>
        <v>0</v>
      </c>
      <c r="BC377" s="2897">
        <f t="shared" si="243"/>
        <v>0</v>
      </c>
      <c r="BD377" s="2897">
        <f t="shared" si="244"/>
        <v>0</v>
      </c>
      <c r="BE377" s="2897">
        <f t="shared" si="245"/>
        <v>0</v>
      </c>
      <c r="BF377" s="2897">
        <f t="shared" si="246"/>
        <v>0</v>
      </c>
      <c r="BG377" s="2897">
        <f t="shared" si="247"/>
        <v>0</v>
      </c>
      <c r="BH377" s="2897">
        <f t="shared" si="248"/>
        <v>0</v>
      </c>
      <c r="BI377" s="2897">
        <f t="shared" si="249"/>
        <v>0</v>
      </c>
      <c r="BJ377" s="2897">
        <f t="shared" si="250"/>
        <v>0</v>
      </c>
      <c r="BK377" s="2897">
        <f t="shared" si="251"/>
        <v>0</v>
      </c>
      <c r="BL377" s="2897">
        <f t="shared" si="252"/>
        <v>0</v>
      </c>
      <c r="BM377" s="2897">
        <f t="shared" si="253"/>
        <v>0</v>
      </c>
      <c r="BN377" s="2897">
        <f t="shared" si="254"/>
        <v>0</v>
      </c>
      <c r="BO377" s="2897">
        <f t="shared" si="255"/>
        <v>0</v>
      </c>
      <c r="BP377" s="2897">
        <f t="shared" si="256"/>
        <v>0</v>
      </c>
      <c r="BQ377" s="2897">
        <f t="shared" si="257"/>
        <v>0</v>
      </c>
      <c r="BR377" s="2897">
        <f t="shared" si="258"/>
        <v>0</v>
      </c>
      <c r="BS377" s="2897">
        <f t="shared" si="259"/>
        <v>0</v>
      </c>
      <c r="BT377" s="2971">
        <f t="shared" si="260"/>
        <v>0</v>
      </c>
    </row>
    <row r="378" spans="1:72">
      <c r="A378" s="2894"/>
      <c r="B378" s="2895"/>
      <c r="C378" s="2895"/>
      <c r="D378" s="2907"/>
      <c r="E378" s="2897">
        <f t="shared" si="261"/>
        <v>0</v>
      </c>
      <c r="F378" s="2898"/>
      <c r="G378" s="2899">
        <f t="shared" si="236"/>
        <v>0</v>
      </c>
      <c r="H378" s="2900">
        <f t="shared" si="237"/>
        <v>0</v>
      </c>
      <c r="I378" s="2918"/>
      <c r="J378" s="2918"/>
      <c r="K378" s="2918"/>
      <c r="L378" s="2918"/>
      <c r="M378" s="2918"/>
      <c r="N378" s="2918"/>
      <c r="O378" s="2918"/>
      <c r="P378" s="2918"/>
      <c r="Q378" s="2918"/>
      <c r="R378" s="2918"/>
      <c r="S378" s="2918"/>
      <c r="T378" s="2918"/>
      <c r="U378" s="2918"/>
      <c r="V378" s="2918"/>
      <c r="W378" s="2918"/>
      <c r="X378" s="2918"/>
      <c r="Y378" s="2918"/>
      <c r="Z378" s="2918"/>
      <c r="AA378" s="2918"/>
      <c r="AB378" s="2918"/>
      <c r="AC378" s="2897">
        <f t="shared" si="238"/>
        <v>0</v>
      </c>
      <c r="AD378" s="2929"/>
      <c r="AE378" s="2929"/>
      <c r="AF378" s="2929"/>
      <c r="AG378" s="2929"/>
      <c r="AH378" s="2929"/>
      <c r="AI378" s="2929"/>
      <c r="AJ378" s="2929"/>
      <c r="AK378" s="2929"/>
      <c r="AL378" s="2929"/>
      <c r="AM378" s="2929"/>
      <c r="AN378" s="2929"/>
      <c r="AO378" s="2929"/>
      <c r="AP378" s="2929"/>
      <c r="AQ378" s="2929"/>
      <c r="AR378" s="2929"/>
      <c r="AS378" s="2929"/>
      <c r="AT378" s="2949"/>
      <c r="AU378" s="2950"/>
      <c r="AV378" s="454">
        <f t="shared" si="262"/>
        <v>0</v>
      </c>
      <c r="AW378" s="454">
        <f t="shared" si="263"/>
        <v>0</v>
      </c>
      <c r="AX378" s="454">
        <f t="shared" si="264"/>
        <v>0</v>
      </c>
      <c r="AY378" s="2966">
        <f t="shared" si="239"/>
        <v>0</v>
      </c>
      <c r="AZ378" s="2897">
        <f t="shared" si="240"/>
        <v>0</v>
      </c>
      <c r="BA378" s="2897">
        <f t="shared" si="241"/>
        <v>0</v>
      </c>
      <c r="BB378" s="2897">
        <f t="shared" si="242"/>
        <v>0</v>
      </c>
      <c r="BC378" s="2897">
        <f t="shared" si="243"/>
        <v>0</v>
      </c>
      <c r="BD378" s="2897">
        <f t="shared" si="244"/>
        <v>0</v>
      </c>
      <c r="BE378" s="2897">
        <f t="shared" si="245"/>
        <v>0</v>
      </c>
      <c r="BF378" s="2897">
        <f t="shared" si="246"/>
        <v>0</v>
      </c>
      <c r="BG378" s="2897">
        <f t="shared" si="247"/>
        <v>0</v>
      </c>
      <c r="BH378" s="2897">
        <f t="shared" si="248"/>
        <v>0</v>
      </c>
      <c r="BI378" s="2897">
        <f t="shared" si="249"/>
        <v>0</v>
      </c>
      <c r="BJ378" s="2897">
        <f t="shared" si="250"/>
        <v>0</v>
      </c>
      <c r="BK378" s="2897">
        <f t="shared" si="251"/>
        <v>0</v>
      </c>
      <c r="BL378" s="2897">
        <f t="shared" si="252"/>
        <v>0</v>
      </c>
      <c r="BM378" s="2897">
        <f t="shared" si="253"/>
        <v>0</v>
      </c>
      <c r="BN378" s="2897">
        <f t="shared" si="254"/>
        <v>0</v>
      </c>
      <c r="BO378" s="2897">
        <f t="shared" si="255"/>
        <v>0</v>
      </c>
      <c r="BP378" s="2897">
        <f t="shared" si="256"/>
        <v>0</v>
      </c>
      <c r="BQ378" s="2897">
        <f t="shared" si="257"/>
        <v>0</v>
      </c>
      <c r="BR378" s="2897">
        <f t="shared" si="258"/>
        <v>0</v>
      </c>
      <c r="BS378" s="2897">
        <f t="shared" si="259"/>
        <v>0</v>
      </c>
      <c r="BT378" s="2971">
        <f t="shared" si="260"/>
        <v>0</v>
      </c>
    </row>
    <row r="379" spans="1:72">
      <c r="A379" s="2894"/>
      <c r="B379" s="2895"/>
      <c r="C379" s="2895"/>
      <c r="D379" s="2907"/>
      <c r="E379" s="2897">
        <f t="shared" si="261"/>
        <v>0</v>
      </c>
      <c r="F379" s="2898"/>
      <c r="G379" s="2899">
        <f t="shared" si="236"/>
        <v>0</v>
      </c>
      <c r="H379" s="2900">
        <f t="shared" si="237"/>
        <v>0</v>
      </c>
      <c r="I379" s="2918"/>
      <c r="J379" s="2918"/>
      <c r="K379" s="2918"/>
      <c r="L379" s="2918"/>
      <c r="M379" s="2918"/>
      <c r="N379" s="2918"/>
      <c r="O379" s="2918"/>
      <c r="P379" s="2918"/>
      <c r="Q379" s="2918"/>
      <c r="R379" s="2918"/>
      <c r="S379" s="2918"/>
      <c r="T379" s="2918"/>
      <c r="U379" s="2918"/>
      <c r="V379" s="2918"/>
      <c r="W379" s="2918"/>
      <c r="X379" s="2918"/>
      <c r="Y379" s="2918"/>
      <c r="Z379" s="2918"/>
      <c r="AA379" s="2918"/>
      <c r="AB379" s="2918"/>
      <c r="AC379" s="2897">
        <f t="shared" si="238"/>
        <v>0</v>
      </c>
      <c r="AD379" s="2929"/>
      <c r="AE379" s="2929"/>
      <c r="AF379" s="2929"/>
      <c r="AG379" s="2929"/>
      <c r="AH379" s="2929"/>
      <c r="AI379" s="2929"/>
      <c r="AJ379" s="2929"/>
      <c r="AK379" s="2929"/>
      <c r="AL379" s="2929"/>
      <c r="AM379" s="2929"/>
      <c r="AN379" s="2929"/>
      <c r="AO379" s="2929"/>
      <c r="AP379" s="2929"/>
      <c r="AQ379" s="2929"/>
      <c r="AR379" s="2929"/>
      <c r="AS379" s="2929"/>
      <c r="AT379" s="2949"/>
      <c r="AU379" s="2950"/>
      <c r="AV379" s="454">
        <f t="shared" si="262"/>
        <v>0</v>
      </c>
      <c r="AW379" s="454">
        <f t="shared" si="263"/>
        <v>0</v>
      </c>
      <c r="AX379" s="454">
        <f t="shared" si="264"/>
        <v>0</v>
      </c>
      <c r="AY379" s="2966">
        <f t="shared" si="239"/>
        <v>0</v>
      </c>
      <c r="AZ379" s="2897">
        <f t="shared" si="240"/>
        <v>0</v>
      </c>
      <c r="BA379" s="2897">
        <f t="shared" si="241"/>
        <v>0</v>
      </c>
      <c r="BB379" s="2897">
        <f t="shared" si="242"/>
        <v>0</v>
      </c>
      <c r="BC379" s="2897">
        <f t="shared" si="243"/>
        <v>0</v>
      </c>
      <c r="BD379" s="2897">
        <f t="shared" si="244"/>
        <v>0</v>
      </c>
      <c r="BE379" s="2897">
        <f t="shared" si="245"/>
        <v>0</v>
      </c>
      <c r="BF379" s="2897">
        <f t="shared" si="246"/>
        <v>0</v>
      </c>
      <c r="BG379" s="2897">
        <f t="shared" si="247"/>
        <v>0</v>
      </c>
      <c r="BH379" s="2897">
        <f t="shared" si="248"/>
        <v>0</v>
      </c>
      <c r="BI379" s="2897">
        <f t="shared" si="249"/>
        <v>0</v>
      </c>
      <c r="BJ379" s="2897">
        <f t="shared" si="250"/>
        <v>0</v>
      </c>
      <c r="BK379" s="2897">
        <f t="shared" si="251"/>
        <v>0</v>
      </c>
      <c r="BL379" s="2897">
        <f t="shared" si="252"/>
        <v>0</v>
      </c>
      <c r="BM379" s="2897">
        <f t="shared" si="253"/>
        <v>0</v>
      </c>
      <c r="BN379" s="2897">
        <f t="shared" si="254"/>
        <v>0</v>
      </c>
      <c r="BO379" s="2897">
        <f t="shared" si="255"/>
        <v>0</v>
      </c>
      <c r="BP379" s="2897">
        <f t="shared" si="256"/>
        <v>0</v>
      </c>
      <c r="BQ379" s="2897">
        <f t="shared" si="257"/>
        <v>0</v>
      </c>
      <c r="BR379" s="2897">
        <f t="shared" si="258"/>
        <v>0</v>
      </c>
      <c r="BS379" s="2897">
        <f t="shared" si="259"/>
        <v>0</v>
      </c>
      <c r="BT379" s="2971">
        <f t="shared" si="260"/>
        <v>0</v>
      </c>
    </row>
    <row r="380" spans="1:72">
      <c r="A380" s="2894"/>
      <c r="B380" s="2895"/>
      <c r="C380" s="2895"/>
      <c r="D380" s="2907"/>
      <c r="E380" s="2897">
        <f t="shared" si="261"/>
        <v>0</v>
      </c>
      <c r="F380" s="2898"/>
      <c r="G380" s="2899">
        <f t="shared" si="236"/>
        <v>0</v>
      </c>
      <c r="H380" s="2900">
        <f t="shared" si="237"/>
        <v>0</v>
      </c>
      <c r="I380" s="2918"/>
      <c r="J380" s="2918"/>
      <c r="K380" s="2918"/>
      <c r="L380" s="2918"/>
      <c r="M380" s="2918"/>
      <c r="N380" s="2918"/>
      <c r="O380" s="2918"/>
      <c r="P380" s="2918"/>
      <c r="Q380" s="2918"/>
      <c r="R380" s="2918"/>
      <c r="S380" s="2918"/>
      <c r="T380" s="2918"/>
      <c r="U380" s="2918"/>
      <c r="V380" s="2918"/>
      <c r="W380" s="2918"/>
      <c r="X380" s="2918"/>
      <c r="Y380" s="2918"/>
      <c r="Z380" s="2918"/>
      <c r="AA380" s="2918"/>
      <c r="AB380" s="2918"/>
      <c r="AC380" s="2897">
        <f t="shared" si="238"/>
        <v>0</v>
      </c>
      <c r="AD380" s="2929"/>
      <c r="AE380" s="2929"/>
      <c r="AF380" s="2929"/>
      <c r="AG380" s="2929"/>
      <c r="AH380" s="2929"/>
      <c r="AI380" s="2929"/>
      <c r="AJ380" s="2929"/>
      <c r="AK380" s="2929"/>
      <c r="AL380" s="2929"/>
      <c r="AM380" s="2929"/>
      <c r="AN380" s="2929"/>
      <c r="AO380" s="2929"/>
      <c r="AP380" s="2929"/>
      <c r="AQ380" s="2929"/>
      <c r="AR380" s="2929"/>
      <c r="AS380" s="2929"/>
      <c r="AT380" s="2949"/>
      <c r="AU380" s="2950"/>
      <c r="AV380" s="454">
        <f t="shared" si="262"/>
        <v>0</v>
      </c>
      <c r="AW380" s="454">
        <f t="shared" si="263"/>
        <v>0</v>
      </c>
      <c r="AX380" s="454">
        <f t="shared" si="264"/>
        <v>0</v>
      </c>
      <c r="AY380" s="2966">
        <f t="shared" si="239"/>
        <v>0</v>
      </c>
      <c r="AZ380" s="2897">
        <f t="shared" si="240"/>
        <v>0</v>
      </c>
      <c r="BA380" s="2897">
        <f t="shared" si="241"/>
        <v>0</v>
      </c>
      <c r="BB380" s="2897">
        <f t="shared" si="242"/>
        <v>0</v>
      </c>
      <c r="BC380" s="2897">
        <f t="shared" si="243"/>
        <v>0</v>
      </c>
      <c r="BD380" s="2897">
        <f t="shared" si="244"/>
        <v>0</v>
      </c>
      <c r="BE380" s="2897">
        <f t="shared" si="245"/>
        <v>0</v>
      </c>
      <c r="BF380" s="2897">
        <f t="shared" si="246"/>
        <v>0</v>
      </c>
      <c r="BG380" s="2897">
        <f t="shared" si="247"/>
        <v>0</v>
      </c>
      <c r="BH380" s="2897">
        <f t="shared" si="248"/>
        <v>0</v>
      </c>
      <c r="BI380" s="2897">
        <f t="shared" si="249"/>
        <v>0</v>
      </c>
      <c r="BJ380" s="2897">
        <f t="shared" si="250"/>
        <v>0</v>
      </c>
      <c r="BK380" s="2897">
        <f t="shared" si="251"/>
        <v>0</v>
      </c>
      <c r="BL380" s="2897">
        <f t="shared" si="252"/>
        <v>0</v>
      </c>
      <c r="BM380" s="2897">
        <f t="shared" si="253"/>
        <v>0</v>
      </c>
      <c r="BN380" s="2897">
        <f t="shared" si="254"/>
        <v>0</v>
      </c>
      <c r="BO380" s="2897">
        <f t="shared" si="255"/>
        <v>0</v>
      </c>
      <c r="BP380" s="2897">
        <f t="shared" si="256"/>
        <v>0</v>
      </c>
      <c r="BQ380" s="2897">
        <f t="shared" si="257"/>
        <v>0</v>
      </c>
      <c r="BR380" s="2897">
        <f t="shared" si="258"/>
        <v>0</v>
      </c>
      <c r="BS380" s="2897">
        <f t="shared" si="259"/>
        <v>0</v>
      </c>
      <c r="BT380" s="2971">
        <f t="shared" si="260"/>
        <v>0</v>
      </c>
    </row>
    <row r="381" spans="1:72">
      <c r="A381" s="2894"/>
      <c r="B381" s="2895"/>
      <c r="C381" s="2895"/>
      <c r="D381" s="2907"/>
      <c r="E381" s="2897">
        <f t="shared" si="261"/>
        <v>0</v>
      </c>
      <c r="F381" s="2898"/>
      <c r="G381" s="2899">
        <f t="shared" si="236"/>
        <v>0</v>
      </c>
      <c r="H381" s="2900">
        <f t="shared" si="237"/>
        <v>0</v>
      </c>
      <c r="I381" s="2918"/>
      <c r="J381" s="2918"/>
      <c r="K381" s="2918"/>
      <c r="L381" s="2918"/>
      <c r="M381" s="2918"/>
      <c r="N381" s="2918"/>
      <c r="O381" s="2918"/>
      <c r="P381" s="2918"/>
      <c r="Q381" s="2918"/>
      <c r="R381" s="2918"/>
      <c r="S381" s="2918"/>
      <c r="T381" s="2918"/>
      <c r="U381" s="2918"/>
      <c r="V381" s="2918"/>
      <c r="W381" s="2918"/>
      <c r="X381" s="2918"/>
      <c r="Y381" s="2918"/>
      <c r="Z381" s="2918"/>
      <c r="AA381" s="2918"/>
      <c r="AB381" s="2918"/>
      <c r="AC381" s="2897">
        <f t="shared" si="238"/>
        <v>0</v>
      </c>
      <c r="AD381" s="2929"/>
      <c r="AE381" s="2929"/>
      <c r="AF381" s="2929"/>
      <c r="AG381" s="2929"/>
      <c r="AH381" s="2929"/>
      <c r="AI381" s="2929"/>
      <c r="AJ381" s="2929"/>
      <c r="AK381" s="2929"/>
      <c r="AL381" s="2929"/>
      <c r="AM381" s="2929"/>
      <c r="AN381" s="2929"/>
      <c r="AO381" s="2929"/>
      <c r="AP381" s="2929"/>
      <c r="AQ381" s="2929"/>
      <c r="AR381" s="2929"/>
      <c r="AS381" s="2929"/>
      <c r="AT381" s="2949"/>
      <c r="AU381" s="2950"/>
      <c r="AV381" s="454">
        <f t="shared" si="262"/>
        <v>0</v>
      </c>
      <c r="AW381" s="454">
        <f t="shared" si="263"/>
        <v>0</v>
      </c>
      <c r="AX381" s="454">
        <f t="shared" si="264"/>
        <v>0</v>
      </c>
      <c r="AY381" s="2966">
        <f t="shared" si="239"/>
        <v>0</v>
      </c>
      <c r="AZ381" s="2897">
        <f t="shared" si="240"/>
        <v>0</v>
      </c>
      <c r="BA381" s="2897">
        <f t="shared" si="241"/>
        <v>0</v>
      </c>
      <c r="BB381" s="2897">
        <f t="shared" si="242"/>
        <v>0</v>
      </c>
      <c r="BC381" s="2897">
        <f t="shared" si="243"/>
        <v>0</v>
      </c>
      <c r="BD381" s="2897">
        <f t="shared" si="244"/>
        <v>0</v>
      </c>
      <c r="BE381" s="2897">
        <f t="shared" si="245"/>
        <v>0</v>
      </c>
      <c r="BF381" s="2897">
        <f t="shared" si="246"/>
        <v>0</v>
      </c>
      <c r="BG381" s="2897">
        <f t="shared" si="247"/>
        <v>0</v>
      </c>
      <c r="BH381" s="2897">
        <f t="shared" si="248"/>
        <v>0</v>
      </c>
      <c r="BI381" s="2897">
        <f t="shared" si="249"/>
        <v>0</v>
      </c>
      <c r="BJ381" s="2897">
        <f t="shared" si="250"/>
        <v>0</v>
      </c>
      <c r="BK381" s="2897">
        <f t="shared" si="251"/>
        <v>0</v>
      </c>
      <c r="BL381" s="2897">
        <f t="shared" si="252"/>
        <v>0</v>
      </c>
      <c r="BM381" s="2897">
        <f t="shared" si="253"/>
        <v>0</v>
      </c>
      <c r="BN381" s="2897">
        <f t="shared" si="254"/>
        <v>0</v>
      </c>
      <c r="BO381" s="2897">
        <f t="shared" si="255"/>
        <v>0</v>
      </c>
      <c r="BP381" s="2897">
        <f t="shared" si="256"/>
        <v>0</v>
      </c>
      <c r="BQ381" s="2897">
        <f t="shared" si="257"/>
        <v>0</v>
      </c>
      <c r="BR381" s="2897">
        <f t="shared" si="258"/>
        <v>0</v>
      </c>
      <c r="BS381" s="2897">
        <f t="shared" si="259"/>
        <v>0</v>
      </c>
      <c r="BT381" s="2971">
        <f t="shared" si="260"/>
        <v>0</v>
      </c>
    </row>
    <row r="382" spans="1:72">
      <c r="A382" s="2894"/>
      <c r="B382" s="2895"/>
      <c r="C382" s="2895"/>
      <c r="D382" s="2907"/>
      <c r="E382" s="2897">
        <f t="shared" si="261"/>
        <v>0</v>
      </c>
      <c r="F382" s="2898"/>
      <c r="G382" s="2899">
        <f t="shared" si="236"/>
        <v>0</v>
      </c>
      <c r="H382" s="2900">
        <f t="shared" si="237"/>
        <v>0</v>
      </c>
      <c r="I382" s="2918"/>
      <c r="J382" s="2918"/>
      <c r="K382" s="2918"/>
      <c r="L382" s="2918"/>
      <c r="M382" s="2918"/>
      <c r="N382" s="2918"/>
      <c r="O382" s="2918"/>
      <c r="P382" s="2918"/>
      <c r="Q382" s="2918"/>
      <c r="R382" s="2918"/>
      <c r="S382" s="2918"/>
      <c r="T382" s="2918"/>
      <c r="U382" s="2918"/>
      <c r="V382" s="2918"/>
      <c r="W382" s="2918"/>
      <c r="X382" s="2918"/>
      <c r="Y382" s="2918"/>
      <c r="Z382" s="2918"/>
      <c r="AA382" s="2918"/>
      <c r="AB382" s="2918"/>
      <c r="AC382" s="2897">
        <f t="shared" si="238"/>
        <v>0</v>
      </c>
      <c r="AD382" s="2929"/>
      <c r="AE382" s="2929"/>
      <c r="AF382" s="2929"/>
      <c r="AG382" s="2929"/>
      <c r="AH382" s="2929"/>
      <c r="AI382" s="2929"/>
      <c r="AJ382" s="2929"/>
      <c r="AK382" s="2929"/>
      <c r="AL382" s="2929"/>
      <c r="AM382" s="2929"/>
      <c r="AN382" s="2929"/>
      <c r="AO382" s="2929"/>
      <c r="AP382" s="2929"/>
      <c r="AQ382" s="2929"/>
      <c r="AR382" s="2929"/>
      <c r="AS382" s="2929"/>
      <c r="AT382" s="2949"/>
      <c r="AU382" s="2950"/>
      <c r="AV382" s="454">
        <f t="shared" si="262"/>
        <v>0</v>
      </c>
      <c r="AW382" s="454">
        <f t="shared" si="263"/>
        <v>0</v>
      </c>
      <c r="AX382" s="454">
        <f t="shared" si="264"/>
        <v>0</v>
      </c>
      <c r="AY382" s="2966">
        <f t="shared" si="239"/>
        <v>0</v>
      </c>
      <c r="AZ382" s="2897">
        <f t="shared" si="240"/>
        <v>0</v>
      </c>
      <c r="BA382" s="2897">
        <f t="shared" si="241"/>
        <v>0</v>
      </c>
      <c r="BB382" s="2897">
        <f t="shared" si="242"/>
        <v>0</v>
      </c>
      <c r="BC382" s="2897">
        <f t="shared" si="243"/>
        <v>0</v>
      </c>
      <c r="BD382" s="2897">
        <f t="shared" si="244"/>
        <v>0</v>
      </c>
      <c r="BE382" s="2897">
        <f t="shared" si="245"/>
        <v>0</v>
      </c>
      <c r="BF382" s="2897">
        <f t="shared" si="246"/>
        <v>0</v>
      </c>
      <c r="BG382" s="2897">
        <f t="shared" si="247"/>
        <v>0</v>
      </c>
      <c r="BH382" s="2897">
        <f t="shared" si="248"/>
        <v>0</v>
      </c>
      <c r="BI382" s="2897">
        <f t="shared" si="249"/>
        <v>0</v>
      </c>
      <c r="BJ382" s="2897">
        <f t="shared" si="250"/>
        <v>0</v>
      </c>
      <c r="BK382" s="2897">
        <f t="shared" si="251"/>
        <v>0</v>
      </c>
      <c r="BL382" s="2897">
        <f t="shared" si="252"/>
        <v>0</v>
      </c>
      <c r="BM382" s="2897">
        <f t="shared" si="253"/>
        <v>0</v>
      </c>
      <c r="BN382" s="2897">
        <f t="shared" si="254"/>
        <v>0</v>
      </c>
      <c r="BO382" s="2897">
        <f t="shared" si="255"/>
        <v>0</v>
      </c>
      <c r="BP382" s="2897">
        <f t="shared" si="256"/>
        <v>0</v>
      </c>
      <c r="BQ382" s="2897">
        <f t="shared" si="257"/>
        <v>0</v>
      </c>
      <c r="BR382" s="2897">
        <f t="shared" si="258"/>
        <v>0</v>
      </c>
      <c r="BS382" s="2897">
        <f t="shared" si="259"/>
        <v>0</v>
      </c>
      <c r="BT382" s="2971">
        <f t="shared" si="260"/>
        <v>0</v>
      </c>
    </row>
    <row r="383" spans="1:72">
      <c r="A383" s="2894"/>
      <c r="B383" s="2895"/>
      <c r="C383" s="2895"/>
      <c r="D383" s="2907"/>
      <c r="E383" s="2897">
        <f t="shared" si="261"/>
        <v>0</v>
      </c>
      <c r="F383" s="2898"/>
      <c r="G383" s="2899">
        <f t="shared" si="236"/>
        <v>0</v>
      </c>
      <c r="H383" s="2900">
        <f t="shared" si="237"/>
        <v>0</v>
      </c>
      <c r="I383" s="2918"/>
      <c r="J383" s="2918"/>
      <c r="K383" s="2918"/>
      <c r="L383" s="2918"/>
      <c r="M383" s="2918"/>
      <c r="N383" s="2918"/>
      <c r="O383" s="2918"/>
      <c r="P383" s="2918"/>
      <c r="Q383" s="2918"/>
      <c r="R383" s="2918"/>
      <c r="S383" s="2918"/>
      <c r="T383" s="2918"/>
      <c r="U383" s="2918"/>
      <c r="V383" s="2918"/>
      <c r="W383" s="2918"/>
      <c r="X383" s="2918"/>
      <c r="Y383" s="2918"/>
      <c r="Z383" s="2918"/>
      <c r="AA383" s="2918"/>
      <c r="AB383" s="2918"/>
      <c r="AC383" s="2897">
        <f t="shared" si="238"/>
        <v>0</v>
      </c>
      <c r="AD383" s="2929"/>
      <c r="AE383" s="2929"/>
      <c r="AF383" s="2929"/>
      <c r="AG383" s="2929"/>
      <c r="AH383" s="2929"/>
      <c r="AI383" s="2929"/>
      <c r="AJ383" s="2929"/>
      <c r="AK383" s="2929"/>
      <c r="AL383" s="2929"/>
      <c r="AM383" s="2929"/>
      <c r="AN383" s="2929"/>
      <c r="AO383" s="2929"/>
      <c r="AP383" s="2929"/>
      <c r="AQ383" s="2929"/>
      <c r="AR383" s="2929"/>
      <c r="AS383" s="2929"/>
      <c r="AT383" s="2949"/>
      <c r="AU383" s="2950"/>
      <c r="AV383" s="454">
        <f t="shared" si="262"/>
        <v>0</v>
      </c>
      <c r="AW383" s="454">
        <f t="shared" si="263"/>
        <v>0</v>
      </c>
      <c r="AX383" s="454">
        <f t="shared" si="264"/>
        <v>0</v>
      </c>
      <c r="AY383" s="2966">
        <f t="shared" si="239"/>
        <v>0</v>
      </c>
      <c r="AZ383" s="2897">
        <f t="shared" si="240"/>
        <v>0</v>
      </c>
      <c r="BA383" s="2897">
        <f t="shared" si="241"/>
        <v>0</v>
      </c>
      <c r="BB383" s="2897">
        <f t="shared" si="242"/>
        <v>0</v>
      </c>
      <c r="BC383" s="2897">
        <f t="shared" si="243"/>
        <v>0</v>
      </c>
      <c r="BD383" s="2897">
        <f t="shared" si="244"/>
        <v>0</v>
      </c>
      <c r="BE383" s="2897">
        <f t="shared" si="245"/>
        <v>0</v>
      </c>
      <c r="BF383" s="2897">
        <f t="shared" si="246"/>
        <v>0</v>
      </c>
      <c r="BG383" s="2897">
        <f t="shared" si="247"/>
        <v>0</v>
      </c>
      <c r="BH383" s="2897">
        <f t="shared" si="248"/>
        <v>0</v>
      </c>
      <c r="BI383" s="2897">
        <f t="shared" si="249"/>
        <v>0</v>
      </c>
      <c r="BJ383" s="2897">
        <f t="shared" si="250"/>
        <v>0</v>
      </c>
      <c r="BK383" s="2897">
        <f t="shared" si="251"/>
        <v>0</v>
      </c>
      <c r="BL383" s="2897">
        <f t="shared" si="252"/>
        <v>0</v>
      </c>
      <c r="BM383" s="2897">
        <f t="shared" si="253"/>
        <v>0</v>
      </c>
      <c r="BN383" s="2897">
        <f t="shared" si="254"/>
        <v>0</v>
      </c>
      <c r="BO383" s="2897">
        <f t="shared" si="255"/>
        <v>0</v>
      </c>
      <c r="BP383" s="2897">
        <f t="shared" si="256"/>
        <v>0</v>
      </c>
      <c r="BQ383" s="2897">
        <f t="shared" si="257"/>
        <v>0</v>
      </c>
      <c r="BR383" s="2897">
        <f t="shared" si="258"/>
        <v>0</v>
      </c>
      <c r="BS383" s="2897">
        <f t="shared" si="259"/>
        <v>0</v>
      </c>
      <c r="BT383" s="2971">
        <f t="shared" si="260"/>
        <v>0</v>
      </c>
    </row>
    <row r="384" spans="1:72">
      <c r="A384" s="2894"/>
      <c r="B384" s="2895"/>
      <c r="C384" s="2895"/>
      <c r="D384" s="2907"/>
      <c r="E384" s="2897">
        <f t="shared" si="261"/>
        <v>0</v>
      </c>
      <c r="F384" s="2898"/>
      <c r="G384" s="2899">
        <f t="shared" si="236"/>
        <v>0</v>
      </c>
      <c r="H384" s="2900">
        <f t="shared" si="237"/>
        <v>0</v>
      </c>
      <c r="I384" s="2918"/>
      <c r="J384" s="2918"/>
      <c r="K384" s="2918"/>
      <c r="L384" s="2918"/>
      <c r="M384" s="2918"/>
      <c r="N384" s="2918"/>
      <c r="O384" s="2918"/>
      <c r="P384" s="2918"/>
      <c r="Q384" s="2918"/>
      <c r="R384" s="2918"/>
      <c r="S384" s="2918"/>
      <c r="T384" s="2918"/>
      <c r="U384" s="2918"/>
      <c r="V384" s="2918"/>
      <c r="W384" s="2918"/>
      <c r="X384" s="2918"/>
      <c r="Y384" s="2918"/>
      <c r="Z384" s="2918"/>
      <c r="AA384" s="2918"/>
      <c r="AB384" s="2918"/>
      <c r="AC384" s="2897">
        <f t="shared" si="238"/>
        <v>0</v>
      </c>
      <c r="AD384" s="2929"/>
      <c r="AE384" s="2929"/>
      <c r="AF384" s="2929"/>
      <c r="AG384" s="2929"/>
      <c r="AH384" s="2929"/>
      <c r="AI384" s="2929"/>
      <c r="AJ384" s="2929"/>
      <c r="AK384" s="2929"/>
      <c r="AL384" s="2929"/>
      <c r="AM384" s="2929"/>
      <c r="AN384" s="2929"/>
      <c r="AO384" s="2929"/>
      <c r="AP384" s="2929"/>
      <c r="AQ384" s="2929"/>
      <c r="AR384" s="2929"/>
      <c r="AS384" s="2929"/>
      <c r="AT384" s="2949"/>
      <c r="AU384" s="2950"/>
      <c r="AV384" s="454">
        <f t="shared" si="262"/>
        <v>0</v>
      </c>
      <c r="AW384" s="454">
        <f t="shared" si="263"/>
        <v>0</v>
      </c>
      <c r="AX384" s="454">
        <f t="shared" si="264"/>
        <v>0</v>
      </c>
      <c r="AY384" s="2966">
        <f t="shared" si="239"/>
        <v>0</v>
      </c>
      <c r="AZ384" s="2897">
        <f t="shared" si="240"/>
        <v>0</v>
      </c>
      <c r="BA384" s="2897">
        <f t="shared" si="241"/>
        <v>0</v>
      </c>
      <c r="BB384" s="2897">
        <f t="shared" si="242"/>
        <v>0</v>
      </c>
      <c r="BC384" s="2897">
        <f t="shared" si="243"/>
        <v>0</v>
      </c>
      <c r="BD384" s="2897">
        <f t="shared" si="244"/>
        <v>0</v>
      </c>
      <c r="BE384" s="2897">
        <f t="shared" si="245"/>
        <v>0</v>
      </c>
      <c r="BF384" s="2897">
        <f t="shared" si="246"/>
        <v>0</v>
      </c>
      <c r="BG384" s="2897">
        <f t="shared" si="247"/>
        <v>0</v>
      </c>
      <c r="BH384" s="2897">
        <f t="shared" si="248"/>
        <v>0</v>
      </c>
      <c r="BI384" s="2897">
        <f t="shared" si="249"/>
        <v>0</v>
      </c>
      <c r="BJ384" s="2897">
        <f t="shared" si="250"/>
        <v>0</v>
      </c>
      <c r="BK384" s="2897">
        <f t="shared" si="251"/>
        <v>0</v>
      </c>
      <c r="BL384" s="2897">
        <f t="shared" si="252"/>
        <v>0</v>
      </c>
      <c r="BM384" s="2897">
        <f t="shared" si="253"/>
        <v>0</v>
      </c>
      <c r="BN384" s="2897">
        <f t="shared" si="254"/>
        <v>0</v>
      </c>
      <c r="BO384" s="2897">
        <f t="shared" si="255"/>
        <v>0</v>
      </c>
      <c r="BP384" s="2897">
        <f t="shared" si="256"/>
        <v>0</v>
      </c>
      <c r="BQ384" s="2897">
        <f t="shared" si="257"/>
        <v>0</v>
      </c>
      <c r="BR384" s="2897">
        <f t="shared" si="258"/>
        <v>0</v>
      </c>
      <c r="BS384" s="2897">
        <f t="shared" si="259"/>
        <v>0</v>
      </c>
      <c r="BT384" s="2971">
        <f t="shared" si="260"/>
        <v>0</v>
      </c>
    </row>
    <row r="385" spans="1:72">
      <c r="A385" s="2894"/>
      <c r="B385" s="2895"/>
      <c r="C385" s="2895"/>
      <c r="D385" s="2907"/>
      <c r="E385" s="2897">
        <f t="shared" si="261"/>
        <v>0</v>
      </c>
      <c r="F385" s="2898"/>
      <c r="G385" s="2899">
        <f t="shared" si="236"/>
        <v>0</v>
      </c>
      <c r="H385" s="2900">
        <f t="shared" si="237"/>
        <v>0</v>
      </c>
      <c r="I385" s="2918"/>
      <c r="J385" s="2918"/>
      <c r="K385" s="2918"/>
      <c r="L385" s="2918"/>
      <c r="M385" s="2918"/>
      <c r="N385" s="2918"/>
      <c r="O385" s="2918"/>
      <c r="P385" s="2918"/>
      <c r="Q385" s="2918"/>
      <c r="R385" s="2918"/>
      <c r="S385" s="2918"/>
      <c r="T385" s="2918"/>
      <c r="U385" s="2918"/>
      <c r="V385" s="2918"/>
      <c r="W385" s="2918"/>
      <c r="X385" s="2918"/>
      <c r="Y385" s="2918"/>
      <c r="Z385" s="2918"/>
      <c r="AA385" s="2918"/>
      <c r="AB385" s="2918"/>
      <c r="AC385" s="2897">
        <f t="shared" si="238"/>
        <v>0</v>
      </c>
      <c r="AD385" s="2929"/>
      <c r="AE385" s="2929"/>
      <c r="AF385" s="2929"/>
      <c r="AG385" s="2929"/>
      <c r="AH385" s="2929"/>
      <c r="AI385" s="2929"/>
      <c r="AJ385" s="2929"/>
      <c r="AK385" s="2929"/>
      <c r="AL385" s="2929"/>
      <c r="AM385" s="2929"/>
      <c r="AN385" s="2929"/>
      <c r="AO385" s="2929"/>
      <c r="AP385" s="2929"/>
      <c r="AQ385" s="2929"/>
      <c r="AR385" s="2929"/>
      <c r="AS385" s="2929"/>
      <c r="AT385" s="2949"/>
      <c r="AU385" s="2950"/>
      <c r="AV385" s="454">
        <f t="shared" si="262"/>
        <v>0</v>
      </c>
      <c r="AW385" s="454">
        <f t="shared" si="263"/>
        <v>0</v>
      </c>
      <c r="AX385" s="454">
        <f t="shared" si="264"/>
        <v>0</v>
      </c>
      <c r="AY385" s="2966">
        <f t="shared" si="239"/>
        <v>0</v>
      </c>
      <c r="AZ385" s="2897">
        <f t="shared" si="240"/>
        <v>0</v>
      </c>
      <c r="BA385" s="2897">
        <f t="shared" si="241"/>
        <v>0</v>
      </c>
      <c r="BB385" s="2897">
        <f t="shared" si="242"/>
        <v>0</v>
      </c>
      <c r="BC385" s="2897">
        <f t="shared" si="243"/>
        <v>0</v>
      </c>
      <c r="BD385" s="2897">
        <f t="shared" si="244"/>
        <v>0</v>
      </c>
      <c r="BE385" s="2897">
        <f t="shared" si="245"/>
        <v>0</v>
      </c>
      <c r="BF385" s="2897">
        <f t="shared" si="246"/>
        <v>0</v>
      </c>
      <c r="BG385" s="2897">
        <f t="shared" si="247"/>
        <v>0</v>
      </c>
      <c r="BH385" s="2897">
        <f t="shared" si="248"/>
        <v>0</v>
      </c>
      <c r="BI385" s="2897">
        <f t="shared" si="249"/>
        <v>0</v>
      </c>
      <c r="BJ385" s="2897">
        <f t="shared" si="250"/>
        <v>0</v>
      </c>
      <c r="BK385" s="2897">
        <f t="shared" si="251"/>
        <v>0</v>
      </c>
      <c r="BL385" s="2897">
        <f t="shared" si="252"/>
        <v>0</v>
      </c>
      <c r="BM385" s="2897">
        <f t="shared" si="253"/>
        <v>0</v>
      </c>
      <c r="BN385" s="2897">
        <f t="shared" si="254"/>
        <v>0</v>
      </c>
      <c r="BO385" s="2897">
        <f t="shared" si="255"/>
        <v>0</v>
      </c>
      <c r="BP385" s="2897">
        <f t="shared" si="256"/>
        <v>0</v>
      </c>
      <c r="BQ385" s="2897">
        <f t="shared" si="257"/>
        <v>0</v>
      </c>
      <c r="BR385" s="2897">
        <f t="shared" si="258"/>
        <v>0</v>
      </c>
      <c r="BS385" s="2897">
        <f t="shared" si="259"/>
        <v>0</v>
      </c>
      <c r="BT385" s="2971">
        <f t="shared" si="260"/>
        <v>0</v>
      </c>
    </row>
    <row r="386" spans="1:72">
      <c r="A386" s="2894"/>
      <c r="B386" s="2894"/>
      <c r="C386" s="2894"/>
      <c r="D386" s="2907"/>
      <c r="E386" s="2897">
        <f t="shared" si="261"/>
        <v>0</v>
      </c>
      <c r="F386" s="2972"/>
      <c r="G386" s="2899">
        <f t="shared" si="236"/>
        <v>0</v>
      </c>
      <c r="H386" s="2900">
        <f t="shared" si="237"/>
        <v>0</v>
      </c>
      <c r="I386" s="2973"/>
      <c r="J386" s="2973"/>
      <c r="K386" s="2918"/>
      <c r="L386" s="2918"/>
      <c r="M386" s="2918"/>
      <c r="N386" s="2918"/>
      <c r="O386" s="2918"/>
      <c r="P386" s="2918"/>
      <c r="Q386" s="2918"/>
      <c r="R386" s="2918"/>
      <c r="S386" s="2918"/>
      <c r="T386" s="2918"/>
      <c r="U386" s="2918"/>
      <c r="V386" s="2918"/>
      <c r="W386" s="2918"/>
      <c r="X386" s="2918"/>
      <c r="Y386" s="2918"/>
      <c r="Z386" s="2918"/>
      <c r="AA386" s="2918"/>
      <c r="AB386" s="2918"/>
      <c r="AC386" s="2897">
        <f t="shared" si="238"/>
        <v>0</v>
      </c>
      <c r="AD386" s="2929"/>
      <c r="AE386" s="2929"/>
      <c r="AF386" s="2929"/>
      <c r="AG386" s="2929"/>
      <c r="AH386" s="2929"/>
      <c r="AI386" s="2929"/>
      <c r="AJ386" s="2929"/>
      <c r="AK386" s="2929"/>
      <c r="AL386" s="2929"/>
      <c r="AM386" s="2929"/>
      <c r="AN386" s="2929"/>
      <c r="AO386" s="2929"/>
      <c r="AP386" s="2929"/>
      <c r="AQ386" s="2929"/>
      <c r="AR386" s="2929"/>
      <c r="AS386" s="2929"/>
      <c r="AT386" s="2929"/>
      <c r="AU386" s="2974"/>
      <c r="AV386" s="454">
        <f t="shared" si="262"/>
        <v>0</v>
      </c>
      <c r="AW386" s="454">
        <f t="shared" si="263"/>
        <v>0</v>
      </c>
      <c r="AX386" s="454">
        <f t="shared" si="264"/>
        <v>0</v>
      </c>
      <c r="AY386" s="2966">
        <f t="shared" si="239"/>
        <v>0</v>
      </c>
      <c r="AZ386" s="2897">
        <f t="shared" si="240"/>
        <v>0</v>
      </c>
      <c r="BA386" s="2897">
        <f t="shared" si="241"/>
        <v>0</v>
      </c>
      <c r="BB386" s="2897">
        <f t="shared" si="242"/>
        <v>0</v>
      </c>
      <c r="BC386" s="2897">
        <f t="shared" si="243"/>
        <v>0</v>
      </c>
      <c r="BD386" s="2897">
        <f t="shared" si="244"/>
        <v>0</v>
      </c>
      <c r="BE386" s="2897">
        <f t="shared" si="245"/>
        <v>0</v>
      </c>
      <c r="BF386" s="2897">
        <f t="shared" si="246"/>
        <v>0</v>
      </c>
      <c r="BG386" s="2897">
        <f t="shared" si="247"/>
        <v>0</v>
      </c>
      <c r="BH386" s="2897">
        <f t="shared" si="248"/>
        <v>0</v>
      </c>
      <c r="BI386" s="2897">
        <f t="shared" si="249"/>
        <v>0</v>
      </c>
      <c r="BJ386" s="2897">
        <f t="shared" si="250"/>
        <v>0</v>
      </c>
      <c r="BK386" s="2897">
        <f t="shared" si="251"/>
        <v>0</v>
      </c>
      <c r="BL386" s="2897">
        <f t="shared" si="252"/>
        <v>0</v>
      </c>
      <c r="BM386" s="2897">
        <f t="shared" si="253"/>
        <v>0</v>
      </c>
      <c r="BN386" s="2897">
        <f t="shared" si="254"/>
        <v>0</v>
      </c>
      <c r="BO386" s="2897">
        <f t="shared" si="255"/>
        <v>0</v>
      </c>
      <c r="BP386" s="2897">
        <f t="shared" si="256"/>
        <v>0</v>
      </c>
      <c r="BQ386" s="2897">
        <f t="shared" si="257"/>
        <v>0</v>
      </c>
      <c r="BR386" s="2897">
        <f t="shared" si="258"/>
        <v>0</v>
      </c>
      <c r="BS386" s="2897">
        <f t="shared" si="259"/>
        <v>0</v>
      </c>
      <c r="BT386" s="2971">
        <f t="shared" si="260"/>
        <v>0</v>
      </c>
    </row>
    <row r="387" spans="1:72">
      <c r="A387" s="2894"/>
      <c r="B387" s="2894"/>
      <c r="C387" s="2894"/>
      <c r="D387" s="2907"/>
      <c r="E387" s="2897">
        <f t="shared" si="261"/>
        <v>0</v>
      </c>
      <c r="F387" s="2972"/>
      <c r="G387" s="2899">
        <f t="shared" si="236"/>
        <v>0</v>
      </c>
      <c r="H387" s="2900">
        <f t="shared" si="237"/>
        <v>0</v>
      </c>
      <c r="I387" s="2918"/>
      <c r="J387" s="2918"/>
      <c r="K387" s="2918"/>
      <c r="L387" s="2918"/>
      <c r="M387" s="2918"/>
      <c r="N387" s="2918"/>
      <c r="O387" s="2918"/>
      <c r="P387" s="2918"/>
      <c r="Q387" s="2918"/>
      <c r="R387" s="2918"/>
      <c r="S387" s="2918"/>
      <c r="T387" s="2918"/>
      <c r="U387" s="2918"/>
      <c r="V387" s="2918"/>
      <c r="W387" s="2918"/>
      <c r="X387" s="2918"/>
      <c r="Y387" s="2918"/>
      <c r="Z387" s="2918"/>
      <c r="AA387" s="2918"/>
      <c r="AB387" s="2918"/>
      <c r="AC387" s="2897">
        <f t="shared" si="238"/>
        <v>0</v>
      </c>
      <c r="AD387" s="2929"/>
      <c r="AE387" s="2929"/>
      <c r="AF387" s="2929"/>
      <c r="AG387" s="2929"/>
      <c r="AH387" s="2929"/>
      <c r="AI387" s="2929"/>
      <c r="AJ387" s="2929"/>
      <c r="AK387" s="2929"/>
      <c r="AL387" s="2929"/>
      <c r="AM387" s="2929"/>
      <c r="AN387" s="2929"/>
      <c r="AO387" s="2929"/>
      <c r="AP387" s="2929"/>
      <c r="AQ387" s="2929"/>
      <c r="AR387" s="2929"/>
      <c r="AS387" s="2929"/>
      <c r="AT387" s="2929"/>
      <c r="AU387" s="2974"/>
      <c r="AV387" s="454">
        <f t="shared" si="262"/>
        <v>0</v>
      </c>
      <c r="AW387" s="454">
        <f t="shared" si="263"/>
        <v>0</v>
      </c>
      <c r="AX387" s="454">
        <f t="shared" si="264"/>
        <v>0</v>
      </c>
      <c r="AY387" s="2966">
        <f t="shared" si="239"/>
        <v>0</v>
      </c>
      <c r="AZ387" s="2897">
        <f t="shared" si="240"/>
        <v>0</v>
      </c>
      <c r="BA387" s="2897">
        <f t="shared" si="241"/>
        <v>0</v>
      </c>
      <c r="BB387" s="2897">
        <f t="shared" si="242"/>
        <v>0</v>
      </c>
      <c r="BC387" s="2897">
        <f t="shared" si="243"/>
        <v>0</v>
      </c>
      <c r="BD387" s="2897">
        <f t="shared" si="244"/>
        <v>0</v>
      </c>
      <c r="BE387" s="2897">
        <f t="shared" si="245"/>
        <v>0</v>
      </c>
      <c r="BF387" s="2897">
        <f t="shared" si="246"/>
        <v>0</v>
      </c>
      <c r="BG387" s="2897">
        <f t="shared" si="247"/>
        <v>0</v>
      </c>
      <c r="BH387" s="2897">
        <f t="shared" si="248"/>
        <v>0</v>
      </c>
      <c r="BI387" s="2897">
        <f t="shared" si="249"/>
        <v>0</v>
      </c>
      <c r="BJ387" s="2897">
        <f t="shared" si="250"/>
        <v>0</v>
      </c>
      <c r="BK387" s="2897">
        <f t="shared" si="251"/>
        <v>0</v>
      </c>
      <c r="BL387" s="2897">
        <f t="shared" si="252"/>
        <v>0</v>
      </c>
      <c r="BM387" s="2897">
        <f t="shared" si="253"/>
        <v>0</v>
      </c>
      <c r="BN387" s="2897">
        <f t="shared" si="254"/>
        <v>0</v>
      </c>
      <c r="BO387" s="2897">
        <f t="shared" si="255"/>
        <v>0</v>
      </c>
      <c r="BP387" s="2897">
        <f t="shared" si="256"/>
        <v>0</v>
      </c>
      <c r="BQ387" s="2897">
        <f t="shared" si="257"/>
        <v>0</v>
      </c>
      <c r="BR387" s="2897">
        <f t="shared" si="258"/>
        <v>0</v>
      </c>
      <c r="BS387" s="2897">
        <f t="shared" si="259"/>
        <v>0</v>
      </c>
      <c r="BT387" s="2971">
        <f t="shared" si="260"/>
        <v>0</v>
      </c>
    </row>
    <row r="388" spans="1:72">
      <c r="A388" s="2894"/>
      <c r="B388" s="2894"/>
      <c r="C388" s="2894"/>
      <c r="D388" s="2907"/>
      <c r="E388" s="2897">
        <f t="shared" si="261"/>
        <v>0</v>
      </c>
      <c r="F388" s="2972"/>
      <c r="G388" s="2899">
        <f t="shared" si="236"/>
        <v>0</v>
      </c>
      <c r="H388" s="2900">
        <f t="shared" si="237"/>
        <v>0</v>
      </c>
      <c r="I388" s="2918"/>
      <c r="J388" s="2918"/>
      <c r="K388" s="2918"/>
      <c r="L388" s="2918"/>
      <c r="M388" s="2918"/>
      <c r="N388" s="2918"/>
      <c r="O388" s="2918"/>
      <c r="P388" s="2918"/>
      <c r="Q388" s="2918"/>
      <c r="R388" s="2918"/>
      <c r="S388" s="2918"/>
      <c r="T388" s="2918"/>
      <c r="U388" s="2918"/>
      <c r="V388" s="2918"/>
      <c r="W388" s="2918"/>
      <c r="X388" s="2918"/>
      <c r="Y388" s="2918"/>
      <c r="Z388" s="2918"/>
      <c r="AA388" s="2918"/>
      <c r="AB388" s="2918"/>
      <c r="AC388" s="2897">
        <f t="shared" si="238"/>
        <v>0</v>
      </c>
      <c r="AD388" s="2929"/>
      <c r="AE388" s="2929"/>
      <c r="AF388" s="2929"/>
      <c r="AG388" s="2929"/>
      <c r="AH388" s="2929"/>
      <c r="AI388" s="2929"/>
      <c r="AJ388" s="2929"/>
      <c r="AK388" s="2929"/>
      <c r="AL388" s="2929"/>
      <c r="AM388" s="2929"/>
      <c r="AN388" s="2929"/>
      <c r="AO388" s="2929"/>
      <c r="AP388" s="2929"/>
      <c r="AQ388" s="2929"/>
      <c r="AR388" s="2929"/>
      <c r="AS388" s="2929"/>
      <c r="AT388" s="2929"/>
      <c r="AU388" s="2974"/>
      <c r="AV388" s="454">
        <f t="shared" si="262"/>
        <v>0</v>
      </c>
      <c r="AW388" s="454">
        <f t="shared" si="263"/>
        <v>0</v>
      </c>
      <c r="AX388" s="454">
        <f t="shared" si="264"/>
        <v>0</v>
      </c>
      <c r="AY388" s="2966">
        <f t="shared" si="239"/>
        <v>0</v>
      </c>
      <c r="AZ388" s="2897">
        <f t="shared" si="240"/>
        <v>0</v>
      </c>
      <c r="BA388" s="2897">
        <f t="shared" si="241"/>
        <v>0</v>
      </c>
      <c r="BB388" s="2897">
        <f t="shared" si="242"/>
        <v>0</v>
      </c>
      <c r="BC388" s="2897">
        <f t="shared" si="243"/>
        <v>0</v>
      </c>
      <c r="BD388" s="2897">
        <f t="shared" si="244"/>
        <v>0</v>
      </c>
      <c r="BE388" s="2897">
        <f t="shared" si="245"/>
        <v>0</v>
      </c>
      <c r="BF388" s="2897">
        <f t="shared" si="246"/>
        <v>0</v>
      </c>
      <c r="BG388" s="2897">
        <f t="shared" si="247"/>
        <v>0</v>
      </c>
      <c r="BH388" s="2897">
        <f t="shared" si="248"/>
        <v>0</v>
      </c>
      <c r="BI388" s="2897">
        <f t="shared" si="249"/>
        <v>0</v>
      </c>
      <c r="BJ388" s="2897">
        <f t="shared" si="250"/>
        <v>0</v>
      </c>
      <c r="BK388" s="2897">
        <f t="shared" si="251"/>
        <v>0</v>
      </c>
      <c r="BL388" s="2897">
        <f t="shared" si="252"/>
        <v>0</v>
      </c>
      <c r="BM388" s="2897">
        <f t="shared" si="253"/>
        <v>0</v>
      </c>
      <c r="BN388" s="2897">
        <f t="shared" si="254"/>
        <v>0</v>
      </c>
      <c r="BO388" s="2897">
        <f t="shared" si="255"/>
        <v>0</v>
      </c>
      <c r="BP388" s="2897">
        <f t="shared" si="256"/>
        <v>0</v>
      </c>
      <c r="BQ388" s="2897">
        <f t="shared" si="257"/>
        <v>0</v>
      </c>
      <c r="BR388" s="2897">
        <f t="shared" si="258"/>
        <v>0</v>
      </c>
      <c r="BS388" s="2897">
        <f t="shared" si="259"/>
        <v>0</v>
      </c>
      <c r="BT388" s="2971">
        <f t="shared" si="260"/>
        <v>0</v>
      </c>
    </row>
    <row r="389" spans="1:72">
      <c r="A389" s="2894"/>
      <c r="B389" s="2904"/>
      <c r="C389" s="2902"/>
      <c r="D389" s="2903"/>
      <c r="E389" s="2897">
        <f t="shared" ref="E389:E480" si="265">IF($C$3="是",ROUND($A$3*G389/$B$3,2),ROUND($A$3*(G389-AT389)/$B$3,2))</f>
        <v>0</v>
      </c>
      <c r="F389" s="2898"/>
      <c r="G389" s="2899">
        <f t="shared" ref="G389:G477" si="266">H389+AC389+AT389</f>
        <v>0</v>
      </c>
      <c r="H389" s="2900">
        <f t="shared" ref="H389:H477" si="267">SUMIF(I$12:AB$12,"总值",I389:AB389)</f>
        <v>0</v>
      </c>
      <c r="I389" s="2906"/>
      <c r="J389" s="2918"/>
      <c r="K389" s="2906"/>
      <c r="L389" s="2918"/>
      <c r="M389" s="2918"/>
      <c r="N389" s="2918"/>
      <c r="O389" s="2918"/>
      <c r="P389" s="2918"/>
      <c r="Q389" s="2918"/>
      <c r="R389" s="2918"/>
      <c r="S389" s="2918"/>
      <c r="T389" s="2918"/>
      <c r="U389" s="2918"/>
      <c r="V389" s="2918"/>
      <c r="W389" s="2918"/>
      <c r="X389" s="2918"/>
      <c r="Y389" s="2918"/>
      <c r="Z389" s="2918"/>
      <c r="AA389" s="2918"/>
      <c r="AB389" s="2918"/>
      <c r="AC389" s="2897">
        <f t="shared" ref="AC389:AC477" si="268">SUMIF(AD$12:AS$12,"总值",AD389:AS389)</f>
        <v>0</v>
      </c>
      <c r="AD389" s="2929"/>
      <c r="AE389" s="2929"/>
      <c r="AF389" s="2930"/>
      <c r="AG389" s="2929"/>
      <c r="AH389" s="2929"/>
      <c r="AI389" s="2929"/>
      <c r="AJ389" s="2929"/>
      <c r="AK389" s="2929"/>
      <c r="AL389" s="2929"/>
      <c r="AM389" s="2929"/>
      <c r="AN389" s="2919"/>
      <c r="AO389" s="2929"/>
      <c r="AP389" s="2929"/>
      <c r="AQ389" s="2929"/>
      <c r="AR389" s="2929"/>
      <c r="AS389" s="2929"/>
      <c r="AT389" s="2949"/>
      <c r="AU389" s="2950"/>
      <c r="AV389" s="454">
        <f t="shared" ref="AV389:AV480" si="269">A389</f>
        <v>0</v>
      </c>
      <c r="AW389" s="454">
        <f t="shared" ref="AW389:AW480" si="270">B389</f>
        <v>0</v>
      </c>
      <c r="AX389" s="454">
        <f t="shared" ref="AX389:AX480" si="271">C389</f>
        <v>0</v>
      </c>
      <c r="AY389" s="2966">
        <f t="shared" ref="AY389:AY477" si="272">ROUND($AY$6*AZ389/$AZ$5,2)</f>
        <v>0</v>
      </c>
      <c r="AZ389" s="2897">
        <f t="shared" ref="AZ389:AZ477" si="273">BA389+BL389</f>
        <v>0</v>
      </c>
      <c r="BA389" s="2897">
        <f t="shared" ref="BA389:BA477" si="274">SUM(BB389:BK389)</f>
        <v>0</v>
      </c>
      <c r="BB389" s="2897">
        <f t="shared" ref="BB389:BB477" si="275">IF($D389="是",I389-J389,0)</f>
        <v>0</v>
      </c>
      <c r="BC389" s="2897">
        <f t="shared" ref="BC389:BC477" si="276">IF($D389="是",K389-L389,0)</f>
        <v>0</v>
      </c>
      <c r="BD389" s="2897">
        <f t="shared" ref="BD389:BD477" si="277">IF($D389="是",M389-N389,0)</f>
        <v>0</v>
      </c>
      <c r="BE389" s="2897">
        <f t="shared" ref="BE389:BE477" si="278">IF($D389="是",O389-P389,0)</f>
        <v>0</v>
      </c>
      <c r="BF389" s="2897">
        <f t="shared" ref="BF389:BF477" si="279">IF($D389="是",Q389-R389,0)</f>
        <v>0</v>
      </c>
      <c r="BG389" s="2897">
        <f t="shared" ref="BG389:BG477" si="280">IF($D389="是",S389-T389,0)</f>
        <v>0</v>
      </c>
      <c r="BH389" s="2897">
        <f t="shared" ref="BH389:BH477" si="281">IF($D389="是",U389-V389,0)</f>
        <v>0</v>
      </c>
      <c r="BI389" s="2897">
        <f t="shared" ref="BI389:BI477" si="282">IF($D389="是",W389-X389,0)</f>
        <v>0</v>
      </c>
      <c r="BJ389" s="2897">
        <f t="shared" ref="BJ389:BJ477" si="283">IF($D389="是",Y389-Z389,0)</f>
        <v>0</v>
      </c>
      <c r="BK389" s="2897">
        <f t="shared" ref="BK389:BK477" si="284">IF($D389="是",AA389-AB389,0)</f>
        <v>0</v>
      </c>
      <c r="BL389" s="2897">
        <f t="shared" ref="BL389:BL477" si="285">SUM(BM389:BT389)</f>
        <v>0</v>
      </c>
      <c r="BM389" s="2897">
        <f t="shared" ref="BM389:BM477" si="286">IF($D389="是",AD389-AE389,0)</f>
        <v>0</v>
      </c>
      <c r="BN389" s="2897">
        <f t="shared" ref="BN389:BN477" si="287">IF($D389="是",AF389-AG389,0)</f>
        <v>0</v>
      </c>
      <c r="BO389" s="2897">
        <f t="shared" ref="BO389:BO477" si="288">IF($D389="是",AH389-AI389,0)</f>
        <v>0</v>
      </c>
      <c r="BP389" s="2897">
        <f t="shared" ref="BP389:BP477" si="289">IF($D389="是",AJ389-AK389,0)</f>
        <v>0</v>
      </c>
      <c r="BQ389" s="2897">
        <f t="shared" ref="BQ389:BQ477" si="290">IF($D389="是",AL389-AM389,0)</f>
        <v>0</v>
      </c>
      <c r="BR389" s="2897">
        <f t="shared" ref="BR389:BR477" si="291">IF($D389="是",AN389-AO389,0)</f>
        <v>0</v>
      </c>
      <c r="BS389" s="2897">
        <f t="shared" ref="BS389:BS477" si="292">IF($D389="是",AP389-AQ389,0)</f>
        <v>0</v>
      </c>
      <c r="BT389" s="2971">
        <f t="shared" ref="BT389:BT477" si="293">IF($D389="是",AR389-AS389,0)</f>
        <v>0</v>
      </c>
    </row>
    <row r="390" spans="1:72">
      <c r="A390" s="2894"/>
      <c r="B390" s="2904"/>
      <c r="C390" s="2902"/>
      <c r="D390" s="2903"/>
      <c r="E390" s="2897">
        <f t="shared" si="265"/>
        <v>0</v>
      </c>
      <c r="F390" s="2898"/>
      <c r="G390" s="2899">
        <f t="shared" si="266"/>
        <v>0</v>
      </c>
      <c r="H390" s="2900">
        <f t="shared" si="267"/>
        <v>0</v>
      </c>
      <c r="I390" s="2906"/>
      <c r="J390" s="2918"/>
      <c r="K390" s="2906"/>
      <c r="L390" s="2918"/>
      <c r="M390" s="2919"/>
      <c r="N390" s="2918"/>
      <c r="O390" s="2918"/>
      <c r="P390" s="2918"/>
      <c r="Q390" s="2918"/>
      <c r="R390" s="2918"/>
      <c r="S390" s="2918"/>
      <c r="T390" s="2918"/>
      <c r="U390" s="2918"/>
      <c r="V390" s="2918"/>
      <c r="W390" s="2918"/>
      <c r="X390" s="2918"/>
      <c r="Y390" s="2918"/>
      <c r="Z390" s="2918"/>
      <c r="AA390" s="2918"/>
      <c r="AB390" s="2918"/>
      <c r="AC390" s="2897">
        <f t="shared" si="268"/>
        <v>0</v>
      </c>
      <c r="AD390" s="2919"/>
      <c r="AE390" s="2929"/>
      <c r="AF390" s="2930"/>
      <c r="AG390" s="2929"/>
      <c r="AH390" s="2929"/>
      <c r="AI390" s="2929"/>
      <c r="AJ390" s="2929"/>
      <c r="AK390" s="2929"/>
      <c r="AL390" s="2919"/>
      <c r="AM390" s="2929"/>
      <c r="AN390" s="2919"/>
      <c r="AO390" s="2929"/>
      <c r="AP390" s="2929"/>
      <c r="AQ390" s="2929"/>
      <c r="AR390" s="2929"/>
      <c r="AS390" s="2929"/>
      <c r="AT390" s="2949"/>
      <c r="AU390" s="2950"/>
      <c r="AV390" s="454">
        <f t="shared" si="269"/>
        <v>0</v>
      </c>
      <c r="AW390" s="454">
        <f t="shared" si="270"/>
        <v>0</v>
      </c>
      <c r="AX390" s="454">
        <f t="shared" si="271"/>
        <v>0</v>
      </c>
      <c r="AY390" s="2966">
        <f t="shared" si="272"/>
        <v>0</v>
      </c>
      <c r="AZ390" s="2897">
        <f t="shared" si="273"/>
        <v>0</v>
      </c>
      <c r="BA390" s="2897">
        <f t="shared" si="274"/>
        <v>0</v>
      </c>
      <c r="BB390" s="2897">
        <f t="shared" si="275"/>
        <v>0</v>
      </c>
      <c r="BC390" s="2897">
        <f t="shared" si="276"/>
        <v>0</v>
      </c>
      <c r="BD390" s="2897">
        <f t="shared" si="277"/>
        <v>0</v>
      </c>
      <c r="BE390" s="2897">
        <f t="shared" si="278"/>
        <v>0</v>
      </c>
      <c r="BF390" s="2897">
        <f t="shared" si="279"/>
        <v>0</v>
      </c>
      <c r="BG390" s="2897">
        <f t="shared" si="280"/>
        <v>0</v>
      </c>
      <c r="BH390" s="2897">
        <f t="shared" si="281"/>
        <v>0</v>
      </c>
      <c r="BI390" s="2897">
        <f t="shared" si="282"/>
        <v>0</v>
      </c>
      <c r="BJ390" s="2897">
        <f t="shared" si="283"/>
        <v>0</v>
      </c>
      <c r="BK390" s="2897">
        <f t="shared" si="284"/>
        <v>0</v>
      </c>
      <c r="BL390" s="2897">
        <f t="shared" si="285"/>
        <v>0</v>
      </c>
      <c r="BM390" s="2897">
        <f t="shared" si="286"/>
        <v>0</v>
      </c>
      <c r="BN390" s="2897">
        <f t="shared" si="287"/>
        <v>0</v>
      </c>
      <c r="BO390" s="2897">
        <f t="shared" si="288"/>
        <v>0</v>
      </c>
      <c r="BP390" s="2897">
        <f t="shared" si="289"/>
        <v>0</v>
      </c>
      <c r="BQ390" s="2897">
        <f t="shared" si="290"/>
        <v>0</v>
      </c>
      <c r="BR390" s="2897">
        <f t="shared" si="291"/>
        <v>0</v>
      </c>
      <c r="BS390" s="2897">
        <f t="shared" si="292"/>
        <v>0</v>
      </c>
      <c r="BT390" s="2971">
        <f t="shared" si="293"/>
        <v>0</v>
      </c>
    </row>
    <row r="391" spans="1:72">
      <c r="A391" s="2894"/>
      <c r="B391" s="2904"/>
      <c r="C391" s="2902"/>
      <c r="D391" s="2903"/>
      <c r="E391" s="2897">
        <f t="shared" si="265"/>
        <v>0</v>
      </c>
      <c r="F391" s="2898"/>
      <c r="G391" s="2899">
        <f t="shared" si="266"/>
        <v>0</v>
      </c>
      <c r="H391" s="2900">
        <f t="shared" si="267"/>
        <v>0</v>
      </c>
      <c r="I391" s="2906"/>
      <c r="J391" s="2918"/>
      <c r="K391" s="2906"/>
      <c r="L391" s="2918"/>
      <c r="M391" s="2919"/>
      <c r="N391" s="2918"/>
      <c r="O391" s="2918"/>
      <c r="P391" s="2918"/>
      <c r="Q391" s="2918"/>
      <c r="R391" s="2918"/>
      <c r="S391" s="2918"/>
      <c r="T391" s="2918"/>
      <c r="U391" s="2918"/>
      <c r="V391" s="2918"/>
      <c r="W391" s="2918"/>
      <c r="X391" s="2918"/>
      <c r="Y391" s="2918"/>
      <c r="Z391" s="2918"/>
      <c r="AA391" s="2918"/>
      <c r="AB391" s="2918"/>
      <c r="AC391" s="2897">
        <f t="shared" si="268"/>
        <v>0</v>
      </c>
      <c r="AD391" s="2929"/>
      <c r="AE391" s="2929"/>
      <c r="AF391" s="2930"/>
      <c r="AG391" s="2929"/>
      <c r="AH391" s="2929"/>
      <c r="AI391" s="2929"/>
      <c r="AJ391" s="2929"/>
      <c r="AK391" s="2929"/>
      <c r="AL391" s="2919"/>
      <c r="AM391" s="2929"/>
      <c r="AN391" s="2919"/>
      <c r="AO391" s="2929"/>
      <c r="AP391" s="2929"/>
      <c r="AQ391" s="2929"/>
      <c r="AR391" s="2929"/>
      <c r="AS391" s="2929"/>
      <c r="AT391" s="2949"/>
      <c r="AU391" s="2950"/>
      <c r="AV391" s="454">
        <f t="shared" si="269"/>
        <v>0</v>
      </c>
      <c r="AW391" s="454">
        <f t="shared" si="270"/>
        <v>0</v>
      </c>
      <c r="AX391" s="454">
        <f t="shared" si="271"/>
        <v>0</v>
      </c>
      <c r="AY391" s="2966">
        <f t="shared" si="272"/>
        <v>0</v>
      </c>
      <c r="AZ391" s="2897">
        <f t="shared" si="273"/>
        <v>0</v>
      </c>
      <c r="BA391" s="2897">
        <f t="shared" si="274"/>
        <v>0</v>
      </c>
      <c r="BB391" s="2897">
        <f t="shared" si="275"/>
        <v>0</v>
      </c>
      <c r="BC391" s="2897">
        <f t="shared" si="276"/>
        <v>0</v>
      </c>
      <c r="BD391" s="2897">
        <f t="shared" si="277"/>
        <v>0</v>
      </c>
      <c r="BE391" s="2897">
        <f t="shared" si="278"/>
        <v>0</v>
      </c>
      <c r="BF391" s="2897">
        <f t="shared" si="279"/>
        <v>0</v>
      </c>
      <c r="BG391" s="2897">
        <f t="shared" si="280"/>
        <v>0</v>
      </c>
      <c r="BH391" s="2897">
        <f t="shared" si="281"/>
        <v>0</v>
      </c>
      <c r="BI391" s="2897">
        <f t="shared" si="282"/>
        <v>0</v>
      </c>
      <c r="BJ391" s="2897">
        <f t="shared" si="283"/>
        <v>0</v>
      </c>
      <c r="BK391" s="2897">
        <f t="shared" si="284"/>
        <v>0</v>
      </c>
      <c r="BL391" s="2897">
        <f t="shared" si="285"/>
        <v>0</v>
      </c>
      <c r="BM391" s="2897">
        <f t="shared" si="286"/>
        <v>0</v>
      </c>
      <c r="BN391" s="2897">
        <f t="shared" si="287"/>
        <v>0</v>
      </c>
      <c r="BO391" s="2897">
        <f t="shared" si="288"/>
        <v>0</v>
      </c>
      <c r="BP391" s="2897">
        <f t="shared" si="289"/>
        <v>0</v>
      </c>
      <c r="BQ391" s="2897">
        <f t="shared" si="290"/>
        <v>0</v>
      </c>
      <c r="BR391" s="2897">
        <f t="shared" si="291"/>
        <v>0</v>
      </c>
      <c r="BS391" s="2897">
        <f t="shared" si="292"/>
        <v>0</v>
      </c>
      <c r="BT391" s="2971">
        <f t="shared" si="293"/>
        <v>0</v>
      </c>
    </row>
    <row r="392" spans="1:72">
      <c r="A392" s="2894"/>
      <c r="B392" s="2904"/>
      <c r="C392" s="2902"/>
      <c r="D392" s="2903"/>
      <c r="E392" s="2897">
        <f t="shared" si="265"/>
        <v>0</v>
      </c>
      <c r="F392" s="2898"/>
      <c r="G392" s="2899">
        <f t="shared" si="266"/>
        <v>0</v>
      </c>
      <c r="H392" s="2900">
        <f t="shared" si="267"/>
        <v>0</v>
      </c>
      <c r="I392" s="2906"/>
      <c r="J392" s="2918"/>
      <c r="K392" s="2906"/>
      <c r="L392" s="2918"/>
      <c r="M392" s="2918"/>
      <c r="N392" s="2918"/>
      <c r="O392" s="2919"/>
      <c r="P392" s="2918"/>
      <c r="Q392" s="2918"/>
      <c r="R392" s="2918"/>
      <c r="S392" s="2918"/>
      <c r="T392" s="2918"/>
      <c r="U392" s="2918"/>
      <c r="V392" s="2918"/>
      <c r="W392" s="2918"/>
      <c r="X392" s="2918"/>
      <c r="Y392" s="2918"/>
      <c r="Z392" s="2918"/>
      <c r="AA392" s="2918"/>
      <c r="AB392" s="2918"/>
      <c r="AC392" s="2897">
        <f t="shared" si="268"/>
        <v>0</v>
      </c>
      <c r="AD392" s="2929"/>
      <c r="AE392" s="2929"/>
      <c r="AF392" s="2930"/>
      <c r="AG392" s="2929"/>
      <c r="AH392" s="2929"/>
      <c r="AI392" s="2929"/>
      <c r="AJ392" s="2929"/>
      <c r="AK392" s="2929"/>
      <c r="AL392" s="2929"/>
      <c r="AM392" s="2929"/>
      <c r="AN392" s="2919"/>
      <c r="AO392" s="2929"/>
      <c r="AP392" s="2929"/>
      <c r="AQ392" s="2929"/>
      <c r="AR392" s="2929"/>
      <c r="AS392" s="2929"/>
      <c r="AT392" s="2949"/>
      <c r="AU392" s="2950"/>
      <c r="AV392" s="454">
        <f t="shared" si="269"/>
        <v>0</v>
      </c>
      <c r="AW392" s="454">
        <f t="shared" si="270"/>
        <v>0</v>
      </c>
      <c r="AX392" s="454">
        <f t="shared" si="271"/>
        <v>0</v>
      </c>
      <c r="AY392" s="2966">
        <f t="shared" si="272"/>
        <v>0</v>
      </c>
      <c r="AZ392" s="2897">
        <f t="shared" si="273"/>
        <v>0</v>
      </c>
      <c r="BA392" s="2897">
        <f t="shared" si="274"/>
        <v>0</v>
      </c>
      <c r="BB392" s="2897">
        <f t="shared" si="275"/>
        <v>0</v>
      </c>
      <c r="BC392" s="2897">
        <f t="shared" si="276"/>
        <v>0</v>
      </c>
      <c r="BD392" s="2897">
        <f t="shared" si="277"/>
        <v>0</v>
      </c>
      <c r="BE392" s="2897">
        <f t="shared" si="278"/>
        <v>0</v>
      </c>
      <c r="BF392" s="2897">
        <f t="shared" si="279"/>
        <v>0</v>
      </c>
      <c r="BG392" s="2897">
        <f t="shared" si="280"/>
        <v>0</v>
      </c>
      <c r="BH392" s="2897">
        <f t="shared" si="281"/>
        <v>0</v>
      </c>
      <c r="BI392" s="2897">
        <f t="shared" si="282"/>
        <v>0</v>
      </c>
      <c r="BJ392" s="2897">
        <f t="shared" si="283"/>
        <v>0</v>
      </c>
      <c r="BK392" s="2897">
        <f t="shared" si="284"/>
        <v>0</v>
      </c>
      <c r="BL392" s="2897">
        <f t="shared" si="285"/>
        <v>0</v>
      </c>
      <c r="BM392" s="2897">
        <f t="shared" si="286"/>
        <v>0</v>
      </c>
      <c r="BN392" s="2897">
        <f t="shared" si="287"/>
        <v>0</v>
      </c>
      <c r="BO392" s="2897">
        <f t="shared" si="288"/>
        <v>0</v>
      </c>
      <c r="BP392" s="2897">
        <f t="shared" si="289"/>
        <v>0</v>
      </c>
      <c r="BQ392" s="2897">
        <f t="shared" si="290"/>
        <v>0</v>
      </c>
      <c r="BR392" s="2897">
        <f t="shared" si="291"/>
        <v>0</v>
      </c>
      <c r="BS392" s="2897">
        <f t="shared" si="292"/>
        <v>0</v>
      </c>
      <c r="BT392" s="2971">
        <f t="shared" si="293"/>
        <v>0</v>
      </c>
    </row>
    <row r="393" spans="1:72">
      <c r="A393" s="2894"/>
      <c r="B393" s="2904"/>
      <c r="C393" s="2902"/>
      <c r="D393" s="2903"/>
      <c r="E393" s="2897">
        <f t="shared" si="265"/>
        <v>0</v>
      </c>
      <c r="F393" s="2898"/>
      <c r="G393" s="2899">
        <f t="shared" si="266"/>
        <v>0</v>
      </c>
      <c r="H393" s="2900">
        <f t="shared" si="267"/>
        <v>0</v>
      </c>
      <c r="I393" s="2906"/>
      <c r="J393" s="2918"/>
      <c r="K393" s="2906"/>
      <c r="L393" s="2918"/>
      <c r="M393" s="2918"/>
      <c r="N393" s="2918"/>
      <c r="O393" s="2918"/>
      <c r="P393" s="2918"/>
      <c r="Q393" s="2918"/>
      <c r="R393" s="2918"/>
      <c r="S393" s="2918"/>
      <c r="T393" s="2918"/>
      <c r="U393" s="2918"/>
      <c r="V393" s="2918"/>
      <c r="W393" s="2918"/>
      <c r="X393" s="2918"/>
      <c r="Y393" s="2918"/>
      <c r="Z393" s="2918"/>
      <c r="AA393" s="2918"/>
      <c r="AB393" s="2918"/>
      <c r="AC393" s="2897">
        <f t="shared" si="268"/>
        <v>0</v>
      </c>
      <c r="AD393" s="2929"/>
      <c r="AE393" s="2929"/>
      <c r="AF393" s="2930"/>
      <c r="AG393" s="2929"/>
      <c r="AH393" s="2929"/>
      <c r="AI393" s="2929"/>
      <c r="AJ393" s="2929"/>
      <c r="AK393" s="2929"/>
      <c r="AL393" s="2929"/>
      <c r="AM393" s="2929"/>
      <c r="AN393" s="2929"/>
      <c r="AO393" s="2929"/>
      <c r="AP393" s="2929"/>
      <c r="AQ393" s="2929"/>
      <c r="AR393" s="2929"/>
      <c r="AS393" s="2929"/>
      <c r="AT393" s="2949"/>
      <c r="AU393" s="2950"/>
      <c r="AV393" s="454">
        <f t="shared" si="269"/>
        <v>0</v>
      </c>
      <c r="AW393" s="454">
        <f t="shared" si="270"/>
        <v>0</v>
      </c>
      <c r="AX393" s="454">
        <f t="shared" si="271"/>
        <v>0</v>
      </c>
      <c r="AY393" s="2966">
        <f t="shared" si="272"/>
        <v>0</v>
      </c>
      <c r="AZ393" s="2897">
        <f t="shared" si="273"/>
        <v>0</v>
      </c>
      <c r="BA393" s="2897">
        <f t="shared" si="274"/>
        <v>0</v>
      </c>
      <c r="BB393" s="2897">
        <f t="shared" si="275"/>
        <v>0</v>
      </c>
      <c r="BC393" s="2897">
        <f t="shared" si="276"/>
        <v>0</v>
      </c>
      <c r="BD393" s="2897">
        <f t="shared" si="277"/>
        <v>0</v>
      </c>
      <c r="BE393" s="2897">
        <f t="shared" si="278"/>
        <v>0</v>
      </c>
      <c r="BF393" s="2897">
        <f t="shared" si="279"/>
        <v>0</v>
      </c>
      <c r="BG393" s="2897">
        <f t="shared" si="280"/>
        <v>0</v>
      </c>
      <c r="BH393" s="2897">
        <f t="shared" si="281"/>
        <v>0</v>
      </c>
      <c r="BI393" s="2897">
        <f t="shared" si="282"/>
        <v>0</v>
      </c>
      <c r="BJ393" s="2897">
        <f t="shared" si="283"/>
        <v>0</v>
      </c>
      <c r="BK393" s="2897">
        <f t="shared" si="284"/>
        <v>0</v>
      </c>
      <c r="BL393" s="2897">
        <f t="shared" si="285"/>
        <v>0</v>
      </c>
      <c r="BM393" s="2897">
        <f t="shared" si="286"/>
        <v>0</v>
      </c>
      <c r="BN393" s="2897">
        <f t="shared" si="287"/>
        <v>0</v>
      </c>
      <c r="BO393" s="2897">
        <f t="shared" si="288"/>
        <v>0</v>
      </c>
      <c r="BP393" s="2897">
        <f t="shared" si="289"/>
        <v>0</v>
      </c>
      <c r="BQ393" s="2897">
        <f t="shared" si="290"/>
        <v>0</v>
      </c>
      <c r="BR393" s="2897">
        <f t="shared" si="291"/>
        <v>0</v>
      </c>
      <c r="BS393" s="2897">
        <f t="shared" si="292"/>
        <v>0</v>
      </c>
      <c r="BT393" s="2971">
        <f t="shared" si="293"/>
        <v>0</v>
      </c>
    </row>
    <row r="394" spans="1:72">
      <c r="A394" s="2894"/>
      <c r="B394" s="2904"/>
      <c r="C394" s="2902"/>
      <c r="D394" s="2903"/>
      <c r="E394" s="2897">
        <f t="shared" si="265"/>
        <v>0</v>
      </c>
      <c r="F394" s="2898"/>
      <c r="G394" s="2899">
        <f t="shared" si="266"/>
        <v>0</v>
      </c>
      <c r="H394" s="2900">
        <f t="shared" si="267"/>
        <v>0</v>
      </c>
      <c r="I394" s="2906"/>
      <c r="J394" s="2918"/>
      <c r="K394" s="2906"/>
      <c r="L394" s="2918"/>
      <c r="M394" s="2918"/>
      <c r="N394" s="2918"/>
      <c r="O394" s="2918"/>
      <c r="P394" s="2918"/>
      <c r="Q394" s="2918"/>
      <c r="R394" s="2918"/>
      <c r="S394" s="2918"/>
      <c r="T394" s="2918"/>
      <c r="U394" s="2918"/>
      <c r="V394" s="2918"/>
      <c r="W394" s="2918"/>
      <c r="X394" s="2918"/>
      <c r="Y394" s="2918"/>
      <c r="Z394" s="2918"/>
      <c r="AA394" s="2918"/>
      <c r="AB394" s="2918"/>
      <c r="AC394" s="2897">
        <f t="shared" si="268"/>
        <v>0</v>
      </c>
      <c r="AD394" s="2929"/>
      <c r="AE394" s="2929"/>
      <c r="AF394" s="2930"/>
      <c r="AG394" s="2929"/>
      <c r="AH394" s="2929"/>
      <c r="AI394" s="2929"/>
      <c r="AJ394" s="2929"/>
      <c r="AK394" s="2929"/>
      <c r="AL394" s="2929"/>
      <c r="AM394" s="2929"/>
      <c r="AN394" s="2929"/>
      <c r="AO394" s="2929"/>
      <c r="AP394" s="2929"/>
      <c r="AQ394" s="2929"/>
      <c r="AR394" s="2929"/>
      <c r="AS394" s="2929"/>
      <c r="AT394" s="2949"/>
      <c r="AU394" s="2950"/>
      <c r="AV394" s="454">
        <f t="shared" si="269"/>
        <v>0</v>
      </c>
      <c r="AW394" s="454">
        <f t="shared" si="270"/>
        <v>0</v>
      </c>
      <c r="AX394" s="454">
        <f t="shared" si="271"/>
        <v>0</v>
      </c>
      <c r="AY394" s="2966">
        <f t="shared" si="272"/>
        <v>0</v>
      </c>
      <c r="AZ394" s="2897">
        <f t="shared" si="273"/>
        <v>0</v>
      </c>
      <c r="BA394" s="2897">
        <f t="shared" si="274"/>
        <v>0</v>
      </c>
      <c r="BB394" s="2897">
        <f t="shared" si="275"/>
        <v>0</v>
      </c>
      <c r="BC394" s="2897">
        <f t="shared" si="276"/>
        <v>0</v>
      </c>
      <c r="BD394" s="2897">
        <f t="shared" si="277"/>
        <v>0</v>
      </c>
      <c r="BE394" s="2897">
        <f t="shared" si="278"/>
        <v>0</v>
      </c>
      <c r="BF394" s="2897">
        <f t="shared" si="279"/>
        <v>0</v>
      </c>
      <c r="BG394" s="2897">
        <f t="shared" si="280"/>
        <v>0</v>
      </c>
      <c r="BH394" s="2897">
        <f t="shared" si="281"/>
        <v>0</v>
      </c>
      <c r="BI394" s="2897">
        <f t="shared" si="282"/>
        <v>0</v>
      </c>
      <c r="BJ394" s="2897">
        <f t="shared" si="283"/>
        <v>0</v>
      </c>
      <c r="BK394" s="2897">
        <f t="shared" si="284"/>
        <v>0</v>
      </c>
      <c r="BL394" s="2897">
        <f t="shared" si="285"/>
        <v>0</v>
      </c>
      <c r="BM394" s="2897">
        <f t="shared" si="286"/>
        <v>0</v>
      </c>
      <c r="BN394" s="2897">
        <f t="shared" si="287"/>
        <v>0</v>
      </c>
      <c r="BO394" s="2897">
        <f t="shared" si="288"/>
        <v>0</v>
      </c>
      <c r="BP394" s="2897">
        <f t="shared" si="289"/>
        <v>0</v>
      </c>
      <c r="BQ394" s="2897">
        <f t="shared" si="290"/>
        <v>0</v>
      </c>
      <c r="BR394" s="2897">
        <f t="shared" si="291"/>
        <v>0</v>
      </c>
      <c r="BS394" s="2897">
        <f t="shared" si="292"/>
        <v>0</v>
      </c>
      <c r="BT394" s="2971">
        <f t="shared" si="293"/>
        <v>0</v>
      </c>
    </row>
    <row r="395" spans="1:72">
      <c r="A395" s="2894"/>
      <c r="B395" s="2904"/>
      <c r="C395" s="2902"/>
      <c r="D395" s="2903"/>
      <c r="E395" s="2897">
        <f t="shared" si="265"/>
        <v>0</v>
      </c>
      <c r="F395" s="2898"/>
      <c r="G395" s="2899">
        <f t="shared" si="266"/>
        <v>0</v>
      </c>
      <c r="H395" s="2900">
        <f t="shared" si="267"/>
        <v>0</v>
      </c>
      <c r="I395" s="2906"/>
      <c r="J395" s="2918"/>
      <c r="K395" s="2906"/>
      <c r="L395" s="2918"/>
      <c r="M395" s="2918"/>
      <c r="N395" s="2918"/>
      <c r="O395" s="2918"/>
      <c r="P395" s="2918"/>
      <c r="Q395" s="2918"/>
      <c r="R395" s="2918"/>
      <c r="S395" s="2918"/>
      <c r="T395" s="2918"/>
      <c r="U395" s="2918"/>
      <c r="V395" s="2918"/>
      <c r="W395" s="2918"/>
      <c r="X395" s="2918"/>
      <c r="Y395" s="2918"/>
      <c r="Z395" s="2918"/>
      <c r="AA395" s="2918"/>
      <c r="AB395" s="2918"/>
      <c r="AC395" s="2897">
        <f t="shared" si="268"/>
        <v>0</v>
      </c>
      <c r="AD395" s="2929"/>
      <c r="AE395" s="2929"/>
      <c r="AF395" s="2930"/>
      <c r="AG395" s="2929"/>
      <c r="AH395" s="2929"/>
      <c r="AI395" s="2929"/>
      <c r="AJ395" s="2929"/>
      <c r="AK395" s="2929"/>
      <c r="AL395" s="2929"/>
      <c r="AM395" s="2929"/>
      <c r="AN395" s="2929"/>
      <c r="AO395" s="2929"/>
      <c r="AP395" s="2929"/>
      <c r="AQ395" s="2929"/>
      <c r="AR395" s="2929"/>
      <c r="AS395" s="2929"/>
      <c r="AT395" s="2949"/>
      <c r="AU395" s="2950"/>
      <c r="AV395" s="454">
        <f t="shared" si="269"/>
        <v>0</v>
      </c>
      <c r="AW395" s="454">
        <f t="shared" si="270"/>
        <v>0</v>
      </c>
      <c r="AX395" s="454">
        <f t="shared" si="271"/>
        <v>0</v>
      </c>
      <c r="AY395" s="2966">
        <f t="shared" si="272"/>
        <v>0</v>
      </c>
      <c r="AZ395" s="2897">
        <f t="shared" si="273"/>
        <v>0</v>
      </c>
      <c r="BA395" s="2897">
        <f t="shared" si="274"/>
        <v>0</v>
      </c>
      <c r="BB395" s="2897">
        <f t="shared" si="275"/>
        <v>0</v>
      </c>
      <c r="BC395" s="2897">
        <f t="shared" si="276"/>
        <v>0</v>
      </c>
      <c r="BD395" s="2897">
        <f t="shared" si="277"/>
        <v>0</v>
      </c>
      <c r="BE395" s="2897">
        <f t="shared" si="278"/>
        <v>0</v>
      </c>
      <c r="BF395" s="2897">
        <f t="shared" si="279"/>
        <v>0</v>
      </c>
      <c r="BG395" s="2897">
        <f t="shared" si="280"/>
        <v>0</v>
      </c>
      <c r="BH395" s="2897">
        <f t="shared" si="281"/>
        <v>0</v>
      </c>
      <c r="BI395" s="2897">
        <f t="shared" si="282"/>
        <v>0</v>
      </c>
      <c r="BJ395" s="2897">
        <f t="shared" si="283"/>
        <v>0</v>
      </c>
      <c r="BK395" s="2897">
        <f t="shared" si="284"/>
        <v>0</v>
      </c>
      <c r="BL395" s="2897">
        <f t="shared" si="285"/>
        <v>0</v>
      </c>
      <c r="BM395" s="2897">
        <f t="shared" si="286"/>
        <v>0</v>
      </c>
      <c r="BN395" s="2897">
        <f t="shared" si="287"/>
        <v>0</v>
      </c>
      <c r="BO395" s="2897">
        <f t="shared" si="288"/>
        <v>0</v>
      </c>
      <c r="BP395" s="2897">
        <f t="shared" si="289"/>
        <v>0</v>
      </c>
      <c r="BQ395" s="2897">
        <f t="shared" si="290"/>
        <v>0</v>
      </c>
      <c r="BR395" s="2897">
        <f t="shared" si="291"/>
        <v>0</v>
      </c>
      <c r="BS395" s="2897">
        <f t="shared" si="292"/>
        <v>0</v>
      </c>
      <c r="BT395" s="2971">
        <f t="shared" si="293"/>
        <v>0</v>
      </c>
    </row>
    <row r="396" spans="1:72">
      <c r="A396" s="2894"/>
      <c r="B396" s="2904"/>
      <c r="C396" s="2902"/>
      <c r="D396" s="2903"/>
      <c r="E396" s="2897">
        <f t="shared" si="265"/>
        <v>0</v>
      </c>
      <c r="F396" s="2898"/>
      <c r="G396" s="2899">
        <f t="shared" si="266"/>
        <v>0</v>
      </c>
      <c r="H396" s="2900">
        <f t="shared" si="267"/>
        <v>0</v>
      </c>
      <c r="I396" s="2906"/>
      <c r="J396" s="2918"/>
      <c r="K396" s="2906"/>
      <c r="L396" s="2918"/>
      <c r="M396" s="2918"/>
      <c r="N396" s="2918"/>
      <c r="O396" s="2918"/>
      <c r="P396" s="2918"/>
      <c r="Q396" s="2918"/>
      <c r="R396" s="2918"/>
      <c r="S396" s="2918"/>
      <c r="T396" s="2918"/>
      <c r="U396" s="2918"/>
      <c r="V396" s="2918"/>
      <c r="W396" s="2918"/>
      <c r="X396" s="2918"/>
      <c r="Y396" s="2918"/>
      <c r="Z396" s="2918"/>
      <c r="AA396" s="2918"/>
      <c r="AB396" s="2918"/>
      <c r="AC396" s="2897">
        <f t="shared" si="268"/>
        <v>0</v>
      </c>
      <c r="AD396" s="2929"/>
      <c r="AE396" s="2929"/>
      <c r="AF396" s="2906"/>
      <c r="AG396" s="2929"/>
      <c r="AH396" s="2929"/>
      <c r="AI396" s="2929"/>
      <c r="AJ396" s="2929"/>
      <c r="AK396" s="2929"/>
      <c r="AL396" s="2929"/>
      <c r="AM396" s="2929"/>
      <c r="AN396" s="2929"/>
      <c r="AO396" s="2929"/>
      <c r="AP396" s="2929"/>
      <c r="AQ396" s="2929"/>
      <c r="AR396" s="2929"/>
      <c r="AS396" s="2929"/>
      <c r="AT396" s="2949"/>
      <c r="AU396" s="2950"/>
      <c r="AV396" s="454">
        <f t="shared" si="269"/>
        <v>0</v>
      </c>
      <c r="AW396" s="454">
        <f t="shared" si="270"/>
        <v>0</v>
      </c>
      <c r="AX396" s="454">
        <f t="shared" si="271"/>
        <v>0</v>
      </c>
      <c r="AY396" s="2966">
        <f t="shared" si="272"/>
        <v>0</v>
      </c>
      <c r="AZ396" s="2897">
        <f t="shared" si="273"/>
        <v>0</v>
      </c>
      <c r="BA396" s="2897">
        <f t="shared" si="274"/>
        <v>0</v>
      </c>
      <c r="BB396" s="2897">
        <f t="shared" si="275"/>
        <v>0</v>
      </c>
      <c r="BC396" s="2897">
        <f t="shared" si="276"/>
        <v>0</v>
      </c>
      <c r="BD396" s="2897">
        <f t="shared" si="277"/>
        <v>0</v>
      </c>
      <c r="BE396" s="2897">
        <f t="shared" si="278"/>
        <v>0</v>
      </c>
      <c r="BF396" s="2897">
        <f t="shared" si="279"/>
        <v>0</v>
      </c>
      <c r="BG396" s="2897">
        <f t="shared" si="280"/>
        <v>0</v>
      </c>
      <c r="BH396" s="2897">
        <f t="shared" si="281"/>
        <v>0</v>
      </c>
      <c r="BI396" s="2897">
        <f t="shared" si="282"/>
        <v>0</v>
      </c>
      <c r="BJ396" s="2897">
        <f t="shared" si="283"/>
        <v>0</v>
      </c>
      <c r="BK396" s="2897">
        <f t="shared" si="284"/>
        <v>0</v>
      </c>
      <c r="BL396" s="2897">
        <f t="shared" si="285"/>
        <v>0</v>
      </c>
      <c r="BM396" s="2897">
        <f t="shared" si="286"/>
        <v>0</v>
      </c>
      <c r="BN396" s="2897">
        <f t="shared" si="287"/>
        <v>0</v>
      </c>
      <c r="BO396" s="2897">
        <f t="shared" si="288"/>
        <v>0</v>
      </c>
      <c r="BP396" s="2897">
        <f t="shared" si="289"/>
        <v>0</v>
      </c>
      <c r="BQ396" s="2897">
        <f t="shared" si="290"/>
        <v>0</v>
      </c>
      <c r="BR396" s="2897">
        <f t="shared" si="291"/>
        <v>0</v>
      </c>
      <c r="BS396" s="2897">
        <f t="shared" si="292"/>
        <v>0</v>
      </c>
      <c r="BT396" s="2971">
        <f t="shared" si="293"/>
        <v>0</v>
      </c>
    </row>
    <row r="397" spans="1:72">
      <c r="A397" s="2894"/>
      <c r="B397" s="2905"/>
      <c r="C397" s="2906"/>
      <c r="D397" s="2903"/>
      <c r="E397" s="2897">
        <f t="shared" si="265"/>
        <v>0</v>
      </c>
      <c r="F397" s="2898"/>
      <c r="G397" s="2899">
        <f t="shared" si="266"/>
        <v>0</v>
      </c>
      <c r="H397" s="2900">
        <f t="shared" si="267"/>
        <v>0</v>
      </c>
      <c r="I397" s="2906"/>
      <c r="J397" s="2918"/>
      <c r="K397" s="2906"/>
      <c r="L397" s="2918"/>
      <c r="M397" s="2918"/>
      <c r="N397" s="2918"/>
      <c r="O397" s="2918"/>
      <c r="P397" s="2918"/>
      <c r="Q397" s="2918"/>
      <c r="R397" s="2918"/>
      <c r="S397" s="2918"/>
      <c r="T397" s="2918"/>
      <c r="U397" s="2918"/>
      <c r="V397" s="2918"/>
      <c r="W397" s="2918"/>
      <c r="X397" s="2918"/>
      <c r="Y397" s="2918"/>
      <c r="Z397" s="2918"/>
      <c r="AA397" s="2918"/>
      <c r="AB397" s="2918"/>
      <c r="AC397" s="2897">
        <f t="shared" si="268"/>
        <v>0</v>
      </c>
      <c r="AD397" s="2929"/>
      <c r="AE397" s="2929"/>
      <c r="AF397" s="2906"/>
      <c r="AG397" s="2929"/>
      <c r="AH397" s="2929"/>
      <c r="AI397" s="2929"/>
      <c r="AJ397" s="2929"/>
      <c r="AK397" s="2929"/>
      <c r="AL397" s="2929"/>
      <c r="AM397" s="2929"/>
      <c r="AN397" s="2929"/>
      <c r="AO397" s="2929"/>
      <c r="AP397" s="2929"/>
      <c r="AQ397" s="2929"/>
      <c r="AR397" s="2929"/>
      <c r="AS397" s="2929"/>
      <c r="AT397" s="2949"/>
      <c r="AU397" s="2950"/>
      <c r="AV397" s="454">
        <f t="shared" si="269"/>
        <v>0</v>
      </c>
      <c r="AW397" s="454">
        <f t="shared" si="270"/>
        <v>0</v>
      </c>
      <c r="AX397" s="454">
        <f t="shared" si="271"/>
        <v>0</v>
      </c>
      <c r="AY397" s="2966">
        <f t="shared" si="272"/>
        <v>0</v>
      </c>
      <c r="AZ397" s="2897">
        <f t="shared" si="273"/>
        <v>0</v>
      </c>
      <c r="BA397" s="2897">
        <f t="shared" si="274"/>
        <v>0</v>
      </c>
      <c r="BB397" s="2897">
        <f t="shared" si="275"/>
        <v>0</v>
      </c>
      <c r="BC397" s="2897">
        <f t="shared" si="276"/>
        <v>0</v>
      </c>
      <c r="BD397" s="2897">
        <f t="shared" si="277"/>
        <v>0</v>
      </c>
      <c r="BE397" s="2897">
        <f t="shared" si="278"/>
        <v>0</v>
      </c>
      <c r="BF397" s="2897">
        <f t="shared" si="279"/>
        <v>0</v>
      </c>
      <c r="BG397" s="2897">
        <f t="shared" si="280"/>
        <v>0</v>
      </c>
      <c r="BH397" s="2897">
        <f t="shared" si="281"/>
        <v>0</v>
      </c>
      <c r="BI397" s="2897">
        <f t="shared" si="282"/>
        <v>0</v>
      </c>
      <c r="BJ397" s="2897">
        <f t="shared" si="283"/>
        <v>0</v>
      </c>
      <c r="BK397" s="2897">
        <f t="shared" si="284"/>
        <v>0</v>
      </c>
      <c r="BL397" s="2897">
        <f t="shared" si="285"/>
        <v>0</v>
      </c>
      <c r="BM397" s="2897">
        <f t="shared" si="286"/>
        <v>0</v>
      </c>
      <c r="BN397" s="2897">
        <f t="shared" si="287"/>
        <v>0</v>
      </c>
      <c r="BO397" s="2897">
        <f t="shared" si="288"/>
        <v>0</v>
      </c>
      <c r="BP397" s="2897">
        <f t="shared" si="289"/>
        <v>0</v>
      </c>
      <c r="BQ397" s="2897">
        <f t="shared" si="290"/>
        <v>0</v>
      </c>
      <c r="BR397" s="2897">
        <f t="shared" si="291"/>
        <v>0</v>
      </c>
      <c r="BS397" s="2897">
        <f t="shared" si="292"/>
        <v>0</v>
      </c>
      <c r="BT397" s="2971">
        <f t="shared" si="293"/>
        <v>0</v>
      </c>
    </row>
    <row r="398" spans="1:72">
      <c r="A398" s="2894"/>
      <c r="B398" s="2904"/>
      <c r="C398" s="2902"/>
      <c r="D398" s="2903"/>
      <c r="E398" s="2897">
        <f t="shared" si="265"/>
        <v>0</v>
      </c>
      <c r="F398" s="2898"/>
      <c r="G398" s="2899">
        <f t="shared" si="266"/>
        <v>0</v>
      </c>
      <c r="H398" s="2900">
        <f t="shared" si="267"/>
        <v>0</v>
      </c>
      <c r="I398" s="2906"/>
      <c r="J398" s="2918"/>
      <c r="K398" s="2906"/>
      <c r="L398" s="2918"/>
      <c r="M398" s="2918"/>
      <c r="N398" s="2918"/>
      <c r="O398" s="2918"/>
      <c r="P398" s="2918"/>
      <c r="Q398" s="2918"/>
      <c r="R398" s="2918"/>
      <c r="S398" s="2918"/>
      <c r="T398" s="2918"/>
      <c r="U398" s="2918"/>
      <c r="V398" s="2918"/>
      <c r="W398" s="2918"/>
      <c r="X398" s="2918"/>
      <c r="Y398" s="2918"/>
      <c r="Z398" s="2918"/>
      <c r="AA398" s="2918"/>
      <c r="AB398" s="2918"/>
      <c r="AC398" s="2897">
        <f t="shared" si="268"/>
        <v>0</v>
      </c>
      <c r="AD398" s="2929"/>
      <c r="AE398" s="2929"/>
      <c r="AF398" s="2906"/>
      <c r="AG398" s="2929"/>
      <c r="AH398" s="2929"/>
      <c r="AI398" s="2929"/>
      <c r="AJ398" s="2929"/>
      <c r="AK398" s="2929"/>
      <c r="AL398" s="2929"/>
      <c r="AM398" s="2929"/>
      <c r="AN398" s="2929"/>
      <c r="AO398" s="2929"/>
      <c r="AP398" s="2929"/>
      <c r="AQ398" s="2929"/>
      <c r="AR398" s="2929"/>
      <c r="AS398" s="2929"/>
      <c r="AT398" s="2949"/>
      <c r="AU398" s="2950"/>
      <c r="AV398" s="454">
        <f t="shared" si="269"/>
        <v>0</v>
      </c>
      <c r="AW398" s="454">
        <f t="shared" si="270"/>
        <v>0</v>
      </c>
      <c r="AX398" s="454">
        <f t="shared" si="271"/>
        <v>0</v>
      </c>
      <c r="AY398" s="2966">
        <f t="shared" si="272"/>
        <v>0</v>
      </c>
      <c r="AZ398" s="2897">
        <f t="shared" si="273"/>
        <v>0</v>
      </c>
      <c r="BA398" s="2897">
        <f t="shared" si="274"/>
        <v>0</v>
      </c>
      <c r="BB398" s="2897">
        <f t="shared" si="275"/>
        <v>0</v>
      </c>
      <c r="BC398" s="2897">
        <f t="shared" si="276"/>
        <v>0</v>
      </c>
      <c r="BD398" s="2897">
        <f t="shared" si="277"/>
        <v>0</v>
      </c>
      <c r="BE398" s="2897">
        <f t="shared" si="278"/>
        <v>0</v>
      </c>
      <c r="BF398" s="2897">
        <f t="shared" si="279"/>
        <v>0</v>
      </c>
      <c r="BG398" s="2897">
        <f t="shared" si="280"/>
        <v>0</v>
      </c>
      <c r="BH398" s="2897">
        <f t="shared" si="281"/>
        <v>0</v>
      </c>
      <c r="BI398" s="2897">
        <f t="shared" si="282"/>
        <v>0</v>
      </c>
      <c r="BJ398" s="2897">
        <f t="shared" si="283"/>
        <v>0</v>
      </c>
      <c r="BK398" s="2897">
        <f t="shared" si="284"/>
        <v>0</v>
      </c>
      <c r="BL398" s="2897">
        <f t="shared" si="285"/>
        <v>0</v>
      </c>
      <c r="BM398" s="2897">
        <f t="shared" si="286"/>
        <v>0</v>
      </c>
      <c r="BN398" s="2897">
        <f t="shared" si="287"/>
        <v>0</v>
      </c>
      <c r="BO398" s="2897">
        <f t="shared" si="288"/>
        <v>0</v>
      </c>
      <c r="BP398" s="2897">
        <f t="shared" si="289"/>
        <v>0</v>
      </c>
      <c r="BQ398" s="2897">
        <f t="shared" si="290"/>
        <v>0</v>
      </c>
      <c r="BR398" s="2897">
        <f t="shared" si="291"/>
        <v>0</v>
      </c>
      <c r="BS398" s="2897">
        <f t="shared" si="292"/>
        <v>0</v>
      </c>
      <c r="BT398" s="2971">
        <f t="shared" si="293"/>
        <v>0</v>
      </c>
    </row>
    <row r="399" spans="1:72">
      <c r="A399" s="2894"/>
      <c r="B399" s="2904"/>
      <c r="C399" s="2902"/>
      <c r="D399" s="2903"/>
      <c r="E399" s="2897">
        <f t="shared" si="265"/>
        <v>0</v>
      </c>
      <c r="F399" s="2898"/>
      <c r="G399" s="2899">
        <f t="shared" si="266"/>
        <v>0</v>
      </c>
      <c r="H399" s="2900">
        <f t="shared" si="267"/>
        <v>0</v>
      </c>
      <c r="I399" s="2906"/>
      <c r="J399" s="2918"/>
      <c r="K399" s="2906"/>
      <c r="L399" s="2918"/>
      <c r="M399" s="2918"/>
      <c r="N399" s="2918"/>
      <c r="O399" s="2918"/>
      <c r="P399" s="2918"/>
      <c r="Q399" s="2918"/>
      <c r="R399" s="2918"/>
      <c r="S399" s="2918"/>
      <c r="T399" s="2918"/>
      <c r="U399" s="2918"/>
      <c r="V399" s="2918"/>
      <c r="W399" s="2918"/>
      <c r="X399" s="2918"/>
      <c r="Y399" s="2918"/>
      <c r="Z399" s="2918"/>
      <c r="AA399" s="2918"/>
      <c r="AB399" s="2918"/>
      <c r="AC399" s="2897">
        <f t="shared" si="268"/>
        <v>0</v>
      </c>
      <c r="AD399" s="2929"/>
      <c r="AE399" s="2929"/>
      <c r="AF399" s="2906"/>
      <c r="AG399" s="2929"/>
      <c r="AH399" s="2929"/>
      <c r="AI399" s="2929"/>
      <c r="AJ399" s="2929"/>
      <c r="AK399" s="2929"/>
      <c r="AL399" s="2929"/>
      <c r="AM399" s="2929"/>
      <c r="AN399" s="2929"/>
      <c r="AO399" s="2929"/>
      <c r="AP399" s="2929"/>
      <c r="AQ399" s="2929"/>
      <c r="AR399" s="2929"/>
      <c r="AS399" s="2929"/>
      <c r="AT399" s="2949"/>
      <c r="AU399" s="2950"/>
      <c r="AV399" s="454">
        <f t="shared" si="269"/>
        <v>0</v>
      </c>
      <c r="AW399" s="454">
        <f t="shared" si="270"/>
        <v>0</v>
      </c>
      <c r="AX399" s="454">
        <f t="shared" si="271"/>
        <v>0</v>
      </c>
      <c r="AY399" s="2966">
        <f t="shared" si="272"/>
        <v>0</v>
      </c>
      <c r="AZ399" s="2897">
        <f t="shared" si="273"/>
        <v>0</v>
      </c>
      <c r="BA399" s="2897">
        <f t="shared" si="274"/>
        <v>0</v>
      </c>
      <c r="BB399" s="2897">
        <f t="shared" si="275"/>
        <v>0</v>
      </c>
      <c r="BC399" s="2897">
        <f t="shared" si="276"/>
        <v>0</v>
      </c>
      <c r="BD399" s="2897">
        <f t="shared" si="277"/>
        <v>0</v>
      </c>
      <c r="BE399" s="2897">
        <f t="shared" si="278"/>
        <v>0</v>
      </c>
      <c r="BF399" s="2897">
        <f t="shared" si="279"/>
        <v>0</v>
      </c>
      <c r="BG399" s="2897">
        <f t="shared" si="280"/>
        <v>0</v>
      </c>
      <c r="BH399" s="2897">
        <f t="shared" si="281"/>
        <v>0</v>
      </c>
      <c r="BI399" s="2897">
        <f t="shared" si="282"/>
        <v>0</v>
      </c>
      <c r="BJ399" s="2897">
        <f t="shared" si="283"/>
        <v>0</v>
      </c>
      <c r="BK399" s="2897">
        <f t="shared" si="284"/>
        <v>0</v>
      </c>
      <c r="BL399" s="2897">
        <f t="shared" si="285"/>
        <v>0</v>
      </c>
      <c r="BM399" s="2897">
        <f t="shared" si="286"/>
        <v>0</v>
      </c>
      <c r="BN399" s="2897">
        <f t="shared" si="287"/>
        <v>0</v>
      </c>
      <c r="BO399" s="2897">
        <f t="shared" si="288"/>
        <v>0</v>
      </c>
      <c r="BP399" s="2897">
        <f t="shared" si="289"/>
        <v>0</v>
      </c>
      <c r="BQ399" s="2897">
        <f t="shared" si="290"/>
        <v>0</v>
      </c>
      <c r="BR399" s="2897">
        <f t="shared" si="291"/>
        <v>0</v>
      </c>
      <c r="BS399" s="2897">
        <f t="shared" si="292"/>
        <v>0</v>
      </c>
      <c r="BT399" s="2971">
        <f t="shared" si="293"/>
        <v>0</v>
      </c>
    </row>
    <row r="400" spans="1:72">
      <c r="A400" s="2894"/>
      <c r="B400" s="2904"/>
      <c r="C400" s="2902"/>
      <c r="D400" s="2903"/>
      <c r="E400" s="2897">
        <f t="shared" si="265"/>
        <v>0</v>
      </c>
      <c r="F400" s="2898"/>
      <c r="G400" s="2899">
        <f t="shared" si="266"/>
        <v>0</v>
      </c>
      <c r="H400" s="2900">
        <f t="shared" si="267"/>
        <v>0</v>
      </c>
      <c r="I400" s="2906"/>
      <c r="J400" s="2918"/>
      <c r="K400" s="2906"/>
      <c r="L400" s="2918"/>
      <c r="M400" s="2918"/>
      <c r="N400" s="2918"/>
      <c r="O400" s="2918"/>
      <c r="P400" s="2918"/>
      <c r="Q400" s="2918"/>
      <c r="R400" s="2918"/>
      <c r="S400" s="2918"/>
      <c r="T400" s="2918"/>
      <c r="U400" s="2918"/>
      <c r="V400" s="2918"/>
      <c r="W400" s="2918"/>
      <c r="X400" s="2918"/>
      <c r="Y400" s="2918"/>
      <c r="Z400" s="2918"/>
      <c r="AA400" s="2918"/>
      <c r="AB400" s="2918"/>
      <c r="AC400" s="2897">
        <f t="shared" si="268"/>
        <v>0</v>
      </c>
      <c r="AD400" s="2929"/>
      <c r="AE400" s="2929"/>
      <c r="AF400" s="2906"/>
      <c r="AG400" s="2929"/>
      <c r="AH400" s="2929"/>
      <c r="AI400" s="2929"/>
      <c r="AJ400" s="2929"/>
      <c r="AK400" s="2929"/>
      <c r="AL400" s="2929"/>
      <c r="AM400" s="2929"/>
      <c r="AN400" s="2929"/>
      <c r="AO400" s="2929"/>
      <c r="AP400" s="2929"/>
      <c r="AQ400" s="2929"/>
      <c r="AR400" s="2929"/>
      <c r="AS400" s="2929"/>
      <c r="AT400" s="2949"/>
      <c r="AU400" s="2950"/>
      <c r="AV400" s="454">
        <f t="shared" si="269"/>
        <v>0</v>
      </c>
      <c r="AW400" s="454">
        <f t="shared" si="270"/>
        <v>0</v>
      </c>
      <c r="AX400" s="454">
        <f t="shared" si="271"/>
        <v>0</v>
      </c>
      <c r="AY400" s="2966">
        <f t="shared" si="272"/>
        <v>0</v>
      </c>
      <c r="AZ400" s="2897">
        <f t="shared" si="273"/>
        <v>0</v>
      </c>
      <c r="BA400" s="2897">
        <f t="shared" si="274"/>
        <v>0</v>
      </c>
      <c r="BB400" s="2897">
        <f t="shared" si="275"/>
        <v>0</v>
      </c>
      <c r="BC400" s="2897">
        <f t="shared" si="276"/>
        <v>0</v>
      </c>
      <c r="BD400" s="2897">
        <f t="shared" si="277"/>
        <v>0</v>
      </c>
      <c r="BE400" s="2897">
        <f t="shared" si="278"/>
        <v>0</v>
      </c>
      <c r="BF400" s="2897">
        <f t="shared" si="279"/>
        <v>0</v>
      </c>
      <c r="BG400" s="2897">
        <f t="shared" si="280"/>
        <v>0</v>
      </c>
      <c r="BH400" s="2897">
        <f t="shared" si="281"/>
        <v>0</v>
      </c>
      <c r="BI400" s="2897">
        <f t="shared" si="282"/>
        <v>0</v>
      </c>
      <c r="BJ400" s="2897">
        <f t="shared" si="283"/>
        <v>0</v>
      </c>
      <c r="BK400" s="2897">
        <f t="shared" si="284"/>
        <v>0</v>
      </c>
      <c r="BL400" s="2897">
        <f t="shared" si="285"/>
        <v>0</v>
      </c>
      <c r="BM400" s="2897">
        <f t="shared" si="286"/>
        <v>0</v>
      </c>
      <c r="BN400" s="2897">
        <f t="shared" si="287"/>
        <v>0</v>
      </c>
      <c r="BO400" s="2897">
        <f t="shared" si="288"/>
        <v>0</v>
      </c>
      <c r="BP400" s="2897">
        <f t="shared" si="289"/>
        <v>0</v>
      </c>
      <c r="BQ400" s="2897">
        <f t="shared" si="290"/>
        <v>0</v>
      </c>
      <c r="BR400" s="2897">
        <f t="shared" si="291"/>
        <v>0</v>
      </c>
      <c r="BS400" s="2897">
        <f t="shared" si="292"/>
        <v>0</v>
      </c>
      <c r="BT400" s="2971">
        <f t="shared" si="293"/>
        <v>0</v>
      </c>
    </row>
    <row r="401" spans="1:72">
      <c r="A401" s="2894"/>
      <c r="B401" s="2904"/>
      <c r="C401" s="2902"/>
      <c r="D401" s="2903"/>
      <c r="E401" s="2897">
        <f t="shared" si="265"/>
        <v>0</v>
      </c>
      <c r="F401" s="2898"/>
      <c r="G401" s="2899">
        <f t="shared" si="266"/>
        <v>0</v>
      </c>
      <c r="H401" s="2900">
        <f t="shared" si="267"/>
        <v>0</v>
      </c>
      <c r="I401" s="2906"/>
      <c r="J401" s="2918"/>
      <c r="K401" s="2906"/>
      <c r="L401" s="2918"/>
      <c r="M401" s="2918"/>
      <c r="N401" s="2918"/>
      <c r="O401" s="2918"/>
      <c r="P401" s="2918"/>
      <c r="Q401" s="2918"/>
      <c r="R401" s="2918"/>
      <c r="S401" s="2918"/>
      <c r="T401" s="2918"/>
      <c r="U401" s="2918"/>
      <c r="V401" s="2918"/>
      <c r="W401" s="2918"/>
      <c r="X401" s="2918"/>
      <c r="Y401" s="2918"/>
      <c r="Z401" s="2918"/>
      <c r="AA401" s="2918"/>
      <c r="AB401" s="2918"/>
      <c r="AC401" s="2897">
        <f t="shared" si="268"/>
        <v>0</v>
      </c>
      <c r="AD401" s="2929"/>
      <c r="AE401" s="2929"/>
      <c r="AF401" s="2906"/>
      <c r="AG401" s="2929"/>
      <c r="AH401" s="2929"/>
      <c r="AI401" s="2929"/>
      <c r="AJ401" s="2929"/>
      <c r="AK401" s="2929"/>
      <c r="AL401" s="2929"/>
      <c r="AM401" s="2929"/>
      <c r="AN401" s="2929"/>
      <c r="AO401" s="2929"/>
      <c r="AP401" s="2929"/>
      <c r="AQ401" s="2929"/>
      <c r="AR401" s="2929"/>
      <c r="AS401" s="2929"/>
      <c r="AT401" s="2949"/>
      <c r="AU401" s="2950"/>
      <c r="AV401" s="454">
        <f t="shared" si="269"/>
        <v>0</v>
      </c>
      <c r="AW401" s="454">
        <f t="shared" si="270"/>
        <v>0</v>
      </c>
      <c r="AX401" s="454">
        <f t="shared" si="271"/>
        <v>0</v>
      </c>
      <c r="AY401" s="2966">
        <f t="shared" si="272"/>
        <v>0</v>
      </c>
      <c r="AZ401" s="2897">
        <f t="shared" si="273"/>
        <v>0</v>
      </c>
      <c r="BA401" s="2897">
        <f t="shared" si="274"/>
        <v>0</v>
      </c>
      <c r="BB401" s="2897">
        <f t="shared" si="275"/>
        <v>0</v>
      </c>
      <c r="BC401" s="2897">
        <f t="shared" si="276"/>
        <v>0</v>
      </c>
      <c r="BD401" s="2897">
        <f t="shared" si="277"/>
        <v>0</v>
      </c>
      <c r="BE401" s="2897">
        <f t="shared" si="278"/>
        <v>0</v>
      </c>
      <c r="BF401" s="2897">
        <f t="shared" si="279"/>
        <v>0</v>
      </c>
      <c r="BG401" s="2897">
        <f t="shared" si="280"/>
        <v>0</v>
      </c>
      <c r="BH401" s="2897">
        <f t="shared" si="281"/>
        <v>0</v>
      </c>
      <c r="BI401" s="2897">
        <f t="shared" si="282"/>
        <v>0</v>
      </c>
      <c r="BJ401" s="2897">
        <f t="shared" si="283"/>
        <v>0</v>
      </c>
      <c r="BK401" s="2897">
        <f t="shared" si="284"/>
        <v>0</v>
      </c>
      <c r="BL401" s="2897">
        <f t="shared" si="285"/>
        <v>0</v>
      </c>
      <c r="BM401" s="2897">
        <f t="shared" si="286"/>
        <v>0</v>
      </c>
      <c r="BN401" s="2897">
        <f t="shared" si="287"/>
        <v>0</v>
      </c>
      <c r="BO401" s="2897">
        <f t="shared" si="288"/>
        <v>0</v>
      </c>
      <c r="BP401" s="2897">
        <f t="shared" si="289"/>
        <v>0</v>
      </c>
      <c r="BQ401" s="2897">
        <f t="shared" si="290"/>
        <v>0</v>
      </c>
      <c r="BR401" s="2897">
        <f t="shared" si="291"/>
        <v>0</v>
      </c>
      <c r="BS401" s="2897">
        <f t="shared" si="292"/>
        <v>0</v>
      </c>
      <c r="BT401" s="2971">
        <f t="shared" si="293"/>
        <v>0</v>
      </c>
    </row>
    <row r="402" spans="1:72">
      <c r="A402" s="2894"/>
      <c r="B402" s="2904"/>
      <c r="C402" s="2902"/>
      <c r="D402" s="2903"/>
      <c r="E402" s="2897">
        <f t="shared" si="265"/>
        <v>0</v>
      </c>
      <c r="F402" s="2898"/>
      <c r="G402" s="2899">
        <f t="shared" si="266"/>
        <v>0</v>
      </c>
      <c r="H402" s="2900">
        <f t="shared" si="267"/>
        <v>0</v>
      </c>
      <c r="I402" s="2906"/>
      <c r="J402" s="2918"/>
      <c r="K402" s="2906"/>
      <c r="L402" s="2918"/>
      <c r="M402" s="2918"/>
      <c r="N402" s="2918"/>
      <c r="O402" s="2918"/>
      <c r="P402" s="2918"/>
      <c r="Q402" s="2918"/>
      <c r="R402" s="2918"/>
      <c r="S402" s="2918"/>
      <c r="T402" s="2918"/>
      <c r="U402" s="2918"/>
      <c r="V402" s="2918"/>
      <c r="W402" s="2918"/>
      <c r="X402" s="2918"/>
      <c r="Y402" s="2918"/>
      <c r="Z402" s="2918"/>
      <c r="AA402" s="2918"/>
      <c r="AB402" s="2918"/>
      <c r="AC402" s="2897">
        <f t="shared" si="268"/>
        <v>0</v>
      </c>
      <c r="AD402" s="2929"/>
      <c r="AE402" s="2929"/>
      <c r="AF402" s="2906"/>
      <c r="AG402" s="2929"/>
      <c r="AH402" s="2929"/>
      <c r="AI402" s="2929"/>
      <c r="AJ402" s="2929"/>
      <c r="AK402" s="2929"/>
      <c r="AL402" s="2929"/>
      <c r="AM402" s="2929"/>
      <c r="AN402" s="2929"/>
      <c r="AO402" s="2929"/>
      <c r="AP402" s="2929"/>
      <c r="AQ402" s="2929"/>
      <c r="AR402" s="2929"/>
      <c r="AS402" s="2929"/>
      <c r="AT402" s="2949"/>
      <c r="AU402" s="2950"/>
      <c r="AV402" s="454">
        <f t="shared" si="269"/>
        <v>0</v>
      </c>
      <c r="AW402" s="454">
        <f t="shared" si="270"/>
        <v>0</v>
      </c>
      <c r="AX402" s="454">
        <f t="shared" si="271"/>
        <v>0</v>
      </c>
      <c r="AY402" s="2966">
        <f t="shared" si="272"/>
        <v>0</v>
      </c>
      <c r="AZ402" s="2897">
        <f t="shared" si="273"/>
        <v>0</v>
      </c>
      <c r="BA402" s="2897">
        <f t="shared" si="274"/>
        <v>0</v>
      </c>
      <c r="BB402" s="2897">
        <f t="shared" si="275"/>
        <v>0</v>
      </c>
      <c r="BC402" s="2897">
        <f t="shared" si="276"/>
        <v>0</v>
      </c>
      <c r="BD402" s="2897">
        <f t="shared" si="277"/>
        <v>0</v>
      </c>
      <c r="BE402" s="2897">
        <f t="shared" si="278"/>
        <v>0</v>
      </c>
      <c r="BF402" s="2897">
        <f t="shared" si="279"/>
        <v>0</v>
      </c>
      <c r="BG402" s="2897">
        <f t="shared" si="280"/>
        <v>0</v>
      </c>
      <c r="BH402" s="2897">
        <f t="shared" si="281"/>
        <v>0</v>
      </c>
      <c r="BI402" s="2897">
        <f t="shared" si="282"/>
        <v>0</v>
      </c>
      <c r="BJ402" s="2897">
        <f t="shared" si="283"/>
        <v>0</v>
      </c>
      <c r="BK402" s="2897">
        <f t="shared" si="284"/>
        <v>0</v>
      </c>
      <c r="BL402" s="2897">
        <f t="shared" si="285"/>
        <v>0</v>
      </c>
      <c r="BM402" s="2897">
        <f t="shared" si="286"/>
        <v>0</v>
      </c>
      <c r="BN402" s="2897">
        <f t="shared" si="287"/>
        <v>0</v>
      </c>
      <c r="BO402" s="2897">
        <f t="shared" si="288"/>
        <v>0</v>
      </c>
      <c r="BP402" s="2897">
        <f t="shared" si="289"/>
        <v>0</v>
      </c>
      <c r="BQ402" s="2897">
        <f t="shared" si="290"/>
        <v>0</v>
      </c>
      <c r="BR402" s="2897">
        <f t="shared" si="291"/>
        <v>0</v>
      </c>
      <c r="BS402" s="2897">
        <f t="shared" si="292"/>
        <v>0</v>
      </c>
      <c r="BT402" s="2971">
        <f t="shared" si="293"/>
        <v>0</v>
      </c>
    </row>
    <row r="403" spans="1:72">
      <c r="A403" s="2894"/>
      <c r="B403" s="2904"/>
      <c r="C403" s="2902"/>
      <c r="D403" s="2903"/>
      <c r="E403" s="2897">
        <f t="shared" si="265"/>
        <v>0</v>
      </c>
      <c r="F403" s="2898"/>
      <c r="G403" s="2899">
        <f t="shared" si="266"/>
        <v>0</v>
      </c>
      <c r="H403" s="2900">
        <f t="shared" si="267"/>
        <v>0</v>
      </c>
      <c r="I403" s="2906"/>
      <c r="J403" s="2918"/>
      <c r="K403" s="2906"/>
      <c r="L403" s="2918"/>
      <c r="M403" s="2918"/>
      <c r="N403" s="2918"/>
      <c r="O403" s="2918"/>
      <c r="P403" s="2918"/>
      <c r="Q403" s="2918"/>
      <c r="R403" s="2918"/>
      <c r="S403" s="2918"/>
      <c r="T403" s="2918"/>
      <c r="U403" s="2918"/>
      <c r="V403" s="2918"/>
      <c r="W403" s="2918"/>
      <c r="X403" s="2918"/>
      <c r="Y403" s="2918"/>
      <c r="Z403" s="2918"/>
      <c r="AA403" s="2918"/>
      <c r="AB403" s="2918"/>
      <c r="AC403" s="2897">
        <f t="shared" si="268"/>
        <v>0</v>
      </c>
      <c r="AD403" s="2929"/>
      <c r="AE403" s="2929"/>
      <c r="AF403" s="2906"/>
      <c r="AG403" s="2929"/>
      <c r="AH403" s="2929"/>
      <c r="AI403" s="2929"/>
      <c r="AJ403" s="2929"/>
      <c r="AK403" s="2929"/>
      <c r="AL403" s="2929"/>
      <c r="AM403" s="2929"/>
      <c r="AN403" s="2929"/>
      <c r="AO403" s="2929"/>
      <c r="AP403" s="2929"/>
      <c r="AQ403" s="2929"/>
      <c r="AR403" s="2929"/>
      <c r="AS403" s="2929"/>
      <c r="AT403" s="2949"/>
      <c r="AU403" s="2950"/>
      <c r="AV403" s="454">
        <f t="shared" si="269"/>
        <v>0</v>
      </c>
      <c r="AW403" s="454">
        <f t="shared" si="270"/>
        <v>0</v>
      </c>
      <c r="AX403" s="454">
        <f t="shared" si="271"/>
        <v>0</v>
      </c>
      <c r="AY403" s="2966">
        <f t="shared" si="272"/>
        <v>0</v>
      </c>
      <c r="AZ403" s="2897">
        <f t="shared" si="273"/>
        <v>0</v>
      </c>
      <c r="BA403" s="2897">
        <f t="shared" si="274"/>
        <v>0</v>
      </c>
      <c r="BB403" s="2897">
        <f t="shared" si="275"/>
        <v>0</v>
      </c>
      <c r="BC403" s="2897">
        <f t="shared" si="276"/>
        <v>0</v>
      </c>
      <c r="BD403" s="2897">
        <f t="shared" si="277"/>
        <v>0</v>
      </c>
      <c r="BE403" s="2897">
        <f t="shared" si="278"/>
        <v>0</v>
      </c>
      <c r="BF403" s="2897">
        <f t="shared" si="279"/>
        <v>0</v>
      </c>
      <c r="BG403" s="2897">
        <f t="shared" si="280"/>
        <v>0</v>
      </c>
      <c r="BH403" s="2897">
        <f t="shared" si="281"/>
        <v>0</v>
      </c>
      <c r="BI403" s="2897">
        <f t="shared" si="282"/>
        <v>0</v>
      </c>
      <c r="BJ403" s="2897">
        <f t="shared" si="283"/>
        <v>0</v>
      </c>
      <c r="BK403" s="2897">
        <f t="shared" si="284"/>
        <v>0</v>
      </c>
      <c r="BL403" s="2897">
        <f t="shared" si="285"/>
        <v>0</v>
      </c>
      <c r="BM403" s="2897">
        <f t="shared" si="286"/>
        <v>0</v>
      </c>
      <c r="BN403" s="2897">
        <f t="shared" si="287"/>
        <v>0</v>
      </c>
      <c r="BO403" s="2897">
        <f t="shared" si="288"/>
        <v>0</v>
      </c>
      <c r="BP403" s="2897">
        <f t="shared" si="289"/>
        <v>0</v>
      </c>
      <c r="BQ403" s="2897">
        <f t="shared" si="290"/>
        <v>0</v>
      </c>
      <c r="BR403" s="2897">
        <f t="shared" si="291"/>
        <v>0</v>
      </c>
      <c r="BS403" s="2897">
        <f t="shared" si="292"/>
        <v>0</v>
      </c>
      <c r="BT403" s="2971">
        <f t="shared" si="293"/>
        <v>0</v>
      </c>
    </row>
    <row r="404" spans="1:72">
      <c r="A404" s="2894"/>
      <c r="B404" s="2904"/>
      <c r="C404" s="2902"/>
      <c r="D404" s="2903"/>
      <c r="E404" s="2897">
        <f t="shared" si="265"/>
        <v>0</v>
      </c>
      <c r="F404" s="2898"/>
      <c r="G404" s="2899">
        <f t="shared" si="266"/>
        <v>0</v>
      </c>
      <c r="H404" s="2900">
        <f t="shared" si="267"/>
        <v>0</v>
      </c>
      <c r="I404" s="2906"/>
      <c r="J404" s="2918"/>
      <c r="K404" s="2906"/>
      <c r="L404" s="2918"/>
      <c r="M404" s="2918"/>
      <c r="N404" s="2918"/>
      <c r="O404" s="2918"/>
      <c r="P404" s="2918"/>
      <c r="Q404" s="2918"/>
      <c r="R404" s="2918"/>
      <c r="S404" s="2918"/>
      <c r="T404" s="2918"/>
      <c r="U404" s="2918"/>
      <c r="V404" s="2918"/>
      <c r="W404" s="2918"/>
      <c r="X404" s="2918"/>
      <c r="Y404" s="2918"/>
      <c r="Z404" s="2918"/>
      <c r="AA404" s="2918"/>
      <c r="AB404" s="2918"/>
      <c r="AC404" s="2897">
        <f t="shared" si="268"/>
        <v>0</v>
      </c>
      <c r="AD404" s="2929"/>
      <c r="AE404" s="2929"/>
      <c r="AF404" s="2906"/>
      <c r="AG404" s="2929"/>
      <c r="AH404" s="2929"/>
      <c r="AI404" s="2929"/>
      <c r="AJ404" s="2929"/>
      <c r="AK404" s="2929"/>
      <c r="AL404" s="2929"/>
      <c r="AM404" s="2929"/>
      <c r="AN404" s="2929"/>
      <c r="AO404" s="2929"/>
      <c r="AP404" s="2929"/>
      <c r="AQ404" s="2929"/>
      <c r="AR404" s="2929"/>
      <c r="AS404" s="2929"/>
      <c r="AT404" s="2949"/>
      <c r="AU404" s="2950"/>
      <c r="AV404" s="454">
        <f t="shared" si="269"/>
        <v>0</v>
      </c>
      <c r="AW404" s="454">
        <f t="shared" si="270"/>
        <v>0</v>
      </c>
      <c r="AX404" s="454">
        <f t="shared" si="271"/>
        <v>0</v>
      </c>
      <c r="AY404" s="2966">
        <f t="shared" si="272"/>
        <v>0</v>
      </c>
      <c r="AZ404" s="2897">
        <f t="shared" si="273"/>
        <v>0</v>
      </c>
      <c r="BA404" s="2897">
        <f t="shared" si="274"/>
        <v>0</v>
      </c>
      <c r="BB404" s="2897">
        <f t="shared" si="275"/>
        <v>0</v>
      </c>
      <c r="BC404" s="2897">
        <f t="shared" si="276"/>
        <v>0</v>
      </c>
      <c r="BD404" s="2897">
        <f t="shared" si="277"/>
        <v>0</v>
      </c>
      <c r="BE404" s="2897">
        <f t="shared" si="278"/>
        <v>0</v>
      </c>
      <c r="BF404" s="2897">
        <f t="shared" si="279"/>
        <v>0</v>
      </c>
      <c r="BG404" s="2897">
        <f t="shared" si="280"/>
        <v>0</v>
      </c>
      <c r="BH404" s="2897">
        <f t="shared" si="281"/>
        <v>0</v>
      </c>
      <c r="BI404" s="2897">
        <f t="shared" si="282"/>
        <v>0</v>
      </c>
      <c r="BJ404" s="2897">
        <f t="shared" si="283"/>
        <v>0</v>
      </c>
      <c r="BK404" s="2897">
        <f t="shared" si="284"/>
        <v>0</v>
      </c>
      <c r="BL404" s="2897">
        <f t="shared" si="285"/>
        <v>0</v>
      </c>
      <c r="BM404" s="2897">
        <f t="shared" si="286"/>
        <v>0</v>
      </c>
      <c r="BN404" s="2897">
        <f t="shared" si="287"/>
        <v>0</v>
      </c>
      <c r="BO404" s="2897">
        <f t="shared" si="288"/>
        <v>0</v>
      </c>
      <c r="BP404" s="2897">
        <f t="shared" si="289"/>
        <v>0</v>
      </c>
      <c r="BQ404" s="2897">
        <f t="shared" si="290"/>
        <v>0</v>
      </c>
      <c r="BR404" s="2897">
        <f t="shared" si="291"/>
        <v>0</v>
      </c>
      <c r="BS404" s="2897">
        <f t="shared" si="292"/>
        <v>0</v>
      </c>
      <c r="BT404" s="2971">
        <f t="shared" si="293"/>
        <v>0</v>
      </c>
    </row>
    <row r="405" spans="1:72">
      <c r="A405" s="2894"/>
      <c r="B405" s="2904"/>
      <c r="C405" s="2902"/>
      <c r="D405" s="2903"/>
      <c r="E405" s="2897">
        <f t="shared" si="265"/>
        <v>0</v>
      </c>
      <c r="F405" s="2898"/>
      <c r="G405" s="2899">
        <f t="shared" si="266"/>
        <v>0</v>
      </c>
      <c r="H405" s="2900">
        <f t="shared" si="267"/>
        <v>0</v>
      </c>
      <c r="I405" s="2906"/>
      <c r="J405" s="2918"/>
      <c r="K405" s="2906"/>
      <c r="L405" s="2918"/>
      <c r="M405" s="2918"/>
      <c r="N405" s="2918"/>
      <c r="O405" s="2918"/>
      <c r="P405" s="2918"/>
      <c r="Q405" s="2918"/>
      <c r="R405" s="2918"/>
      <c r="S405" s="2918"/>
      <c r="T405" s="2918"/>
      <c r="U405" s="2918"/>
      <c r="V405" s="2918"/>
      <c r="W405" s="2918"/>
      <c r="X405" s="2918"/>
      <c r="Y405" s="2918"/>
      <c r="Z405" s="2918"/>
      <c r="AA405" s="2918"/>
      <c r="AB405" s="2918"/>
      <c r="AC405" s="2897">
        <f t="shared" si="268"/>
        <v>0</v>
      </c>
      <c r="AD405" s="2929"/>
      <c r="AE405" s="2929"/>
      <c r="AF405" s="2906"/>
      <c r="AG405" s="2929"/>
      <c r="AH405" s="2929"/>
      <c r="AI405" s="2929"/>
      <c r="AJ405" s="2929"/>
      <c r="AK405" s="2929"/>
      <c r="AL405" s="2929"/>
      <c r="AM405" s="2929"/>
      <c r="AN405" s="2929"/>
      <c r="AO405" s="2929"/>
      <c r="AP405" s="2929"/>
      <c r="AQ405" s="2929"/>
      <c r="AR405" s="2929"/>
      <c r="AS405" s="2929"/>
      <c r="AT405" s="2949"/>
      <c r="AU405" s="2950"/>
      <c r="AV405" s="454">
        <f t="shared" si="269"/>
        <v>0</v>
      </c>
      <c r="AW405" s="454">
        <f t="shared" si="270"/>
        <v>0</v>
      </c>
      <c r="AX405" s="454">
        <f t="shared" si="271"/>
        <v>0</v>
      </c>
      <c r="AY405" s="2966">
        <f t="shared" si="272"/>
        <v>0</v>
      </c>
      <c r="AZ405" s="2897">
        <f t="shared" si="273"/>
        <v>0</v>
      </c>
      <c r="BA405" s="2897">
        <f t="shared" si="274"/>
        <v>0</v>
      </c>
      <c r="BB405" s="2897">
        <f t="shared" si="275"/>
        <v>0</v>
      </c>
      <c r="BC405" s="2897">
        <f t="shared" si="276"/>
        <v>0</v>
      </c>
      <c r="BD405" s="2897">
        <f t="shared" si="277"/>
        <v>0</v>
      </c>
      <c r="BE405" s="2897">
        <f t="shared" si="278"/>
        <v>0</v>
      </c>
      <c r="BF405" s="2897">
        <f t="shared" si="279"/>
        <v>0</v>
      </c>
      <c r="BG405" s="2897">
        <f t="shared" si="280"/>
        <v>0</v>
      </c>
      <c r="BH405" s="2897">
        <f t="shared" si="281"/>
        <v>0</v>
      </c>
      <c r="BI405" s="2897">
        <f t="shared" si="282"/>
        <v>0</v>
      </c>
      <c r="BJ405" s="2897">
        <f t="shared" si="283"/>
        <v>0</v>
      </c>
      <c r="BK405" s="2897">
        <f t="shared" si="284"/>
        <v>0</v>
      </c>
      <c r="BL405" s="2897">
        <f t="shared" si="285"/>
        <v>0</v>
      </c>
      <c r="BM405" s="2897">
        <f t="shared" si="286"/>
        <v>0</v>
      </c>
      <c r="BN405" s="2897">
        <f t="shared" si="287"/>
        <v>0</v>
      </c>
      <c r="BO405" s="2897">
        <f t="shared" si="288"/>
        <v>0</v>
      </c>
      <c r="BP405" s="2897">
        <f t="shared" si="289"/>
        <v>0</v>
      </c>
      <c r="BQ405" s="2897">
        <f t="shared" si="290"/>
        <v>0</v>
      </c>
      <c r="BR405" s="2897">
        <f t="shared" si="291"/>
        <v>0</v>
      </c>
      <c r="BS405" s="2897">
        <f t="shared" si="292"/>
        <v>0</v>
      </c>
      <c r="BT405" s="2971">
        <f t="shared" si="293"/>
        <v>0</v>
      </c>
    </row>
    <row r="406" spans="1:72">
      <c r="A406" s="2894"/>
      <c r="B406" s="2904"/>
      <c r="C406" s="2902"/>
      <c r="D406" s="2903"/>
      <c r="E406" s="2897">
        <f t="shared" si="265"/>
        <v>0</v>
      </c>
      <c r="F406" s="2898"/>
      <c r="G406" s="2899">
        <f t="shared" si="266"/>
        <v>0</v>
      </c>
      <c r="H406" s="2900">
        <f t="shared" si="267"/>
        <v>0</v>
      </c>
      <c r="I406" s="2906"/>
      <c r="J406" s="2918"/>
      <c r="K406" s="2906"/>
      <c r="L406" s="2918"/>
      <c r="M406" s="2918"/>
      <c r="N406" s="2918"/>
      <c r="O406" s="2918"/>
      <c r="P406" s="2918"/>
      <c r="Q406" s="2918"/>
      <c r="R406" s="2918"/>
      <c r="S406" s="2918"/>
      <c r="T406" s="2918"/>
      <c r="U406" s="2918"/>
      <c r="V406" s="2918"/>
      <c r="W406" s="2918"/>
      <c r="X406" s="2918"/>
      <c r="Y406" s="2918"/>
      <c r="Z406" s="2918"/>
      <c r="AA406" s="2918"/>
      <c r="AB406" s="2918"/>
      <c r="AC406" s="2897">
        <f t="shared" si="268"/>
        <v>0</v>
      </c>
      <c r="AD406" s="2929"/>
      <c r="AE406" s="2929"/>
      <c r="AF406" s="2906"/>
      <c r="AG406" s="2929"/>
      <c r="AH406" s="2929"/>
      <c r="AI406" s="2929"/>
      <c r="AJ406" s="2929"/>
      <c r="AK406" s="2929"/>
      <c r="AL406" s="2929"/>
      <c r="AM406" s="2929"/>
      <c r="AN406" s="2929"/>
      <c r="AO406" s="2929"/>
      <c r="AP406" s="2929"/>
      <c r="AQ406" s="2929"/>
      <c r="AR406" s="2929"/>
      <c r="AS406" s="2929"/>
      <c r="AT406" s="2949"/>
      <c r="AU406" s="2950"/>
      <c r="AV406" s="454">
        <f t="shared" si="269"/>
        <v>0</v>
      </c>
      <c r="AW406" s="454">
        <f t="shared" si="270"/>
        <v>0</v>
      </c>
      <c r="AX406" s="454">
        <f t="shared" si="271"/>
        <v>0</v>
      </c>
      <c r="AY406" s="2966">
        <f t="shared" si="272"/>
        <v>0</v>
      </c>
      <c r="AZ406" s="2897">
        <f t="shared" si="273"/>
        <v>0</v>
      </c>
      <c r="BA406" s="2897">
        <f t="shared" si="274"/>
        <v>0</v>
      </c>
      <c r="BB406" s="2897">
        <f t="shared" si="275"/>
        <v>0</v>
      </c>
      <c r="BC406" s="2897">
        <f t="shared" si="276"/>
        <v>0</v>
      </c>
      <c r="BD406" s="2897">
        <f t="shared" si="277"/>
        <v>0</v>
      </c>
      <c r="BE406" s="2897">
        <f t="shared" si="278"/>
        <v>0</v>
      </c>
      <c r="BF406" s="2897">
        <f t="shared" si="279"/>
        <v>0</v>
      </c>
      <c r="BG406" s="2897">
        <f t="shared" si="280"/>
        <v>0</v>
      </c>
      <c r="BH406" s="2897">
        <f t="shared" si="281"/>
        <v>0</v>
      </c>
      <c r="BI406" s="2897">
        <f t="shared" si="282"/>
        <v>0</v>
      </c>
      <c r="BJ406" s="2897">
        <f t="shared" si="283"/>
        <v>0</v>
      </c>
      <c r="BK406" s="2897">
        <f t="shared" si="284"/>
        <v>0</v>
      </c>
      <c r="BL406" s="2897">
        <f t="shared" si="285"/>
        <v>0</v>
      </c>
      <c r="BM406" s="2897">
        <f t="shared" si="286"/>
        <v>0</v>
      </c>
      <c r="BN406" s="2897">
        <f t="shared" si="287"/>
        <v>0</v>
      </c>
      <c r="BO406" s="2897">
        <f t="shared" si="288"/>
        <v>0</v>
      </c>
      <c r="BP406" s="2897">
        <f t="shared" si="289"/>
        <v>0</v>
      </c>
      <c r="BQ406" s="2897">
        <f t="shared" si="290"/>
        <v>0</v>
      </c>
      <c r="BR406" s="2897">
        <f t="shared" si="291"/>
        <v>0</v>
      </c>
      <c r="BS406" s="2897">
        <f t="shared" si="292"/>
        <v>0</v>
      </c>
      <c r="BT406" s="2971">
        <f t="shared" si="293"/>
        <v>0</v>
      </c>
    </row>
    <row r="407" spans="1:72">
      <c r="A407" s="2894"/>
      <c r="B407" s="2904"/>
      <c r="C407" s="2902"/>
      <c r="D407" s="2903"/>
      <c r="E407" s="2897">
        <f t="shared" si="265"/>
        <v>0</v>
      </c>
      <c r="F407" s="2898"/>
      <c r="G407" s="2899">
        <f t="shared" si="266"/>
        <v>0</v>
      </c>
      <c r="H407" s="2900">
        <f t="shared" si="267"/>
        <v>0</v>
      </c>
      <c r="I407" s="2906"/>
      <c r="J407" s="2918"/>
      <c r="K407" s="2906"/>
      <c r="L407" s="2918"/>
      <c r="M407" s="2918"/>
      <c r="N407" s="2918"/>
      <c r="O407" s="2918"/>
      <c r="P407" s="2918"/>
      <c r="Q407" s="2918"/>
      <c r="R407" s="2918"/>
      <c r="S407" s="2918"/>
      <c r="T407" s="2918"/>
      <c r="U407" s="2918"/>
      <c r="V407" s="2918"/>
      <c r="W407" s="2918"/>
      <c r="X407" s="2918"/>
      <c r="Y407" s="2918"/>
      <c r="Z407" s="2918"/>
      <c r="AA407" s="2918"/>
      <c r="AB407" s="2918"/>
      <c r="AC407" s="2897">
        <f t="shared" si="268"/>
        <v>0</v>
      </c>
      <c r="AD407" s="2929"/>
      <c r="AE407" s="2929"/>
      <c r="AF407" s="2906"/>
      <c r="AG407" s="2929"/>
      <c r="AH407" s="2929"/>
      <c r="AI407" s="2929"/>
      <c r="AJ407" s="2929"/>
      <c r="AK407" s="2929"/>
      <c r="AL407" s="2929"/>
      <c r="AM407" s="2929"/>
      <c r="AN407" s="2929"/>
      <c r="AO407" s="2929"/>
      <c r="AP407" s="2929"/>
      <c r="AQ407" s="2929"/>
      <c r="AR407" s="2929"/>
      <c r="AS407" s="2929"/>
      <c r="AT407" s="2949"/>
      <c r="AU407" s="2950"/>
      <c r="AV407" s="454">
        <f t="shared" si="269"/>
        <v>0</v>
      </c>
      <c r="AW407" s="454">
        <f t="shared" si="270"/>
        <v>0</v>
      </c>
      <c r="AX407" s="454">
        <f t="shared" si="271"/>
        <v>0</v>
      </c>
      <c r="AY407" s="2966">
        <f t="shared" si="272"/>
        <v>0</v>
      </c>
      <c r="AZ407" s="2897">
        <f t="shared" si="273"/>
        <v>0</v>
      </c>
      <c r="BA407" s="2897">
        <f t="shared" si="274"/>
        <v>0</v>
      </c>
      <c r="BB407" s="2897">
        <f t="shared" si="275"/>
        <v>0</v>
      </c>
      <c r="BC407" s="2897">
        <f t="shared" si="276"/>
        <v>0</v>
      </c>
      <c r="BD407" s="2897">
        <f t="shared" si="277"/>
        <v>0</v>
      </c>
      <c r="BE407" s="2897">
        <f t="shared" si="278"/>
        <v>0</v>
      </c>
      <c r="BF407" s="2897">
        <f t="shared" si="279"/>
        <v>0</v>
      </c>
      <c r="BG407" s="2897">
        <f t="shared" si="280"/>
        <v>0</v>
      </c>
      <c r="BH407" s="2897">
        <f t="shared" si="281"/>
        <v>0</v>
      </c>
      <c r="BI407" s="2897">
        <f t="shared" si="282"/>
        <v>0</v>
      </c>
      <c r="BJ407" s="2897">
        <f t="shared" si="283"/>
        <v>0</v>
      </c>
      <c r="BK407" s="2897">
        <f t="shared" si="284"/>
        <v>0</v>
      </c>
      <c r="BL407" s="2897">
        <f t="shared" si="285"/>
        <v>0</v>
      </c>
      <c r="BM407" s="2897">
        <f t="shared" si="286"/>
        <v>0</v>
      </c>
      <c r="BN407" s="2897">
        <f t="shared" si="287"/>
        <v>0</v>
      </c>
      <c r="BO407" s="2897">
        <f t="shared" si="288"/>
        <v>0</v>
      </c>
      <c r="BP407" s="2897">
        <f t="shared" si="289"/>
        <v>0</v>
      </c>
      <c r="BQ407" s="2897">
        <f t="shared" si="290"/>
        <v>0</v>
      </c>
      <c r="BR407" s="2897">
        <f t="shared" si="291"/>
        <v>0</v>
      </c>
      <c r="BS407" s="2897">
        <f t="shared" si="292"/>
        <v>0</v>
      </c>
      <c r="BT407" s="2971">
        <f t="shared" si="293"/>
        <v>0</v>
      </c>
    </row>
    <row r="408" spans="1:72">
      <c r="A408" s="2894"/>
      <c r="B408" s="2904"/>
      <c r="C408" s="2902"/>
      <c r="D408" s="2903"/>
      <c r="E408" s="2897">
        <f t="shared" si="265"/>
        <v>0</v>
      </c>
      <c r="F408" s="2898"/>
      <c r="G408" s="2899">
        <f t="shared" si="266"/>
        <v>0</v>
      </c>
      <c r="H408" s="2900">
        <f t="shared" si="267"/>
        <v>0</v>
      </c>
      <c r="I408" s="2906"/>
      <c r="J408" s="2918"/>
      <c r="K408" s="2906"/>
      <c r="L408" s="2918"/>
      <c r="M408" s="2918"/>
      <c r="N408" s="2918"/>
      <c r="O408" s="2918"/>
      <c r="P408" s="2918"/>
      <c r="Q408" s="2918"/>
      <c r="R408" s="2918"/>
      <c r="S408" s="2918"/>
      <c r="T408" s="2918"/>
      <c r="U408" s="2918"/>
      <c r="V408" s="2918"/>
      <c r="W408" s="2918"/>
      <c r="X408" s="2918"/>
      <c r="Y408" s="2918"/>
      <c r="Z408" s="2918"/>
      <c r="AA408" s="2918"/>
      <c r="AB408" s="2918"/>
      <c r="AC408" s="2897">
        <f t="shared" si="268"/>
        <v>0</v>
      </c>
      <c r="AD408" s="2929"/>
      <c r="AE408" s="2929"/>
      <c r="AF408" s="2906"/>
      <c r="AG408" s="2929"/>
      <c r="AH408" s="2929"/>
      <c r="AI408" s="2929"/>
      <c r="AJ408" s="2929"/>
      <c r="AK408" s="2929"/>
      <c r="AL408" s="2929"/>
      <c r="AM408" s="2929"/>
      <c r="AN408" s="2929"/>
      <c r="AO408" s="2929"/>
      <c r="AP408" s="2929"/>
      <c r="AQ408" s="2929"/>
      <c r="AR408" s="2929"/>
      <c r="AS408" s="2929"/>
      <c r="AT408" s="2949"/>
      <c r="AU408" s="2950"/>
      <c r="AV408" s="454">
        <f t="shared" si="269"/>
        <v>0</v>
      </c>
      <c r="AW408" s="454">
        <f t="shared" si="270"/>
        <v>0</v>
      </c>
      <c r="AX408" s="454">
        <f t="shared" si="271"/>
        <v>0</v>
      </c>
      <c r="AY408" s="2966">
        <f t="shared" si="272"/>
        <v>0</v>
      </c>
      <c r="AZ408" s="2897">
        <f t="shared" si="273"/>
        <v>0</v>
      </c>
      <c r="BA408" s="2897">
        <f t="shared" si="274"/>
        <v>0</v>
      </c>
      <c r="BB408" s="2897">
        <f t="shared" si="275"/>
        <v>0</v>
      </c>
      <c r="BC408" s="2897">
        <f t="shared" si="276"/>
        <v>0</v>
      </c>
      <c r="BD408" s="2897">
        <f t="shared" si="277"/>
        <v>0</v>
      </c>
      <c r="BE408" s="2897">
        <f t="shared" si="278"/>
        <v>0</v>
      </c>
      <c r="BF408" s="2897">
        <f t="shared" si="279"/>
        <v>0</v>
      </c>
      <c r="BG408" s="2897">
        <f t="shared" si="280"/>
        <v>0</v>
      </c>
      <c r="BH408" s="2897">
        <f t="shared" si="281"/>
        <v>0</v>
      </c>
      <c r="BI408" s="2897">
        <f t="shared" si="282"/>
        <v>0</v>
      </c>
      <c r="BJ408" s="2897">
        <f t="shared" si="283"/>
        <v>0</v>
      </c>
      <c r="BK408" s="2897">
        <f t="shared" si="284"/>
        <v>0</v>
      </c>
      <c r="BL408" s="2897">
        <f t="shared" si="285"/>
        <v>0</v>
      </c>
      <c r="BM408" s="2897">
        <f t="shared" si="286"/>
        <v>0</v>
      </c>
      <c r="BN408" s="2897">
        <f t="shared" si="287"/>
        <v>0</v>
      </c>
      <c r="BO408" s="2897">
        <f t="shared" si="288"/>
        <v>0</v>
      </c>
      <c r="BP408" s="2897">
        <f t="shared" si="289"/>
        <v>0</v>
      </c>
      <c r="BQ408" s="2897">
        <f t="shared" si="290"/>
        <v>0</v>
      </c>
      <c r="BR408" s="2897">
        <f t="shared" si="291"/>
        <v>0</v>
      </c>
      <c r="BS408" s="2897">
        <f t="shared" si="292"/>
        <v>0</v>
      </c>
      <c r="BT408" s="2971">
        <f t="shared" si="293"/>
        <v>0</v>
      </c>
    </row>
    <row r="409" spans="1:72">
      <c r="A409" s="2894"/>
      <c r="B409" s="2904"/>
      <c r="C409" s="2902"/>
      <c r="D409" s="2903"/>
      <c r="E409" s="2897">
        <f t="shared" si="265"/>
        <v>0</v>
      </c>
      <c r="F409" s="2898"/>
      <c r="G409" s="2899">
        <f t="shared" si="266"/>
        <v>0</v>
      </c>
      <c r="H409" s="2900">
        <f t="shared" si="267"/>
        <v>0</v>
      </c>
      <c r="I409" s="2906"/>
      <c r="J409" s="2918"/>
      <c r="K409" s="2906"/>
      <c r="L409" s="2918"/>
      <c r="M409" s="2918"/>
      <c r="N409" s="2918"/>
      <c r="O409" s="2918"/>
      <c r="P409" s="2918"/>
      <c r="Q409" s="2918"/>
      <c r="R409" s="2918"/>
      <c r="S409" s="2918"/>
      <c r="T409" s="2918"/>
      <c r="U409" s="2918"/>
      <c r="V409" s="2918"/>
      <c r="W409" s="2918"/>
      <c r="X409" s="2918"/>
      <c r="Y409" s="2918"/>
      <c r="Z409" s="2918"/>
      <c r="AA409" s="2918"/>
      <c r="AB409" s="2918"/>
      <c r="AC409" s="2897">
        <f t="shared" si="268"/>
        <v>0</v>
      </c>
      <c r="AD409" s="2929"/>
      <c r="AE409" s="2929"/>
      <c r="AF409" s="2906"/>
      <c r="AG409" s="2929"/>
      <c r="AH409" s="2929"/>
      <c r="AI409" s="2929"/>
      <c r="AJ409" s="2929"/>
      <c r="AK409" s="2929"/>
      <c r="AL409" s="2929"/>
      <c r="AM409" s="2929"/>
      <c r="AN409" s="2929"/>
      <c r="AO409" s="2929"/>
      <c r="AP409" s="2929"/>
      <c r="AQ409" s="2929"/>
      <c r="AR409" s="2929"/>
      <c r="AS409" s="2929"/>
      <c r="AT409" s="2949"/>
      <c r="AU409" s="2950"/>
      <c r="AV409" s="454">
        <f t="shared" si="269"/>
        <v>0</v>
      </c>
      <c r="AW409" s="454">
        <f t="shared" si="270"/>
        <v>0</v>
      </c>
      <c r="AX409" s="454">
        <f t="shared" si="271"/>
        <v>0</v>
      </c>
      <c r="AY409" s="2966">
        <f t="shared" si="272"/>
        <v>0</v>
      </c>
      <c r="AZ409" s="2897">
        <f t="shared" si="273"/>
        <v>0</v>
      </c>
      <c r="BA409" s="2897">
        <f t="shared" si="274"/>
        <v>0</v>
      </c>
      <c r="BB409" s="2897">
        <f t="shared" si="275"/>
        <v>0</v>
      </c>
      <c r="BC409" s="2897">
        <f t="shared" si="276"/>
        <v>0</v>
      </c>
      <c r="BD409" s="2897">
        <f t="shared" si="277"/>
        <v>0</v>
      </c>
      <c r="BE409" s="2897">
        <f t="shared" si="278"/>
        <v>0</v>
      </c>
      <c r="BF409" s="2897">
        <f t="shared" si="279"/>
        <v>0</v>
      </c>
      <c r="BG409" s="2897">
        <f t="shared" si="280"/>
        <v>0</v>
      </c>
      <c r="BH409" s="2897">
        <f t="shared" si="281"/>
        <v>0</v>
      </c>
      <c r="BI409" s="2897">
        <f t="shared" si="282"/>
        <v>0</v>
      </c>
      <c r="BJ409" s="2897">
        <f t="shared" si="283"/>
        <v>0</v>
      </c>
      <c r="BK409" s="2897">
        <f t="shared" si="284"/>
        <v>0</v>
      </c>
      <c r="BL409" s="2897">
        <f t="shared" si="285"/>
        <v>0</v>
      </c>
      <c r="BM409" s="2897">
        <f t="shared" si="286"/>
        <v>0</v>
      </c>
      <c r="BN409" s="2897">
        <f t="shared" si="287"/>
        <v>0</v>
      </c>
      <c r="BO409" s="2897">
        <f t="shared" si="288"/>
        <v>0</v>
      </c>
      <c r="BP409" s="2897">
        <f t="shared" si="289"/>
        <v>0</v>
      </c>
      <c r="BQ409" s="2897">
        <f t="shared" si="290"/>
        <v>0</v>
      </c>
      <c r="BR409" s="2897">
        <f t="shared" si="291"/>
        <v>0</v>
      </c>
      <c r="BS409" s="2897">
        <f t="shared" si="292"/>
        <v>0</v>
      </c>
      <c r="BT409" s="2971">
        <f t="shared" si="293"/>
        <v>0</v>
      </c>
    </row>
    <row r="410" spans="1:72">
      <c r="A410" s="2894"/>
      <c r="B410" s="2904"/>
      <c r="C410" s="2902"/>
      <c r="D410" s="2903"/>
      <c r="E410" s="2897">
        <f t="shared" si="265"/>
        <v>0</v>
      </c>
      <c r="F410" s="2898"/>
      <c r="G410" s="2899">
        <f t="shared" si="266"/>
        <v>0</v>
      </c>
      <c r="H410" s="2900">
        <f t="shared" si="267"/>
        <v>0</v>
      </c>
      <c r="I410" s="2906"/>
      <c r="J410" s="2918"/>
      <c r="K410" s="2906"/>
      <c r="L410" s="2918"/>
      <c r="M410" s="2918"/>
      <c r="N410" s="2918"/>
      <c r="O410" s="2918"/>
      <c r="P410" s="2918"/>
      <c r="Q410" s="2918"/>
      <c r="R410" s="2918"/>
      <c r="S410" s="2918"/>
      <c r="T410" s="2918"/>
      <c r="U410" s="2918"/>
      <c r="V410" s="2918"/>
      <c r="W410" s="2918"/>
      <c r="X410" s="2918"/>
      <c r="Y410" s="2918"/>
      <c r="Z410" s="2918"/>
      <c r="AA410" s="2918"/>
      <c r="AB410" s="2918"/>
      <c r="AC410" s="2897">
        <f t="shared" si="268"/>
        <v>0</v>
      </c>
      <c r="AD410" s="2929"/>
      <c r="AE410" s="2929"/>
      <c r="AF410" s="2906"/>
      <c r="AG410" s="2929"/>
      <c r="AH410" s="2929"/>
      <c r="AI410" s="2929"/>
      <c r="AJ410" s="2929"/>
      <c r="AK410" s="2929"/>
      <c r="AL410" s="2929"/>
      <c r="AM410" s="2929"/>
      <c r="AN410" s="2929"/>
      <c r="AO410" s="2929"/>
      <c r="AP410" s="2929"/>
      <c r="AQ410" s="2929"/>
      <c r="AR410" s="2929"/>
      <c r="AS410" s="2929"/>
      <c r="AT410" s="2949"/>
      <c r="AU410" s="2950"/>
      <c r="AV410" s="454">
        <f t="shared" si="269"/>
        <v>0</v>
      </c>
      <c r="AW410" s="454">
        <f t="shared" si="270"/>
        <v>0</v>
      </c>
      <c r="AX410" s="454">
        <f t="shared" si="271"/>
        <v>0</v>
      </c>
      <c r="AY410" s="2966">
        <f t="shared" si="272"/>
        <v>0</v>
      </c>
      <c r="AZ410" s="2897">
        <f t="shared" si="273"/>
        <v>0</v>
      </c>
      <c r="BA410" s="2897">
        <f t="shared" si="274"/>
        <v>0</v>
      </c>
      <c r="BB410" s="2897">
        <f t="shared" si="275"/>
        <v>0</v>
      </c>
      <c r="BC410" s="2897">
        <f t="shared" si="276"/>
        <v>0</v>
      </c>
      <c r="BD410" s="2897">
        <f t="shared" si="277"/>
        <v>0</v>
      </c>
      <c r="BE410" s="2897">
        <f t="shared" si="278"/>
        <v>0</v>
      </c>
      <c r="BF410" s="2897">
        <f t="shared" si="279"/>
        <v>0</v>
      </c>
      <c r="BG410" s="2897">
        <f t="shared" si="280"/>
        <v>0</v>
      </c>
      <c r="BH410" s="2897">
        <f t="shared" si="281"/>
        <v>0</v>
      </c>
      <c r="BI410" s="2897">
        <f t="shared" si="282"/>
        <v>0</v>
      </c>
      <c r="BJ410" s="2897">
        <f t="shared" si="283"/>
        <v>0</v>
      </c>
      <c r="BK410" s="2897">
        <f t="shared" si="284"/>
        <v>0</v>
      </c>
      <c r="BL410" s="2897">
        <f t="shared" si="285"/>
        <v>0</v>
      </c>
      <c r="BM410" s="2897">
        <f t="shared" si="286"/>
        <v>0</v>
      </c>
      <c r="BN410" s="2897">
        <f t="shared" si="287"/>
        <v>0</v>
      </c>
      <c r="BO410" s="2897">
        <f t="shared" si="288"/>
        <v>0</v>
      </c>
      <c r="BP410" s="2897">
        <f t="shared" si="289"/>
        <v>0</v>
      </c>
      <c r="BQ410" s="2897">
        <f t="shared" si="290"/>
        <v>0</v>
      </c>
      <c r="BR410" s="2897">
        <f t="shared" si="291"/>
        <v>0</v>
      </c>
      <c r="BS410" s="2897">
        <f t="shared" si="292"/>
        <v>0</v>
      </c>
      <c r="BT410" s="2971">
        <f t="shared" si="293"/>
        <v>0</v>
      </c>
    </row>
    <row r="411" spans="1:72">
      <c r="A411" s="2894"/>
      <c r="B411" s="2904"/>
      <c r="C411" s="2902"/>
      <c r="D411" s="2903"/>
      <c r="E411" s="2897">
        <f t="shared" si="265"/>
        <v>0</v>
      </c>
      <c r="F411" s="2898"/>
      <c r="G411" s="2899">
        <f t="shared" si="266"/>
        <v>0</v>
      </c>
      <c r="H411" s="2900">
        <f t="shared" si="267"/>
        <v>0</v>
      </c>
      <c r="I411" s="2906"/>
      <c r="J411" s="2918"/>
      <c r="K411" s="2906"/>
      <c r="L411" s="2918"/>
      <c r="M411" s="2918"/>
      <c r="N411" s="2918"/>
      <c r="O411" s="2918"/>
      <c r="P411" s="2918"/>
      <c r="Q411" s="2918"/>
      <c r="R411" s="2918"/>
      <c r="S411" s="2918"/>
      <c r="T411" s="2918"/>
      <c r="U411" s="2918"/>
      <c r="V411" s="2918"/>
      <c r="W411" s="2918"/>
      <c r="X411" s="2918"/>
      <c r="Y411" s="2918"/>
      <c r="Z411" s="2918"/>
      <c r="AA411" s="2918"/>
      <c r="AB411" s="2918"/>
      <c r="AC411" s="2897">
        <f t="shared" si="268"/>
        <v>0</v>
      </c>
      <c r="AD411" s="2929"/>
      <c r="AE411" s="2929"/>
      <c r="AF411" s="2906"/>
      <c r="AG411" s="2929"/>
      <c r="AH411" s="2929"/>
      <c r="AI411" s="2929"/>
      <c r="AJ411" s="2929"/>
      <c r="AK411" s="2929"/>
      <c r="AL411" s="2929"/>
      <c r="AM411" s="2929"/>
      <c r="AN411" s="2929"/>
      <c r="AO411" s="2929"/>
      <c r="AP411" s="2929"/>
      <c r="AQ411" s="2929"/>
      <c r="AR411" s="2929"/>
      <c r="AS411" s="2929"/>
      <c r="AT411" s="2949"/>
      <c r="AU411" s="2950"/>
      <c r="AV411" s="454">
        <f t="shared" si="269"/>
        <v>0</v>
      </c>
      <c r="AW411" s="454">
        <f t="shared" si="270"/>
        <v>0</v>
      </c>
      <c r="AX411" s="454">
        <f t="shared" si="271"/>
        <v>0</v>
      </c>
      <c r="AY411" s="2966">
        <f t="shared" si="272"/>
        <v>0</v>
      </c>
      <c r="AZ411" s="2897">
        <f t="shared" si="273"/>
        <v>0</v>
      </c>
      <c r="BA411" s="2897">
        <f t="shared" si="274"/>
        <v>0</v>
      </c>
      <c r="BB411" s="2897">
        <f t="shared" si="275"/>
        <v>0</v>
      </c>
      <c r="BC411" s="2897">
        <f t="shared" si="276"/>
        <v>0</v>
      </c>
      <c r="BD411" s="2897">
        <f t="shared" si="277"/>
        <v>0</v>
      </c>
      <c r="BE411" s="2897">
        <f t="shared" si="278"/>
        <v>0</v>
      </c>
      <c r="BF411" s="2897">
        <f t="shared" si="279"/>
        <v>0</v>
      </c>
      <c r="BG411" s="2897">
        <f t="shared" si="280"/>
        <v>0</v>
      </c>
      <c r="BH411" s="2897">
        <f t="shared" si="281"/>
        <v>0</v>
      </c>
      <c r="BI411" s="2897">
        <f t="shared" si="282"/>
        <v>0</v>
      </c>
      <c r="BJ411" s="2897">
        <f t="shared" si="283"/>
        <v>0</v>
      </c>
      <c r="BK411" s="2897">
        <f t="shared" si="284"/>
        <v>0</v>
      </c>
      <c r="BL411" s="2897">
        <f t="shared" si="285"/>
        <v>0</v>
      </c>
      <c r="BM411" s="2897">
        <f t="shared" si="286"/>
        <v>0</v>
      </c>
      <c r="BN411" s="2897">
        <f t="shared" si="287"/>
        <v>0</v>
      </c>
      <c r="BO411" s="2897">
        <f t="shared" si="288"/>
        <v>0</v>
      </c>
      <c r="BP411" s="2897">
        <f t="shared" si="289"/>
        <v>0</v>
      </c>
      <c r="BQ411" s="2897">
        <f t="shared" si="290"/>
        <v>0</v>
      </c>
      <c r="BR411" s="2897">
        <f t="shared" si="291"/>
        <v>0</v>
      </c>
      <c r="BS411" s="2897">
        <f t="shared" si="292"/>
        <v>0</v>
      </c>
      <c r="BT411" s="2971">
        <f t="shared" si="293"/>
        <v>0</v>
      </c>
    </row>
    <row r="412" spans="1:72">
      <c r="A412" s="2894"/>
      <c r="B412" s="2904"/>
      <c r="C412" s="2902"/>
      <c r="D412" s="2903"/>
      <c r="E412" s="2897">
        <f t="shared" si="265"/>
        <v>0</v>
      </c>
      <c r="F412" s="2898"/>
      <c r="G412" s="2899">
        <f t="shared" si="266"/>
        <v>0</v>
      </c>
      <c r="H412" s="2900">
        <f t="shared" si="267"/>
        <v>0</v>
      </c>
      <c r="I412" s="2906"/>
      <c r="J412" s="2918"/>
      <c r="K412" s="2906"/>
      <c r="L412" s="2918"/>
      <c r="M412" s="2918"/>
      <c r="N412" s="2918"/>
      <c r="O412" s="2918"/>
      <c r="P412" s="2918"/>
      <c r="Q412" s="2918"/>
      <c r="R412" s="2918"/>
      <c r="S412" s="2918"/>
      <c r="T412" s="2918"/>
      <c r="U412" s="2918"/>
      <c r="V412" s="2918"/>
      <c r="W412" s="2918"/>
      <c r="X412" s="2918"/>
      <c r="Y412" s="2918"/>
      <c r="Z412" s="2918"/>
      <c r="AA412" s="2918"/>
      <c r="AB412" s="2918"/>
      <c r="AC412" s="2897">
        <f t="shared" si="268"/>
        <v>0</v>
      </c>
      <c r="AD412" s="2929"/>
      <c r="AE412" s="2929"/>
      <c r="AF412" s="2906"/>
      <c r="AG412" s="2929"/>
      <c r="AH412" s="2929"/>
      <c r="AI412" s="2929"/>
      <c r="AJ412" s="2929"/>
      <c r="AK412" s="2929"/>
      <c r="AL412" s="2929"/>
      <c r="AM412" s="2929"/>
      <c r="AN412" s="2929"/>
      <c r="AO412" s="2929"/>
      <c r="AP412" s="2929"/>
      <c r="AQ412" s="2929"/>
      <c r="AR412" s="2929"/>
      <c r="AS412" s="2929"/>
      <c r="AT412" s="2949"/>
      <c r="AU412" s="2950"/>
      <c r="AV412" s="454">
        <f t="shared" si="269"/>
        <v>0</v>
      </c>
      <c r="AW412" s="454">
        <f t="shared" si="270"/>
        <v>0</v>
      </c>
      <c r="AX412" s="454">
        <f t="shared" si="271"/>
        <v>0</v>
      </c>
      <c r="AY412" s="2966">
        <f t="shared" si="272"/>
        <v>0</v>
      </c>
      <c r="AZ412" s="2897">
        <f t="shared" si="273"/>
        <v>0</v>
      </c>
      <c r="BA412" s="2897">
        <f t="shared" si="274"/>
        <v>0</v>
      </c>
      <c r="BB412" s="2897">
        <f t="shared" si="275"/>
        <v>0</v>
      </c>
      <c r="BC412" s="2897">
        <f t="shared" si="276"/>
        <v>0</v>
      </c>
      <c r="BD412" s="2897">
        <f t="shared" si="277"/>
        <v>0</v>
      </c>
      <c r="BE412" s="2897">
        <f t="shared" si="278"/>
        <v>0</v>
      </c>
      <c r="BF412" s="2897">
        <f t="shared" si="279"/>
        <v>0</v>
      </c>
      <c r="BG412" s="2897">
        <f t="shared" si="280"/>
        <v>0</v>
      </c>
      <c r="BH412" s="2897">
        <f t="shared" si="281"/>
        <v>0</v>
      </c>
      <c r="BI412" s="2897">
        <f t="shared" si="282"/>
        <v>0</v>
      </c>
      <c r="BJ412" s="2897">
        <f t="shared" si="283"/>
        <v>0</v>
      </c>
      <c r="BK412" s="2897">
        <f t="shared" si="284"/>
        <v>0</v>
      </c>
      <c r="BL412" s="2897">
        <f t="shared" si="285"/>
        <v>0</v>
      </c>
      <c r="BM412" s="2897">
        <f t="shared" si="286"/>
        <v>0</v>
      </c>
      <c r="BN412" s="2897">
        <f t="shared" si="287"/>
        <v>0</v>
      </c>
      <c r="BO412" s="2897">
        <f t="shared" si="288"/>
        <v>0</v>
      </c>
      <c r="BP412" s="2897">
        <f t="shared" si="289"/>
        <v>0</v>
      </c>
      <c r="BQ412" s="2897">
        <f t="shared" si="290"/>
        <v>0</v>
      </c>
      <c r="BR412" s="2897">
        <f t="shared" si="291"/>
        <v>0</v>
      </c>
      <c r="BS412" s="2897">
        <f t="shared" si="292"/>
        <v>0</v>
      </c>
      <c r="BT412" s="2971">
        <f t="shared" si="293"/>
        <v>0</v>
      </c>
    </row>
    <row r="413" spans="1:72">
      <c r="A413" s="2894"/>
      <c r="B413" s="2904"/>
      <c r="C413" s="2902"/>
      <c r="D413" s="2903"/>
      <c r="E413" s="2897">
        <f t="shared" si="265"/>
        <v>0</v>
      </c>
      <c r="F413" s="2898"/>
      <c r="G413" s="2899">
        <f t="shared" si="266"/>
        <v>0</v>
      </c>
      <c r="H413" s="2900">
        <f t="shared" si="267"/>
        <v>0</v>
      </c>
      <c r="I413" s="2906"/>
      <c r="J413" s="2918"/>
      <c r="K413" s="2906"/>
      <c r="L413" s="2918"/>
      <c r="M413" s="2918"/>
      <c r="N413" s="2918"/>
      <c r="O413" s="2918"/>
      <c r="P413" s="2918"/>
      <c r="Q413" s="2918"/>
      <c r="R413" s="2918"/>
      <c r="S413" s="2918"/>
      <c r="T413" s="2918"/>
      <c r="U413" s="2918"/>
      <c r="V413" s="2918"/>
      <c r="W413" s="2918"/>
      <c r="X413" s="2918"/>
      <c r="Y413" s="2918"/>
      <c r="Z413" s="2918"/>
      <c r="AA413" s="2918"/>
      <c r="AB413" s="2918"/>
      <c r="AC413" s="2897">
        <f t="shared" si="268"/>
        <v>0</v>
      </c>
      <c r="AD413" s="2929"/>
      <c r="AE413" s="2929"/>
      <c r="AF413" s="2906"/>
      <c r="AG413" s="2929"/>
      <c r="AH413" s="2929"/>
      <c r="AI413" s="2929"/>
      <c r="AJ413" s="2929"/>
      <c r="AK413" s="2929"/>
      <c r="AL413" s="2929"/>
      <c r="AM413" s="2929"/>
      <c r="AN413" s="2929"/>
      <c r="AO413" s="2929"/>
      <c r="AP413" s="2929"/>
      <c r="AQ413" s="2929"/>
      <c r="AR413" s="2929"/>
      <c r="AS413" s="2929"/>
      <c r="AT413" s="2949"/>
      <c r="AU413" s="2950"/>
      <c r="AV413" s="454">
        <f t="shared" si="269"/>
        <v>0</v>
      </c>
      <c r="AW413" s="454">
        <f t="shared" si="270"/>
        <v>0</v>
      </c>
      <c r="AX413" s="454">
        <f t="shared" si="271"/>
        <v>0</v>
      </c>
      <c r="AY413" s="2966">
        <f t="shared" si="272"/>
        <v>0</v>
      </c>
      <c r="AZ413" s="2897">
        <f t="shared" si="273"/>
        <v>0</v>
      </c>
      <c r="BA413" s="2897">
        <f t="shared" si="274"/>
        <v>0</v>
      </c>
      <c r="BB413" s="2897">
        <f t="shared" si="275"/>
        <v>0</v>
      </c>
      <c r="BC413" s="2897">
        <f t="shared" si="276"/>
        <v>0</v>
      </c>
      <c r="BD413" s="2897">
        <f t="shared" si="277"/>
        <v>0</v>
      </c>
      <c r="BE413" s="2897">
        <f t="shared" si="278"/>
        <v>0</v>
      </c>
      <c r="BF413" s="2897">
        <f t="shared" si="279"/>
        <v>0</v>
      </c>
      <c r="BG413" s="2897">
        <f t="shared" si="280"/>
        <v>0</v>
      </c>
      <c r="BH413" s="2897">
        <f t="shared" si="281"/>
        <v>0</v>
      </c>
      <c r="BI413" s="2897">
        <f t="shared" si="282"/>
        <v>0</v>
      </c>
      <c r="BJ413" s="2897">
        <f t="shared" si="283"/>
        <v>0</v>
      </c>
      <c r="BK413" s="2897">
        <f t="shared" si="284"/>
        <v>0</v>
      </c>
      <c r="BL413" s="2897">
        <f t="shared" si="285"/>
        <v>0</v>
      </c>
      <c r="BM413" s="2897">
        <f t="shared" si="286"/>
        <v>0</v>
      </c>
      <c r="BN413" s="2897">
        <f t="shared" si="287"/>
        <v>0</v>
      </c>
      <c r="BO413" s="2897">
        <f t="shared" si="288"/>
        <v>0</v>
      </c>
      <c r="BP413" s="2897">
        <f t="shared" si="289"/>
        <v>0</v>
      </c>
      <c r="BQ413" s="2897">
        <f t="shared" si="290"/>
        <v>0</v>
      </c>
      <c r="BR413" s="2897">
        <f t="shared" si="291"/>
        <v>0</v>
      </c>
      <c r="BS413" s="2897">
        <f t="shared" si="292"/>
        <v>0</v>
      </c>
      <c r="BT413" s="2971">
        <f t="shared" si="293"/>
        <v>0</v>
      </c>
    </row>
    <row r="414" spans="1:72">
      <c r="A414" s="2894"/>
      <c r="B414" s="2904"/>
      <c r="C414" s="2902"/>
      <c r="D414" s="2903"/>
      <c r="E414" s="2897">
        <f t="shared" si="265"/>
        <v>0</v>
      </c>
      <c r="F414" s="2898"/>
      <c r="G414" s="2899">
        <f t="shared" si="266"/>
        <v>0</v>
      </c>
      <c r="H414" s="2900">
        <f t="shared" si="267"/>
        <v>0</v>
      </c>
      <c r="I414" s="2906"/>
      <c r="J414" s="2918"/>
      <c r="K414" s="2906"/>
      <c r="L414" s="2918"/>
      <c r="M414" s="2918"/>
      <c r="N414" s="2918"/>
      <c r="O414" s="2918"/>
      <c r="P414" s="2918"/>
      <c r="Q414" s="2918"/>
      <c r="R414" s="2918"/>
      <c r="S414" s="2918"/>
      <c r="T414" s="2918"/>
      <c r="U414" s="2918"/>
      <c r="V414" s="2918"/>
      <c r="W414" s="2918"/>
      <c r="X414" s="2918"/>
      <c r="Y414" s="2918"/>
      <c r="Z414" s="2918"/>
      <c r="AA414" s="2918"/>
      <c r="AB414" s="2918"/>
      <c r="AC414" s="2897">
        <f t="shared" si="268"/>
        <v>0</v>
      </c>
      <c r="AD414" s="2929"/>
      <c r="AE414" s="2929"/>
      <c r="AF414" s="2906"/>
      <c r="AG414" s="2929"/>
      <c r="AH414" s="2929"/>
      <c r="AI414" s="2929"/>
      <c r="AJ414" s="2929"/>
      <c r="AK414" s="2929"/>
      <c r="AL414" s="2929"/>
      <c r="AM414" s="2929"/>
      <c r="AN414" s="2929"/>
      <c r="AO414" s="2929"/>
      <c r="AP414" s="2929"/>
      <c r="AQ414" s="2929"/>
      <c r="AR414" s="2929"/>
      <c r="AS414" s="2929"/>
      <c r="AT414" s="2949"/>
      <c r="AU414" s="2950"/>
      <c r="AV414" s="454">
        <f t="shared" si="269"/>
        <v>0</v>
      </c>
      <c r="AW414" s="454">
        <f t="shared" si="270"/>
        <v>0</v>
      </c>
      <c r="AX414" s="454">
        <f t="shared" si="271"/>
        <v>0</v>
      </c>
      <c r="AY414" s="2966">
        <f t="shared" si="272"/>
        <v>0</v>
      </c>
      <c r="AZ414" s="2897">
        <f t="shared" si="273"/>
        <v>0</v>
      </c>
      <c r="BA414" s="2897">
        <f t="shared" si="274"/>
        <v>0</v>
      </c>
      <c r="BB414" s="2897">
        <f t="shared" si="275"/>
        <v>0</v>
      </c>
      <c r="BC414" s="2897">
        <f t="shared" si="276"/>
        <v>0</v>
      </c>
      <c r="BD414" s="2897">
        <f t="shared" si="277"/>
        <v>0</v>
      </c>
      <c r="BE414" s="2897">
        <f t="shared" si="278"/>
        <v>0</v>
      </c>
      <c r="BF414" s="2897">
        <f t="shared" si="279"/>
        <v>0</v>
      </c>
      <c r="BG414" s="2897">
        <f t="shared" si="280"/>
        <v>0</v>
      </c>
      <c r="BH414" s="2897">
        <f t="shared" si="281"/>
        <v>0</v>
      </c>
      <c r="BI414" s="2897">
        <f t="shared" si="282"/>
        <v>0</v>
      </c>
      <c r="BJ414" s="2897">
        <f t="shared" si="283"/>
        <v>0</v>
      </c>
      <c r="BK414" s="2897">
        <f t="shared" si="284"/>
        <v>0</v>
      </c>
      <c r="BL414" s="2897">
        <f t="shared" si="285"/>
        <v>0</v>
      </c>
      <c r="BM414" s="2897">
        <f t="shared" si="286"/>
        <v>0</v>
      </c>
      <c r="BN414" s="2897">
        <f t="shared" si="287"/>
        <v>0</v>
      </c>
      <c r="BO414" s="2897">
        <f t="shared" si="288"/>
        <v>0</v>
      </c>
      <c r="BP414" s="2897">
        <f t="shared" si="289"/>
        <v>0</v>
      </c>
      <c r="BQ414" s="2897">
        <f t="shared" si="290"/>
        <v>0</v>
      </c>
      <c r="BR414" s="2897">
        <f t="shared" si="291"/>
        <v>0</v>
      </c>
      <c r="BS414" s="2897">
        <f t="shared" si="292"/>
        <v>0</v>
      </c>
      <c r="BT414" s="2971">
        <f t="shared" si="293"/>
        <v>0</v>
      </c>
    </row>
    <row r="415" spans="1:72">
      <c r="A415" s="2894"/>
      <c r="B415" s="2904"/>
      <c r="C415" s="2902"/>
      <c r="D415" s="2903"/>
      <c r="E415" s="2897">
        <f t="shared" si="265"/>
        <v>0</v>
      </c>
      <c r="F415" s="2898"/>
      <c r="G415" s="2899">
        <f t="shared" si="266"/>
        <v>0</v>
      </c>
      <c r="H415" s="2900">
        <f t="shared" si="267"/>
        <v>0</v>
      </c>
      <c r="I415" s="2906"/>
      <c r="J415" s="2918"/>
      <c r="K415" s="2906"/>
      <c r="L415" s="2918"/>
      <c r="M415" s="2918"/>
      <c r="N415" s="2918"/>
      <c r="O415" s="2918"/>
      <c r="P415" s="2918"/>
      <c r="Q415" s="2918"/>
      <c r="R415" s="2918"/>
      <c r="S415" s="2918"/>
      <c r="T415" s="2918"/>
      <c r="U415" s="2918"/>
      <c r="V415" s="2918"/>
      <c r="W415" s="2918"/>
      <c r="X415" s="2918"/>
      <c r="Y415" s="2918"/>
      <c r="Z415" s="2918"/>
      <c r="AA415" s="2918"/>
      <c r="AB415" s="2918"/>
      <c r="AC415" s="2897">
        <f t="shared" si="268"/>
        <v>0</v>
      </c>
      <c r="AD415" s="2929"/>
      <c r="AE415" s="2929"/>
      <c r="AF415" s="2902"/>
      <c r="AG415" s="2929"/>
      <c r="AH415" s="2929"/>
      <c r="AI415" s="2929"/>
      <c r="AJ415" s="2929"/>
      <c r="AK415" s="2929"/>
      <c r="AL415" s="2929"/>
      <c r="AM415" s="2929"/>
      <c r="AN415" s="2929"/>
      <c r="AO415" s="2929"/>
      <c r="AP415" s="2929"/>
      <c r="AQ415" s="2929"/>
      <c r="AR415" s="2929"/>
      <c r="AS415" s="2929"/>
      <c r="AT415" s="2949"/>
      <c r="AU415" s="2950"/>
      <c r="AV415" s="454">
        <f t="shared" si="269"/>
        <v>0</v>
      </c>
      <c r="AW415" s="454">
        <f t="shared" si="270"/>
        <v>0</v>
      </c>
      <c r="AX415" s="454">
        <f t="shared" si="271"/>
        <v>0</v>
      </c>
      <c r="AY415" s="2966">
        <f t="shared" si="272"/>
        <v>0</v>
      </c>
      <c r="AZ415" s="2897">
        <f t="shared" si="273"/>
        <v>0</v>
      </c>
      <c r="BA415" s="2897">
        <f t="shared" si="274"/>
        <v>0</v>
      </c>
      <c r="BB415" s="2897">
        <f t="shared" si="275"/>
        <v>0</v>
      </c>
      <c r="BC415" s="2897">
        <f t="shared" si="276"/>
        <v>0</v>
      </c>
      <c r="BD415" s="2897">
        <f t="shared" si="277"/>
        <v>0</v>
      </c>
      <c r="BE415" s="2897">
        <f t="shared" si="278"/>
        <v>0</v>
      </c>
      <c r="BF415" s="2897">
        <f t="shared" si="279"/>
        <v>0</v>
      </c>
      <c r="BG415" s="2897">
        <f t="shared" si="280"/>
        <v>0</v>
      </c>
      <c r="BH415" s="2897">
        <f t="shared" si="281"/>
        <v>0</v>
      </c>
      <c r="BI415" s="2897">
        <f t="shared" si="282"/>
        <v>0</v>
      </c>
      <c r="BJ415" s="2897">
        <f t="shared" si="283"/>
        <v>0</v>
      </c>
      <c r="BK415" s="2897">
        <f t="shared" si="284"/>
        <v>0</v>
      </c>
      <c r="BL415" s="2897">
        <f t="shared" si="285"/>
        <v>0</v>
      </c>
      <c r="BM415" s="2897">
        <f t="shared" si="286"/>
        <v>0</v>
      </c>
      <c r="BN415" s="2897">
        <f t="shared" si="287"/>
        <v>0</v>
      </c>
      <c r="BO415" s="2897">
        <f t="shared" si="288"/>
        <v>0</v>
      </c>
      <c r="BP415" s="2897">
        <f t="shared" si="289"/>
        <v>0</v>
      </c>
      <c r="BQ415" s="2897">
        <f t="shared" si="290"/>
        <v>0</v>
      </c>
      <c r="BR415" s="2897">
        <f t="shared" si="291"/>
        <v>0</v>
      </c>
      <c r="BS415" s="2897">
        <f t="shared" si="292"/>
        <v>0</v>
      </c>
      <c r="BT415" s="2971">
        <f t="shared" si="293"/>
        <v>0</v>
      </c>
    </row>
    <row r="416" spans="1:72">
      <c r="A416" s="2894"/>
      <c r="B416" s="2904"/>
      <c r="C416" s="2902"/>
      <c r="D416" s="2903"/>
      <c r="E416" s="2897">
        <f t="shared" si="265"/>
        <v>0</v>
      </c>
      <c r="F416" s="2898"/>
      <c r="G416" s="2899">
        <f t="shared" si="266"/>
        <v>0</v>
      </c>
      <c r="H416" s="2900">
        <f t="shared" si="267"/>
        <v>0</v>
      </c>
      <c r="I416" s="2902"/>
      <c r="J416" s="2918"/>
      <c r="K416" s="2902"/>
      <c r="L416" s="2918"/>
      <c r="M416" s="2918"/>
      <c r="N416" s="2918"/>
      <c r="O416" s="2918"/>
      <c r="P416" s="2918"/>
      <c r="Q416" s="2918"/>
      <c r="R416" s="2918"/>
      <c r="S416" s="2918"/>
      <c r="T416" s="2918"/>
      <c r="U416" s="2918"/>
      <c r="V416" s="2918"/>
      <c r="W416" s="2918"/>
      <c r="X416" s="2918"/>
      <c r="Y416" s="2918"/>
      <c r="Z416" s="2918"/>
      <c r="AA416" s="2918"/>
      <c r="AB416" s="2918"/>
      <c r="AC416" s="2897">
        <f t="shared" si="268"/>
        <v>0</v>
      </c>
      <c r="AD416" s="2929"/>
      <c r="AE416" s="2929"/>
      <c r="AF416" s="2902"/>
      <c r="AG416" s="2929"/>
      <c r="AH416" s="2929"/>
      <c r="AI416" s="2929"/>
      <c r="AJ416" s="2929"/>
      <c r="AK416" s="2929"/>
      <c r="AL416" s="2929"/>
      <c r="AM416" s="2929"/>
      <c r="AN416" s="2929"/>
      <c r="AO416" s="2929"/>
      <c r="AP416" s="2929"/>
      <c r="AQ416" s="2929"/>
      <c r="AR416" s="2929"/>
      <c r="AS416" s="2929"/>
      <c r="AT416" s="2949"/>
      <c r="AU416" s="2950"/>
      <c r="AV416" s="454">
        <f t="shared" si="269"/>
        <v>0</v>
      </c>
      <c r="AW416" s="454">
        <f t="shared" si="270"/>
        <v>0</v>
      </c>
      <c r="AX416" s="454">
        <f t="shared" si="271"/>
        <v>0</v>
      </c>
      <c r="AY416" s="2966">
        <f t="shared" si="272"/>
        <v>0</v>
      </c>
      <c r="AZ416" s="2897">
        <f t="shared" si="273"/>
        <v>0</v>
      </c>
      <c r="BA416" s="2897">
        <f t="shared" si="274"/>
        <v>0</v>
      </c>
      <c r="BB416" s="2897">
        <f t="shared" si="275"/>
        <v>0</v>
      </c>
      <c r="BC416" s="2897">
        <f t="shared" si="276"/>
        <v>0</v>
      </c>
      <c r="BD416" s="2897">
        <f t="shared" si="277"/>
        <v>0</v>
      </c>
      <c r="BE416" s="2897">
        <f t="shared" si="278"/>
        <v>0</v>
      </c>
      <c r="BF416" s="2897">
        <f t="shared" si="279"/>
        <v>0</v>
      </c>
      <c r="BG416" s="2897">
        <f t="shared" si="280"/>
        <v>0</v>
      </c>
      <c r="BH416" s="2897">
        <f t="shared" si="281"/>
        <v>0</v>
      </c>
      <c r="BI416" s="2897">
        <f t="shared" si="282"/>
        <v>0</v>
      </c>
      <c r="BJ416" s="2897">
        <f t="shared" si="283"/>
        <v>0</v>
      </c>
      <c r="BK416" s="2897">
        <f t="shared" si="284"/>
        <v>0</v>
      </c>
      <c r="BL416" s="2897">
        <f t="shared" si="285"/>
        <v>0</v>
      </c>
      <c r="BM416" s="2897">
        <f t="shared" si="286"/>
        <v>0</v>
      </c>
      <c r="BN416" s="2897">
        <f t="shared" si="287"/>
        <v>0</v>
      </c>
      <c r="BO416" s="2897">
        <f t="shared" si="288"/>
        <v>0</v>
      </c>
      <c r="BP416" s="2897">
        <f t="shared" si="289"/>
        <v>0</v>
      </c>
      <c r="BQ416" s="2897">
        <f t="shared" si="290"/>
        <v>0</v>
      </c>
      <c r="BR416" s="2897">
        <f t="shared" si="291"/>
        <v>0</v>
      </c>
      <c r="BS416" s="2897">
        <f t="shared" si="292"/>
        <v>0</v>
      </c>
      <c r="BT416" s="2971">
        <f t="shared" si="293"/>
        <v>0</v>
      </c>
    </row>
    <row r="417" spans="1:72">
      <c r="A417" s="2894"/>
      <c r="B417" s="2904"/>
      <c r="C417" s="2902"/>
      <c r="D417" s="2903"/>
      <c r="E417" s="2897">
        <f t="shared" si="265"/>
        <v>0</v>
      </c>
      <c r="F417" s="2898"/>
      <c r="G417" s="2899">
        <f t="shared" si="266"/>
        <v>0</v>
      </c>
      <c r="H417" s="2900">
        <f t="shared" si="267"/>
        <v>0</v>
      </c>
      <c r="I417" s="2902"/>
      <c r="J417" s="2918"/>
      <c r="K417" s="2902"/>
      <c r="L417" s="2918"/>
      <c r="M417" s="2918"/>
      <c r="N417" s="2918"/>
      <c r="O417" s="2918"/>
      <c r="P417" s="2918"/>
      <c r="Q417" s="2918"/>
      <c r="R417" s="2918"/>
      <c r="S417" s="2918"/>
      <c r="T417" s="2918"/>
      <c r="U417" s="2918"/>
      <c r="V417" s="2918"/>
      <c r="W417" s="2918"/>
      <c r="X417" s="2918"/>
      <c r="Y417" s="2918"/>
      <c r="Z417" s="2918"/>
      <c r="AA417" s="2918"/>
      <c r="AB417" s="2918"/>
      <c r="AC417" s="2897">
        <f t="shared" si="268"/>
        <v>0</v>
      </c>
      <c r="AD417" s="2929"/>
      <c r="AE417" s="2929"/>
      <c r="AF417" s="2902"/>
      <c r="AG417" s="2929"/>
      <c r="AH417" s="2929"/>
      <c r="AI417" s="2929"/>
      <c r="AJ417" s="2929"/>
      <c r="AK417" s="2929"/>
      <c r="AL417" s="2929"/>
      <c r="AM417" s="2929"/>
      <c r="AN417" s="2929"/>
      <c r="AO417" s="2929"/>
      <c r="AP417" s="2929"/>
      <c r="AQ417" s="2929"/>
      <c r="AR417" s="2929"/>
      <c r="AS417" s="2929"/>
      <c r="AT417" s="2949"/>
      <c r="AU417" s="2950"/>
      <c r="AV417" s="454">
        <f t="shared" si="269"/>
        <v>0</v>
      </c>
      <c r="AW417" s="454">
        <f t="shared" si="270"/>
        <v>0</v>
      </c>
      <c r="AX417" s="454">
        <f t="shared" si="271"/>
        <v>0</v>
      </c>
      <c r="AY417" s="2966">
        <f t="shared" si="272"/>
        <v>0</v>
      </c>
      <c r="AZ417" s="2897">
        <f t="shared" si="273"/>
        <v>0</v>
      </c>
      <c r="BA417" s="2897">
        <f t="shared" si="274"/>
        <v>0</v>
      </c>
      <c r="BB417" s="2897">
        <f t="shared" si="275"/>
        <v>0</v>
      </c>
      <c r="BC417" s="2897">
        <f t="shared" si="276"/>
        <v>0</v>
      </c>
      <c r="BD417" s="2897">
        <f t="shared" si="277"/>
        <v>0</v>
      </c>
      <c r="BE417" s="2897">
        <f t="shared" si="278"/>
        <v>0</v>
      </c>
      <c r="BF417" s="2897">
        <f t="shared" si="279"/>
        <v>0</v>
      </c>
      <c r="BG417" s="2897">
        <f t="shared" si="280"/>
        <v>0</v>
      </c>
      <c r="BH417" s="2897">
        <f t="shared" si="281"/>
        <v>0</v>
      </c>
      <c r="BI417" s="2897">
        <f t="shared" si="282"/>
        <v>0</v>
      </c>
      <c r="BJ417" s="2897">
        <f t="shared" si="283"/>
        <v>0</v>
      </c>
      <c r="BK417" s="2897">
        <f t="shared" si="284"/>
        <v>0</v>
      </c>
      <c r="BL417" s="2897">
        <f t="shared" si="285"/>
        <v>0</v>
      </c>
      <c r="BM417" s="2897">
        <f t="shared" si="286"/>
        <v>0</v>
      </c>
      <c r="BN417" s="2897">
        <f t="shared" si="287"/>
        <v>0</v>
      </c>
      <c r="BO417" s="2897">
        <f t="shared" si="288"/>
        <v>0</v>
      </c>
      <c r="BP417" s="2897">
        <f t="shared" si="289"/>
        <v>0</v>
      </c>
      <c r="BQ417" s="2897">
        <f t="shared" si="290"/>
        <v>0</v>
      </c>
      <c r="BR417" s="2897">
        <f t="shared" si="291"/>
        <v>0</v>
      </c>
      <c r="BS417" s="2897">
        <f t="shared" si="292"/>
        <v>0</v>
      </c>
      <c r="BT417" s="2971">
        <f t="shared" si="293"/>
        <v>0</v>
      </c>
    </row>
    <row r="418" spans="1:72">
      <c r="A418" s="2894"/>
      <c r="B418" s="2904"/>
      <c r="C418" s="2902"/>
      <c r="D418" s="2903"/>
      <c r="E418" s="2897">
        <f t="shared" si="265"/>
        <v>0</v>
      </c>
      <c r="F418" s="2898"/>
      <c r="G418" s="2899">
        <f t="shared" si="266"/>
        <v>0</v>
      </c>
      <c r="H418" s="2900">
        <f t="shared" si="267"/>
        <v>0</v>
      </c>
      <c r="I418" s="2902"/>
      <c r="J418" s="2918"/>
      <c r="K418" s="2902"/>
      <c r="L418" s="2918"/>
      <c r="M418" s="2918"/>
      <c r="N418" s="2918"/>
      <c r="O418" s="2918"/>
      <c r="P418" s="2918"/>
      <c r="Q418" s="2918"/>
      <c r="R418" s="2918"/>
      <c r="S418" s="2918"/>
      <c r="T418" s="2918"/>
      <c r="U418" s="2918"/>
      <c r="V418" s="2918"/>
      <c r="W418" s="2918"/>
      <c r="X418" s="2918"/>
      <c r="Y418" s="2918"/>
      <c r="Z418" s="2918"/>
      <c r="AA418" s="2918"/>
      <c r="AB418" s="2918"/>
      <c r="AC418" s="2897">
        <f t="shared" si="268"/>
        <v>0</v>
      </c>
      <c r="AD418" s="2929"/>
      <c r="AE418" s="2929"/>
      <c r="AF418" s="2902"/>
      <c r="AG418" s="2929"/>
      <c r="AH418" s="2929"/>
      <c r="AI418" s="2929"/>
      <c r="AJ418" s="2929"/>
      <c r="AK418" s="2929"/>
      <c r="AL418" s="2929"/>
      <c r="AM418" s="2929"/>
      <c r="AN418" s="2929"/>
      <c r="AO418" s="2929"/>
      <c r="AP418" s="2929"/>
      <c r="AQ418" s="2929"/>
      <c r="AR418" s="2929"/>
      <c r="AS418" s="2929"/>
      <c r="AT418" s="2949"/>
      <c r="AU418" s="2950"/>
      <c r="AV418" s="454">
        <f t="shared" si="269"/>
        <v>0</v>
      </c>
      <c r="AW418" s="454">
        <f t="shared" si="270"/>
        <v>0</v>
      </c>
      <c r="AX418" s="454">
        <f t="shared" si="271"/>
        <v>0</v>
      </c>
      <c r="AY418" s="2966">
        <f t="shared" si="272"/>
        <v>0</v>
      </c>
      <c r="AZ418" s="2897">
        <f t="shared" si="273"/>
        <v>0</v>
      </c>
      <c r="BA418" s="2897">
        <f t="shared" si="274"/>
        <v>0</v>
      </c>
      <c r="BB418" s="2897">
        <f t="shared" si="275"/>
        <v>0</v>
      </c>
      <c r="BC418" s="2897">
        <f t="shared" si="276"/>
        <v>0</v>
      </c>
      <c r="BD418" s="2897">
        <f t="shared" si="277"/>
        <v>0</v>
      </c>
      <c r="BE418" s="2897">
        <f t="shared" si="278"/>
        <v>0</v>
      </c>
      <c r="BF418" s="2897">
        <f t="shared" si="279"/>
        <v>0</v>
      </c>
      <c r="BG418" s="2897">
        <f t="shared" si="280"/>
        <v>0</v>
      </c>
      <c r="BH418" s="2897">
        <f t="shared" si="281"/>
        <v>0</v>
      </c>
      <c r="BI418" s="2897">
        <f t="shared" si="282"/>
        <v>0</v>
      </c>
      <c r="BJ418" s="2897">
        <f t="shared" si="283"/>
        <v>0</v>
      </c>
      <c r="BK418" s="2897">
        <f t="shared" si="284"/>
        <v>0</v>
      </c>
      <c r="BL418" s="2897">
        <f t="shared" si="285"/>
        <v>0</v>
      </c>
      <c r="BM418" s="2897">
        <f t="shared" si="286"/>
        <v>0</v>
      </c>
      <c r="BN418" s="2897">
        <f t="shared" si="287"/>
        <v>0</v>
      </c>
      <c r="BO418" s="2897">
        <f t="shared" si="288"/>
        <v>0</v>
      </c>
      <c r="BP418" s="2897">
        <f t="shared" si="289"/>
        <v>0</v>
      </c>
      <c r="BQ418" s="2897">
        <f t="shared" si="290"/>
        <v>0</v>
      </c>
      <c r="BR418" s="2897">
        <f t="shared" si="291"/>
        <v>0</v>
      </c>
      <c r="BS418" s="2897">
        <f t="shared" si="292"/>
        <v>0</v>
      </c>
      <c r="BT418" s="2971">
        <f t="shared" si="293"/>
        <v>0</v>
      </c>
    </row>
    <row r="419" spans="1:72">
      <c r="A419" s="2894"/>
      <c r="B419" s="2904"/>
      <c r="C419" s="2902"/>
      <c r="D419" s="2903"/>
      <c r="E419" s="2897">
        <f t="shared" si="265"/>
        <v>0</v>
      </c>
      <c r="F419" s="2898"/>
      <c r="G419" s="2899">
        <f t="shared" si="266"/>
        <v>0</v>
      </c>
      <c r="H419" s="2900">
        <f t="shared" si="267"/>
        <v>0</v>
      </c>
      <c r="I419" s="2902"/>
      <c r="J419" s="2918"/>
      <c r="K419" s="2902"/>
      <c r="L419" s="2918"/>
      <c r="M419" s="2918"/>
      <c r="N419" s="2918"/>
      <c r="O419" s="2918"/>
      <c r="P419" s="2918"/>
      <c r="Q419" s="2918"/>
      <c r="R419" s="2918"/>
      <c r="S419" s="2918"/>
      <c r="T419" s="2918"/>
      <c r="U419" s="2918"/>
      <c r="V419" s="2918"/>
      <c r="W419" s="2918"/>
      <c r="X419" s="2918"/>
      <c r="Y419" s="2918"/>
      <c r="Z419" s="2918"/>
      <c r="AA419" s="2918"/>
      <c r="AB419" s="2918"/>
      <c r="AC419" s="2897">
        <f t="shared" si="268"/>
        <v>0</v>
      </c>
      <c r="AD419" s="2929"/>
      <c r="AE419" s="2929"/>
      <c r="AF419" s="2902"/>
      <c r="AG419" s="2929"/>
      <c r="AH419" s="2929"/>
      <c r="AI419" s="2929"/>
      <c r="AJ419" s="2929"/>
      <c r="AK419" s="2929"/>
      <c r="AL419" s="2929"/>
      <c r="AM419" s="2929"/>
      <c r="AN419" s="2929"/>
      <c r="AO419" s="2929"/>
      <c r="AP419" s="2929"/>
      <c r="AQ419" s="2929"/>
      <c r="AR419" s="2929"/>
      <c r="AS419" s="2929"/>
      <c r="AT419" s="2949"/>
      <c r="AU419" s="2950"/>
      <c r="AV419" s="454">
        <f t="shared" si="269"/>
        <v>0</v>
      </c>
      <c r="AW419" s="454">
        <f t="shared" si="270"/>
        <v>0</v>
      </c>
      <c r="AX419" s="454">
        <f t="shared" si="271"/>
        <v>0</v>
      </c>
      <c r="AY419" s="2966">
        <f t="shared" si="272"/>
        <v>0</v>
      </c>
      <c r="AZ419" s="2897">
        <f t="shared" si="273"/>
        <v>0</v>
      </c>
      <c r="BA419" s="2897">
        <f t="shared" si="274"/>
        <v>0</v>
      </c>
      <c r="BB419" s="2897">
        <f t="shared" si="275"/>
        <v>0</v>
      </c>
      <c r="BC419" s="2897">
        <f t="shared" si="276"/>
        <v>0</v>
      </c>
      <c r="BD419" s="2897">
        <f t="shared" si="277"/>
        <v>0</v>
      </c>
      <c r="BE419" s="2897">
        <f t="shared" si="278"/>
        <v>0</v>
      </c>
      <c r="BF419" s="2897">
        <f t="shared" si="279"/>
        <v>0</v>
      </c>
      <c r="BG419" s="2897">
        <f t="shared" si="280"/>
        <v>0</v>
      </c>
      <c r="BH419" s="2897">
        <f t="shared" si="281"/>
        <v>0</v>
      </c>
      <c r="BI419" s="2897">
        <f t="shared" si="282"/>
        <v>0</v>
      </c>
      <c r="BJ419" s="2897">
        <f t="shared" si="283"/>
        <v>0</v>
      </c>
      <c r="BK419" s="2897">
        <f t="shared" si="284"/>
        <v>0</v>
      </c>
      <c r="BL419" s="2897">
        <f t="shared" si="285"/>
        <v>0</v>
      </c>
      <c r="BM419" s="2897">
        <f t="shared" si="286"/>
        <v>0</v>
      </c>
      <c r="BN419" s="2897">
        <f t="shared" si="287"/>
        <v>0</v>
      </c>
      <c r="BO419" s="2897">
        <f t="shared" si="288"/>
        <v>0</v>
      </c>
      <c r="BP419" s="2897">
        <f t="shared" si="289"/>
        <v>0</v>
      </c>
      <c r="BQ419" s="2897">
        <f t="shared" si="290"/>
        <v>0</v>
      </c>
      <c r="BR419" s="2897">
        <f t="shared" si="291"/>
        <v>0</v>
      </c>
      <c r="BS419" s="2897">
        <f t="shared" si="292"/>
        <v>0</v>
      </c>
      <c r="BT419" s="2971">
        <f t="shared" si="293"/>
        <v>0</v>
      </c>
    </row>
    <row r="420" spans="1:72">
      <c r="A420" s="2894"/>
      <c r="B420" s="2904"/>
      <c r="C420" s="2902"/>
      <c r="D420" s="2903"/>
      <c r="E420" s="2897">
        <f t="shared" si="265"/>
        <v>0</v>
      </c>
      <c r="F420" s="2898"/>
      <c r="G420" s="2899">
        <f t="shared" si="266"/>
        <v>0</v>
      </c>
      <c r="H420" s="2900">
        <f t="shared" si="267"/>
        <v>0</v>
      </c>
      <c r="I420" s="2902"/>
      <c r="J420" s="2918"/>
      <c r="K420" s="2902"/>
      <c r="L420" s="2918"/>
      <c r="M420" s="2918"/>
      <c r="N420" s="2918"/>
      <c r="O420" s="2918"/>
      <c r="P420" s="2918"/>
      <c r="Q420" s="2918"/>
      <c r="R420" s="2918"/>
      <c r="S420" s="2918"/>
      <c r="T420" s="2918"/>
      <c r="U420" s="2918"/>
      <c r="V420" s="2918"/>
      <c r="W420" s="2918"/>
      <c r="X420" s="2918"/>
      <c r="Y420" s="2918"/>
      <c r="Z420" s="2918"/>
      <c r="AA420" s="2918"/>
      <c r="AB420" s="2918"/>
      <c r="AC420" s="2897">
        <f t="shared" si="268"/>
        <v>0</v>
      </c>
      <c r="AD420" s="2929"/>
      <c r="AE420" s="2929"/>
      <c r="AF420" s="2902"/>
      <c r="AG420" s="2929"/>
      <c r="AH420" s="2929"/>
      <c r="AI420" s="2929"/>
      <c r="AJ420" s="2929"/>
      <c r="AK420" s="2929"/>
      <c r="AL420" s="2929"/>
      <c r="AM420" s="2929"/>
      <c r="AN420" s="2929"/>
      <c r="AO420" s="2929"/>
      <c r="AP420" s="2929"/>
      <c r="AQ420" s="2929"/>
      <c r="AR420" s="2929"/>
      <c r="AS420" s="2929"/>
      <c r="AT420" s="2949"/>
      <c r="AU420" s="2950"/>
      <c r="AV420" s="454">
        <f t="shared" si="269"/>
        <v>0</v>
      </c>
      <c r="AW420" s="454">
        <f t="shared" si="270"/>
        <v>0</v>
      </c>
      <c r="AX420" s="454">
        <f t="shared" si="271"/>
        <v>0</v>
      </c>
      <c r="AY420" s="2966">
        <f t="shared" si="272"/>
        <v>0</v>
      </c>
      <c r="AZ420" s="2897">
        <f t="shared" si="273"/>
        <v>0</v>
      </c>
      <c r="BA420" s="2897">
        <f t="shared" si="274"/>
        <v>0</v>
      </c>
      <c r="BB420" s="2897">
        <f t="shared" si="275"/>
        <v>0</v>
      </c>
      <c r="BC420" s="2897">
        <f t="shared" si="276"/>
        <v>0</v>
      </c>
      <c r="BD420" s="2897">
        <f t="shared" si="277"/>
        <v>0</v>
      </c>
      <c r="BE420" s="2897">
        <f t="shared" si="278"/>
        <v>0</v>
      </c>
      <c r="BF420" s="2897">
        <f t="shared" si="279"/>
        <v>0</v>
      </c>
      <c r="BG420" s="2897">
        <f t="shared" si="280"/>
        <v>0</v>
      </c>
      <c r="BH420" s="2897">
        <f t="shared" si="281"/>
        <v>0</v>
      </c>
      <c r="BI420" s="2897">
        <f t="shared" si="282"/>
        <v>0</v>
      </c>
      <c r="BJ420" s="2897">
        <f t="shared" si="283"/>
        <v>0</v>
      </c>
      <c r="BK420" s="2897">
        <f t="shared" si="284"/>
        <v>0</v>
      </c>
      <c r="BL420" s="2897">
        <f t="shared" si="285"/>
        <v>0</v>
      </c>
      <c r="BM420" s="2897">
        <f t="shared" si="286"/>
        <v>0</v>
      </c>
      <c r="BN420" s="2897">
        <f t="shared" si="287"/>
        <v>0</v>
      </c>
      <c r="BO420" s="2897">
        <f t="shared" si="288"/>
        <v>0</v>
      </c>
      <c r="BP420" s="2897">
        <f t="shared" si="289"/>
        <v>0</v>
      </c>
      <c r="BQ420" s="2897">
        <f t="shared" si="290"/>
        <v>0</v>
      </c>
      <c r="BR420" s="2897">
        <f t="shared" si="291"/>
        <v>0</v>
      </c>
      <c r="BS420" s="2897">
        <f t="shared" si="292"/>
        <v>0</v>
      </c>
      <c r="BT420" s="2971">
        <f t="shared" si="293"/>
        <v>0</v>
      </c>
    </row>
    <row r="421" spans="1:72">
      <c r="A421" s="2894"/>
      <c r="B421" s="2904"/>
      <c r="C421" s="2902"/>
      <c r="D421" s="2903"/>
      <c r="E421" s="2897">
        <f t="shared" si="265"/>
        <v>0</v>
      </c>
      <c r="F421" s="2898"/>
      <c r="G421" s="2899">
        <f t="shared" si="266"/>
        <v>0</v>
      </c>
      <c r="H421" s="2900">
        <f t="shared" si="267"/>
        <v>0</v>
      </c>
      <c r="I421" s="2902"/>
      <c r="J421" s="2918"/>
      <c r="K421" s="2902"/>
      <c r="L421" s="2918"/>
      <c r="M421" s="2918"/>
      <c r="N421" s="2918"/>
      <c r="O421" s="2918"/>
      <c r="P421" s="2918"/>
      <c r="Q421" s="2918"/>
      <c r="R421" s="2918"/>
      <c r="S421" s="2918"/>
      <c r="T421" s="2918"/>
      <c r="U421" s="2918"/>
      <c r="V421" s="2918"/>
      <c r="W421" s="2918"/>
      <c r="X421" s="2918"/>
      <c r="Y421" s="2918"/>
      <c r="Z421" s="2918"/>
      <c r="AA421" s="2918"/>
      <c r="AB421" s="2918"/>
      <c r="AC421" s="2897">
        <f t="shared" si="268"/>
        <v>0</v>
      </c>
      <c r="AD421" s="2929"/>
      <c r="AE421" s="2929"/>
      <c r="AF421" s="2902"/>
      <c r="AG421" s="2929"/>
      <c r="AH421" s="2929"/>
      <c r="AI421" s="2929"/>
      <c r="AJ421" s="2929"/>
      <c r="AK421" s="2929"/>
      <c r="AL421" s="2929"/>
      <c r="AM421" s="2929"/>
      <c r="AN421" s="2929"/>
      <c r="AO421" s="2929"/>
      <c r="AP421" s="2929"/>
      <c r="AQ421" s="2929"/>
      <c r="AR421" s="2929"/>
      <c r="AS421" s="2929"/>
      <c r="AT421" s="2949"/>
      <c r="AU421" s="2950"/>
      <c r="AV421" s="454">
        <f t="shared" si="269"/>
        <v>0</v>
      </c>
      <c r="AW421" s="454">
        <f t="shared" si="270"/>
        <v>0</v>
      </c>
      <c r="AX421" s="454">
        <f t="shared" si="271"/>
        <v>0</v>
      </c>
      <c r="AY421" s="2966">
        <f t="shared" si="272"/>
        <v>0</v>
      </c>
      <c r="AZ421" s="2897">
        <f t="shared" si="273"/>
        <v>0</v>
      </c>
      <c r="BA421" s="2897">
        <f t="shared" si="274"/>
        <v>0</v>
      </c>
      <c r="BB421" s="2897">
        <f t="shared" si="275"/>
        <v>0</v>
      </c>
      <c r="BC421" s="2897">
        <f t="shared" si="276"/>
        <v>0</v>
      </c>
      <c r="BD421" s="2897">
        <f t="shared" si="277"/>
        <v>0</v>
      </c>
      <c r="BE421" s="2897">
        <f t="shared" si="278"/>
        <v>0</v>
      </c>
      <c r="BF421" s="2897">
        <f t="shared" si="279"/>
        <v>0</v>
      </c>
      <c r="BG421" s="2897">
        <f t="shared" si="280"/>
        <v>0</v>
      </c>
      <c r="BH421" s="2897">
        <f t="shared" si="281"/>
        <v>0</v>
      </c>
      <c r="BI421" s="2897">
        <f t="shared" si="282"/>
        <v>0</v>
      </c>
      <c r="BJ421" s="2897">
        <f t="shared" si="283"/>
        <v>0</v>
      </c>
      <c r="BK421" s="2897">
        <f t="shared" si="284"/>
        <v>0</v>
      </c>
      <c r="BL421" s="2897">
        <f t="shared" si="285"/>
        <v>0</v>
      </c>
      <c r="BM421" s="2897">
        <f t="shared" si="286"/>
        <v>0</v>
      </c>
      <c r="BN421" s="2897">
        <f t="shared" si="287"/>
        <v>0</v>
      </c>
      <c r="BO421" s="2897">
        <f t="shared" si="288"/>
        <v>0</v>
      </c>
      <c r="BP421" s="2897">
        <f t="shared" si="289"/>
        <v>0</v>
      </c>
      <c r="BQ421" s="2897">
        <f t="shared" si="290"/>
        <v>0</v>
      </c>
      <c r="BR421" s="2897">
        <f t="shared" si="291"/>
        <v>0</v>
      </c>
      <c r="BS421" s="2897">
        <f t="shared" si="292"/>
        <v>0</v>
      </c>
      <c r="BT421" s="2971">
        <f t="shared" si="293"/>
        <v>0</v>
      </c>
    </row>
    <row r="422" spans="1:72">
      <c r="A422" s="2894"/>
      <c r="B422" s="2904"/>
      <c r="C422" s="2902"/>
      <c r="D422" s="2903"/>
      <c r="E422" s="2897">
        <f t="shared" si="265"/>
        <v>0</v>
      </c>
      <c r="F422" s="2898"/>
      <c r="G422" s="2899">
        <f t="shared" si="266"/>
        <v>0</v>
      </c>
      <c r="H422" s="2900">
        <f t="shared" si="267"/>
        <v>0</v>
      </c>
      <c r="I422" s="2902"/>
      <c r="J422" s="2918"/>
      <c r="K422" s="2902"/>
      <c r="L422" s="2918"/>
      <c r="M422" s="2918"/>
      <c r="N422" s="2918"/>
      <c r="O422" s="2918"/>
      <c r="P422" s="2918"/>
      <c r="Q422" s="2918"/>
      <c r="R422" s="2918"/>
      <c r="S422" s="2918"/>
      <c r="T422" s="2918"/>
      <c r="U422" s="2918"/>
      <c r="V422" s="2918"/>
      <c r="W422" s="2918"/>
      <c r="X422" s="2918"/>
      <c r="Y422" s="2918"/>
      <c r="Z422" s="2918"/>
      <c r="AA422" s="2918"/>
      <c r="AB422" s="2918"/>
      <c r="AC422" s="2897">
        <f t="shared" si="268"/>
        <v>0</v>
      </c>
      <c r="AD422" s="2929"/>
      <c r="AE422" s="2929"/>
      <c r="AF422" s="2902"/>
      <c r="AG422" s="2929"/>
      <c r="AH422" s="2929"/>
      <c r="AI422" s="2929"/>
      <c r="AJ422" s="2929"/>
      <c r="AK422" s="2929"/>
      <c r="AL422" s="2929"/>
      <c r="AM422" s="2929"/>
      <c r="AN422" s="2929"/>
      <c r="AO422" s="2929"/>
      <c r="AP422" s="2929"/>
      <c r="AQ422" s="2929"/>
      <c r="AR422" s="2929"/>
      <c r="AS422" s="2929"/>
      <c r="AT422" s="2949"/>
      <c r="AU422" s="2950"/>
      <c r="AV422" s="454">
        <f t="shared" si="269"/>
        <v>0</v>
      </c>
      <c r="AW422" s="454">
        <f t="shared" si="270"/>
        <v>0</v>
      </c>
      <c r="AX422" s="454">
        <f t="shared" si="271"/>
        <v>0</v>
      </c>
      <c r="AY422" s="2966">
        <f t="shared" si="272"/>
        <v>0</v>
      </c>
      <c r="AZ422" s="2897">
        <f t="shared" si="273"/>
        <v>0</v>
      </c>
      <c r="BA422" s="2897">
        <f t="shared" si="274"/>
        <v>0</v>
      </c>
      <c r="BB422" s="2897">
        <f t="shared" si="275"/>
        <v>0</v>
      </c>
      <c r="BC422" s="2897">
        <f t="shared" si="276"/>
        <v>0</v>
      </c>
      <c r="BD422" s="2897">
        <f t="shared" si="277"/>
        <v>0</v>
      </c>
      <c r="BE422" s="2897">
        <f t="shared" si="278"/>
        <v>0</v>
      </c>
      <c r="BF422" s="2897">
        <f t="shared" si="279"/>
        <v>0</v>
      </c>
      <c r="BG422" s="2897">
        <f t="shared" si="280"/>
        <v>0</v>
      </c>
      <c r="BH422" s="2897">
        <f t="shared" si="281"/>
        <v>0</v>
      </c>
      <c r="BI422" s="2897">
        <f t="shared" si="282"/>
        <v>0</v>
      </c>
      <c r="BJ422" s="2897">
        <f t="shared" si="283"/>
        <v>0</v>
      </c>
      <c r="BK422" s="2897">
        <f t="shared" si="284"/>
        <v>0</v>
      </c>
      <c r="BL422" s="2897">
        <f t="shared" si="285"/>
        <v>0</v>
      </c>
      <c r="BM422" s="2897">
        <f t="shared" si="286"/>
        <v>0</v>
      </c>
      <c r="BN422" s="2897">
        <f t="shared" si="287"/>
        <v>0</v>
      </c>
      <c r="BO422" s="2897">
        <f t="shared" si="288"/>
        <v>0</v>
      </c>
      <c r="BP422" s="2897">
        <f t="shared" si="289"/>
        <v>0</v>
      </c>
      <c r="BQ422" s="2897">
        <f t="shared" si="290"/>
        <v>0</v>
      </c>
      <c r="BR422" s="2897">
        <f t="shared" si="291"/>
        <v>0</v>
      </c>
      <c r="BS422" s="2897">
        <f t="shared" si="292"/>
        <v>0</v>
      </c>
      <c r="BT422" s="2971">
        <f t="shared" si="293"/>
        <v>0</v>
      </c>
    </row>
    <row r="423" spans="1:72">
      <c r="A423" s="2894"/>
      <c r="B423" s="2905"/>
      <c r="C423" s="2906"/>
      <c r="D423" s="2903"/>
      <c r="E423" s="2897">
        <f t="shared" si="265"/>
        <v>0</v>
      </c>
      <c r="F423" s="2898"/>
      <c r="G423" s="2899">
        <f t="shared" si="266"/>
        <v>0</v>
      </c>
      <c r="H423" s="2900">
        <f t="shared" si="267"/>
        <v>0</v>
      </c>
      <c r="I423" s="2902"/>
      <c r="J423" s="2918"/>
      <c r="K423" s="2902"/>
      <c r="L423" s="2918"/>
      <c r="M423" s="2902"/>
      <c r="N423" s="2918"/>
      <c r="O423" s="2918"/>
      <c r="P423" s="2918"/>
      <c r="Q423" s="2918"/>
      <c r="R423" s="2918"/>
      <c r="S423" s="2918"/>
      <c r="T423" s="2918"/>
      <c r="U423" s="2918"/>
      <c r="V423" s="2918"/>
      <c r="W423" s="2918"/>
      <c r="X423" s="2918"/>
      <c r="Y423" s="2918"/>
      <c r="Z423" s="2918"/>
      <c r="AA423" s="2918"/>
      <c r="AB423" s="2918"/>
      <c r="AC423" s="2897">
        <f t="shared" si="268"/>
        <v>0</v>
      </c>
      <c r="AD423" s="2929"/>
      <c r="AE423" s="2929"/>
      <c r="AF423" s="2902"/>
      <c r="AG423" s="2929"/>
      <c r="AH423" s="2929"/>
      <c r="AI423" s="2929"/>
      <c r="AJ423" s="2929"/>
      <c r="AK423" s="2929"/>
      <c r="AL423" s="2929"/>
      <c r="AM423" s="2929"/>
      <c r="AN423" s="2929"/>
      <c r="AO423" s="2929"/>
      <c r="AP423" s="2929"/>
      <c r="AQ423" s="2929"/>
      <c r="AR423" s="2929"/>
      <c r="AS423" s="2929"/>
      <c r="AT423" s="2949"/>
      <c r="AU423" s="2950"/>
      <c r="AV423" s="454">
        <f t="shared" si="269"/>
        <v>0</v>
      </c>
      <c r="AW423" s="454">
        <f t="shared" si="270"/>
        <v>0</v>
      </c>
      <c r="AX423" s="454">
        <f t="shared" si="271"/>
        <v>0</v>
      </c>
      <c r="AY423" s="2966">
        <f t="shared" si="272"/>
        <v>0</v>
      </c>
      <c r="AZ423" s="2897">
        <f t="shared" si="273"/>
        <v>0</v>
      </c>
      <c r="BA423" s="2897">
        <f t="shared" si="274"/>
        <v>0</v>
      </c>
      <c r="BB423" s="2897">
        <f t="shared" si="275"/>
        <v>0</v>
      </c>
      <c r="BC423" s="2897">
        <f t="shared" si="276"/>
        <v>0</v>
      </c>
      <c r="BD423" s="2897">
        <f t="shared" si="277"/>
        <v>0</v>
      </c>
      <c r="BE423" s="2897">
        <f t="shared" si="278"/>
        <v>0</v>
      </c>
      <c r="BF423" s="2897">
        <f t="shared" si="279"/>
        <v>0</v>
      </c>
      <c r="BG423" s="2897">
        <f t="shared" si="280"/>
        <v>0</v>
      </c>
      <c r="BH423" s="2897">
        <f t="shared" si="281"/>
        <v>0</v>
      </c>
      <c r="BI423" s="2897">
        <f t="shared" si="282"/>
        <v>0</v>
      </c>
      <c r="BJ423" s="2897">
        <f t="shared" si="283"/>
        <v>0</v>
      </c>
      <c r="BK423" s="2897">
        <f t="shared" si="284"/>
        <v>0</v>
      </c>
      <c r="BL423" s="2897">
        <f t="shared" si="285"/>
        <v>0</v>
      </c>
      <c r="BM423" s="2897">
        <f t="shared" si="286"/>
        <v>0</v>
      </c>
      <c r="BN423" s="2897">
        <f t="shared" si="287"/>
        <v>0</v>
      </c>
      <c r="BO423" s="2897">
        <f t="shared" si="288"/>
        <v>0</v>
      </c>
      <c r="BP423" s="2897">
        <f t="shared" si="289"/>
        <v>0</v>
      </c>
      <c r="BQ423" s="2897">
        <f t="shared" si="290"/>
        <v>0</v>
      </c>
      <c r="BR423" s="2897">
        <f t="shared" si="291"/>
        <v>0</v>
      </c>
      <c r="BS423" s="2897">
        <f t="shared" si="292"/>
        <v>0</v>
      </c>
      <c r="BT423" s="2971">
        <f t="shared" si="293"/>
        <v>0</v>
      </c>
    </row>
    <row r="424" spans="1:72">
      <c r="A424" s="2894"/>
      <c r="B424" s="2895"/>
      <c r="C424" s="2895"/>
      <c r="D424" s="2907"/>
      <c r="E424" s="2897">
        <f t="shared" si="265"/>
        <v>0</v>
      </c>
      <c r="F424" s="2898"/>
      <c r="G424" s="2899">
        <f t="shared" si="266"/>
        <v>0</v>
      </c>
      <c r="H424" s="2900">
        <f t="shared" si="267"/>
        <v>0</v>
      </c>
      <c r="I424" s="2918"/>
      <c r="J424" s="2918"/>
      <c r="K424" s="2918"/>
      <c r="L424" s="2918"/>
      <c r="M424" s="2918"/>
      <c r="N424" s="2918"/>
      <c r="O424" s="2918"/>
      <c r="P424" s="2918"/>
      <c r="Q424" s="2918"/>
      <c r="R424" s="2918"/>
      <c r="S424" s="2918"/>
      <c r="T424" s="2918"/>
      <c r="U424" s="2918"/>
      <c r="V424" s="2918"/>
      <c r="W424" s="2918"/>
      <c r="X424" s="2918"/>
      <c r="Y424" s="2918"/>
      <c r="Z424" s="2918"/>
      <c r="AA424" s="2918"/>
      <c r="AB424" s="2918"/>
      <c r="AC424" s="2897">
        <f t="shared" si="268"/>
        <v>0</v>
      </c>
      <c r="AD424" s="2929"/>
      <c r="AE424" s="2929"/>
      <c r="AF424" s="2929"/>
      <c r="AG424" s="2929"/>
      <c r="AH424" s="2929"/>
      <c r="AI424" s="2929"/>
      <c r="AJ424" s="2929"/>
      <c r="AK424" s="2929"/>
      <c r="AL424" s="2929"/>
      <c r="AM424" s="2929"/>
      <c r="AN424" s="2929"/>
      <c r="AO424" s="2929"/>
      <c r="AP424" s="2929"/>
      <c r="AQ424" s="2929"/>
      <c r="AR424" s="2929"/>
      <c r="AS424" s="2929"/>
      <c r="AT424" s="2949"/>
      <c r="AU424" s="2950"/>
      <c r="AV424" s="454">
        <f t="shared" si="269"/>
        <v>0</v>
      </c>
      <c r="AW424" s="454">
        <f t="shared" si="270"/>
        <v>0</v>
      </c>
      <c r="AX424" s="454">
        <f t="shared" si="271"/>
        <v>0</v>
      </c>
      <c r="AY424" s="2966">
        <f t="shared" si="272"/>
        <v>0</v>
      </c>
      <c r="AZ424" s="2897">
        <f t="shared" si="273"/>
        <v>0</v>
      </c>
      <c r="BA424" s="2897">
        <f t="shared" si="274"/>
        <v>0</v>
      </c>
      <c r="BB424" s="2897">
        <f t="shared" si="275"/>
        <v>0</v>
      </c>
      <c r="BC424" s="2897">
        <f t="shared" si="276"/>
        <v>0</v>
      </c>
      <c r="BD424" s="2897">
        <f t="shared" si="277"/>
        <v>0</v>
      </c>
      <c r="BE424" s="2897">
        <f t="shared" si="278"/>
        <v>0</v>
      </c>
      <c r="BF424" s="2897">
        <f t="shared" si="279"/>
        <v>0</v>
      </c>
      <c r="BG424" s="2897">
        <f t="shared" si="280"/>
        <v>0</v>
      </c>
      <c r="BH424" s="2897">
        <f t="shared" si="281"/>
        <v>0</v>
      </c>
      <c r="BI424" s="2897">
        <f t="shared" si="282"/>
        <v>0</v>
      </c>
      <c r="BJ424" s="2897">
        <f t="shared" si="283"/>
        <v>0</v>
      </c>
      <c r="BK424" s="2897">
        <f t="shared" si="284"/>
        <v>0</v>
      </c>
      <c r="BL424" s="2897">
        <f t="shared" si="285"/>
        <v>0</v>
      </c>
      <c r="BM424" s="2897">
        <f t="shared" si="286"/>
        <v>0</v>
      </c>
      <c r="BN424" s="2897">
        <f t="shared" si="287"/>
        <v>0</v>
      </c>
      <c r="BO424" s="2897">
        <f t="shared" si="288"/>
        <v>0</v>
      </c>
      <c r="BP424" s="2897">
        <f t="shared" si="289"/>
        <v>0</v>
      </c>
      <c r="BQ424" s="2897">
        <f t="shared" si="290"/>
        <v>0</v>
      </c>
      <c r="BR424" s="2897">
        <f t="shared" si="291"/>
        <v>0</v>
      </c>
      <c r="BS424" s="2897">
        <f t="shared" si="292"/>
        <v>0</v>
      </c>
      <c r="BT424" s="2971">
        <f t="shared" si="293"/>
        <v>0</v>
      </c>
    </row>
    <row r="425" spans="1:72">
      <c r="A425" s="2894"/>
      <c r="B425" s="2895"/>
      <c r="C425" s="2895"/>
      <c r="D425" s="2907"/>
      <c r="E425" s="2897">
        <f t="shared" si="265"/>
        <v>0</v>
      </c>
      <c r="F425" s="2898"/>
      <c r="G425" s="2899">
        <f t="shared" si="266"/>
        <v>0</v>
      </c>
      <c r="H425" s="2900">
        <f t="shared" si="267"/>
        <v>0</v>
      </c>
      <c r="I425" s="2918"/>
      <c r="J425" s="2918"/>
      <c r="K425" s="2918"/>
      <c r="L425" s="2918"/>
      <c r="M425" s="2918"/>
      <c r="N425" s="2918"/>
      <c r="O425" s="2918"/>
      <c r="P425" s="2918"/>
      <c r="Q425" s="2918"/>
      <c r="R425" s="2918"/>
      <c r="S425" s="2918"/>
      <c r="T425" s="2918"/>
      <c r="U425" s="2918"/>
      <c r="V425" s="2918"/>
      <c r="W425" s="2918"/>
      <c r="X425" s="2918"/>
      <c r="Y425" s="2918"/>
      <c r="Z425" s="2918"/>
      <c r="AA425" s="2918"/>
      <c r="AB425" s="2918"/>
      <c r="AC425" s="2897">
        <f t="shared" si="268"/>
        <v>0</v>
      </c>
      <c r="AD425" s="2929"/>
      <c r="AE425" s="2929"/>
      <c r="AF425" s="2929"/>
      <c r="AG425" s="2929"/>
      <c r="AH425" s="2929"/>
      <c r="AI425" s="2929"/>
      <c r="AJ425" s="2929"/>
      <c r="AK425" s="2929"/>
      <c r="AL425" s="2929"/>
      <c r="AM425" s="2929"/>
      <c r="AN425" s="2929"/>
      <c r="AO425" s="2929"/>
      <c r="AP425" s="2929"/>
      <c r="AQ425" s="2929"/>
      <c r="AR425" s="2929"/>
      <c r="AS425" s="2929"/>
      <c r="AT425" s="2949"/>
      <c r="AU425" s="2950"/>
      <c r="AV425" s="454">
        <f t="shared" si="269"/>
        <v>0</v>
      </c>
      <c r="AW425" s="454">
        <f t="shared" si="270"/>
        <v>0</v>
      </c>
      <c r="AX425" s="454">
        <f t="shared" si="271"/>
        <v>0</v>
      </c>
      <c r="AY425" s="2966">
        <f t="shared" si="272"/>
        <v>0</v>
      </c>
      <c r="AZ425" s="2897">
        <f t="shared" si="273"/>
        <v>0</v>
      </c>
      <c r="BA425" s="2897">
        <f t="shared" si="274"/>
        <v>0</v>
      </c>
      <c r="BB425" s="2897">
        <f t="shared" si="275"/>
        <v>0</v>
      </c>
      <c r="BC425" s="2897">
        <f t="shared" si="276"/>
        <v>0</v>
      </c>
      <c r="BD425" s="2897">
        <f t="shared" si="277"/>
        <v>0</v>
      </c>
      <c r="BE425" s="2897">
        <f t="shared" si="278"/>
        <v>0</v>
      </c>
      <c r="BF425" s="2897">
        <f t="shared" si="279"/>
        <v>0</v>
      </c>
      <c r="BG425" s="2897">
        <f t="shared" si="280"/>
        <v>0</v>
      </c>
      <c r="BH425" s="2897">
        <f t="shared" si="281"/>
        <v>0</v>
      </c>
      <c r="BI425" s="2897">
        <f t="shared" si="282"/>
        <v>0</v>
      </c>
      <c r="BJ425" s="2897">
        <f t="shared" si="283"/>
        <v>0</v>
      </c>
      <c r="BK425" s="2897">
        <f t="shared" si="284"/>
        <v>0</v>
      </c>
      <c r="BL425" s="2897">
        <f t="shared" si="285"/>
        <v>0</v>
      </c>
      <c r="BM425" s="2897">
        <f t="shared" si="286"/>
        <v>0</v>
      </c>
      <c r="BN425" s="2897">
        <f t="shared" si="287"/>
        <v>0</v>
      </c>
      <c r="BO425" s="2897">
        <f t="shared" si="288"/>
        <v>0</v>
      </c>
      <c r="BP425" s="2897">
        <f t="shared" si="289"/>
        <v>0</v>
      </c>
      <c r="BQ425" s="2897">
        <f t="shared" si="290"/>
        <v>0</v>
      </c>
      <c r="BR425" s="2897">
        <f t="shared" si="291"/>
        <v>0</v>
      </c>
      <c r="BS425" s="2897">
        <f t="shared" si="292"/>
        <v>0</v>
      </c>
      <c r="BT425" s="2971">
        <f t="shared" si="293"/>
        <v>0</v>
      </c>
    </row>
    <row r="426" spans="1:72">
      <c r="A426" s="2894"/>
      <c r="B426" s="2895"/>
      <c r="C426" s="2895"/>
      <c r="D426" s="2907"/>
      <c r="E426" s="2897">
        <f t="shared" si="265"/>
        <v>0</v>
      </c>
      <c r="F426" s="2898"/>
      <c r="G426" s="2899">
        <f t="shared" si="266"/>
        <v>0</v>
      </c>
      <c r="H426" s="2900">
        <f t="shared" si="267"/>
        <v>0</v>
      </c>
      <c r="I426" s="2918"/>
      <c r="J426" s="2918"/>
      <c r="K426" s="2918"/>
      <c r="L426" s="2918"/>
      <c r="M426" s="2918"/>
      <c r="N426" s="2918"/>
      <c r="O426" s="2918"/>
      <c r="P426" s="2918"/>
      <c r="Q426" s="2918"/>
      <c r="R426" s="2918"/>
      <c r="S426" s="2918"/>
      <c r="T426" s="2918"/>
      <c r="U426" s="2918"/>
      <c r="V426" s="2918"/>
      <c r="W426" s="2918"/>
      <c r="X426" s="2918"/>
      <c r="Y426" s="2918"/>
      <c r="Z426" s="2918"/>
      <c r="AA426" s="2918"/>
      <c r="AB426" s="2918"/>
      <c r="AC426" s="2897">
        <f t="shared" si="268"/>
        <v>0</v>
      </c>
      <c r="AD426" s="2929"/>
      <c r="AE426" s="2929"/>
      <c r="AF426" s="2929"/>
      <c r="AG426" s="2929"/>
      <c r="AH426" s="2929"/>
      <c r="AI426" s="2929"/>
      <c r="AJ426" s="2929"/>
      <c r="AK426" s="2929"/>
      <c r="AL426" s="2929"/>
      <c r="AM426" s="2929"/>
      <c r="AN426" s="2929"/>
      <c r="AO426" s="2929"/>
      <c r="AP426" s="2929"/>
      <c r="AQ426" s="2929"/>
      <c r="AR426" s="2929"/>
      <c r="AS426" s="2929"/>
      <c r="AT426" s="2949"/>
      <c r="AU426" s="2950"/>
      <c r="AV426" s="454">
        <f t="shared" si="269"/>
        <v>0</v>
      </c>
      <c r="AW426" s="454">
        <f t="shared" si="270"/>
        <v>0</v>
      </c>
      <c r="AX426" s="454">
        <f t="shared" si="271"/>
        <v>0</v>
      </c>
      <c r="AY426" s="2966">
        <f t="shared" si="272"/>
        <v>0</v>
      </c>
      <c r="AZ426" s="2897">
        <f t="shared" si="273"/>
        <v>0</v>
      </c>
      <c r="BA426" s="2897">
        <f t="shared" si="274"/>
        <v>0</v>
      </c>
      <c r="BB426" s="2897">
        <f t="shared" si="275"/>
        <v>0</v>
      </c>
      <c r="BC426" s="2897">
        <f t="shared" si="276"/>
        <v>0</v>
      </c>
      <c r="BD426" s="2897">
        <f t="shared" si="277"/>
        <v>0</v>
      </c>
      <c r="BE426" s="2897">
        <f t="shared" si="278"/>
        <v>0</v>
      </c>
      <c r="BF426" s="2897">
        <f t="shared" si="279"/>
        <v>0</v>
      </c>
      <c r="BG426" s="2897">
        <f t="shared" si="280"/>
        <v>0</v>
      </c>
      <c r="BH426" s="2897">
        <f t="shared" si="281"/>
        <v>0</v>
      </c>
      <c r="BI426" s="2897">
        <f t="shared" si="282"/>
        <v>0</v>
      </c>
      <c r="BJ426" s="2897">
        <f t="shared" si="283"/>
        <v>0</v>
      </c>
      <c r="BK426" s="2897">
        <f t="shared" si="284"/>
        <v>0</v>
      </c>
      <c r="BL426" s="2897">
        <f t="shared" si="285"/>
        <v>0</v>
      </c>
      <c r="BM426" s="2897">
        <f t="shared" si="286"/>
        <v>0</v>
      </c>
      <c r="BN426" s="2897">
        <f t="shared" si="287"/>
        <v>0</v>
      </c>
      <c r="BO426" s="2897">
        <f t="shared" si="288"/>
        <v>0</v>
      </c>
      <c r="BP426" s="2897">
        <f t="shared" si="289"/>
        <v>0</v>
      </c>
      <c r="BQ426" s="2897">
        <f t="shared" si="290"/>
        <v>0</v>
      </c>
      <c r="BR426" s="2897">
        <f t="shared" si="291"/>
        <v>0</v>
      </c>
      <c r="BS426" s="2897">
        <f t="shared" si="292"/>
        <v>0</v>
      </c>
      <c r="BT426" s="2971">
        <f t="shared" si="293"/>
        <v>0</v>
      </c>
    </row>
    <row r="427" spans="1:72">
      <c r="A427" s="2894"/>
      <c r="B427" s="2895"/>
      <c r="C427" s="2895"/>
      <c r="D427" s="2907"/>
      <c r="E427" s="2897">
        <f t="shared" si="265"/>
        <v>0</v>
      </c>
      <c r="F427" s="2898"/>
      <c r="G427" s="2899">
        <f t="shared" si="266"/>
        <v>0</v>
      </c>
      <c r="H427" s="2900">
        <f t="shared" si="267"/>
        <v>0</v>
      </c>
      <c r="I427" s="2918"/>
      <c r="J427" s="2918"/>
      <c r="K427" s="2918"/>
      <c r="L427" s="2918"/>
      <c r="M427" s="2918"/>
      <c r="N427" s="2918"/>
      <c r="O427" s="2918"/>
      <c r="P427" s="2918"/>
      <c r="Q427" s="2918"/>
      <c r="R427" s="2918"/>
      <c r="S427" s="2918"/>
      <c r="T427" s="2918"/>
      <c r="U427" s="2918"/>
      <c r="V427" s="2918"/>
      <c r="W427" s="2918"/>
      <c r="X427" s="2918"/>
      <c r="Y427" s="2918"/>
      <c r="Z427" s="2918"/>
      <c r="AA427" s="2918"/>
      <c r="AB427" s="2918"/>
      <c r="AC427" s="2897">
        <f t="shared" si="268"/>
        <v>0</v>
      </c>
      <c r="AD427" s="2929"/>
      <c r="AE427" s="2929"/>
      <c r="AF427" s="2929"/>
      <c r="AG427" s="2929"/>
      <c r="AH427" s="2929"/>
      <c r="AI427" s="2929"/>
      <c r="AJ427" s="2929"/>
      <c r="AK427" s="2929"/>
      <c r="AL427" s="2929"/>
      <c r="AM427" s="2929"/>
      <c r="AN427" s="2929"/>
      <c r="AO427" s="2929"/>
      <c r="AP427" s="2929"/>
      <c r="AQ427" s="2929"/>
      <c r="AR427" s="2929"/>
      <c r="AS427" s="2929"/>
      <c r="AT427" s="2949"/>
      <c r="AU427" s="2950"/>
      <c r="AV427" s="454">
        <f t="shared" si="269"/>
        <v>0</v>
      </c>
      <c r="AW427" s="454">
        <f t="shared" si="270"/>
        <v>0</v>
      </c>
      <c r="AX427" s="454">
        <f t="shared" si="271"/>
        <v>0</v>
      </c>
      <c r="AY427" s="2966">
        <f t="shared" si="272"/>
        <v>0</v>
      </c>
      <c r="AZ427" s="2897">
        <f t="shared" si="273"/>
        <v>0</v>
      </c>
      <c r="BA427" s="2897">
        <f t="shared" si="274"/>
        <v>0</v>
      </c>
      <c r="BB427" s="2897">
        <f t="shared" si="275"/>
        <v>0</v>
      </c>
      <c r="BC427" s="2897">
        <f t="shared" si="276"/>
        <v>0</v>
      </c>
      <c r="BD427" s="2897">
        <f t="shared" si="277"/>
        <v>0</v>
      </c>
      <c r="BE427" s="2897">
        <f t="shared" si="278"/>
        <v>0</v>
      </c>
      <c r="BF427" s="2897">
        <f t="shared" si="279"/>
        <v>0</v>
      </c>
      <c r="BG427" s="2897">
        <f t="shared" si="280"/>
        <v>0</v>
      </c>
      <c r="BH427" s="2897">
        <f t="shared" si="281"/>
        <v>0</v>
      </c>
      <c r="BI427" s="2897">
        <f t="shared" si="282"/>
        <v>0</v>
      </c>
      <c r="BJ427" s="2897">
        <f t="shared" si="283"/>
        <v>0</v>
      </c>
      <c r="BK427" s="2897">
        <f t="shared" si="284"/>
        <v>0</v>
      </c>
      <c r="BL427" s="2897">
        <f t="shared" si="285"/>
        <v>0</v>
      </c>
      <c r="BM427" s="2897">
        <f t="shared" si="286"/>
        <v>0</v>
      </c>
      <c r="BN427" s="2897">
        <f t="shared" si="287"/>
        <v>0</v>
      </c>
      <c r="BO427" s="2897">
        <f t="shared" si="288"/>
        <v>0</v>
      </c>
      <c r="BP427" s="2897">
        <f t="shared" si="289"/>
        <v>0</v>
      </c>
      <c r="BQ427" s="2897">
        <f t="shared" si="290"/>
        <v>0</v>
      </c>
      <c r="BR427" s="2897">
        <f t="shared" si="291"/>
        <v>0</v>
      </c>
      <c r="BS427" s="2897">
        <f t="shared" si="292"/>
        <v>0</v>
      </c>
      <c r="BT427" s="2971">
        <f t="shared" si="293"/>
        <v>0</v>
      </c>
    </row>
    <row r="428" spans="1:72">
      <c r="A428" s="2894"/>
      <c r="B428" s="2895"/>
      <c r="C428" s="2895"/>
      <c r="D428" s="2907"/>
      <c r="E428" s="2897">
        <f t="shared" si="265"/>
        <v>0</v>
      </c>
      <c r="F428" s="2898"/>
      <c r="G428" s="2899">
        <f t="shared" si="266"/>
        <v>0</v>
      </c>
      <c r="H428" s="2900">
        <f t="shared" si="267"/>
        <v>0</v>
      </c>
      <c r="I428" s="2918"/>
      <c r="J428" s="2918"/>
      <c r="K428" s="2918"/>
      <c r="L428" s="2918"/>
      <c r="M428" s="2918"/>
      <c r="N428" s="2918"/>
      <c r="O428" s="2918"/>
      <c r="P428" s="2918"/>
      <c r="Q428" s="2918"/>
      <c r="R428" s="2918"/>
      <c r="S428" s="2918"/>
      <c r="T428" s="2918"/>
      <c r="U428" s="2918"/>
      <c r="V428" s="2918"/>
      <c r="W428" s="2918"/>
      <c r="X428" s="2918"/>
      <c r="Y428" s="2918"/>
      <c r="Z428" s="2918"/>
      <c r="AA428" s="2918"/>
      <c r="AB428" s="2918"/>
      <c r="AC428" s="2897">
        <f t="shared" si="268"/>
        <v>0</v>
      </c>
      <c r="AD428" s="2929"/>
      <c r="AE428" s="2929"/>
      <c r="AF428" s="2929"/>
      <c r="AG428" s="2929"/>
      <c r="AH428" s="2929"/>
      <c r="AI428" s="2929"/>
      <c r="AJ428" s="2929"/>
      <c r="AK428" s="2929"/>
      <c r="AL428" s="2929"/>
      <c r="AM428" s="2929"/>
      <c r="AN428" s="2929"/>
      <c r="AO428" s="2929"/>
      <c r="AP428" s="2929"/>
      <c r="AQ428" s="2929"/>
      <c r="AR428" s="2929"/>
      <c r="AS428" s="2929"/>
      <c r="AT428" s="2949"/>
      <c r="AU428" s="2950"/>
      <c r="AV428" s="454">
        <f t="shared" si="269"/>
        <v>0</v>
      </c>
      <c r="AW428" s="454">
        <f t="shared" si="270"/>
        <v>0</v>
      </c>
      <c r="AX428" s="454">
        <f t="shared" si="271"/>
        <v>0</v>
      </c>
      <c r="AY428" s="2966">
        <f t="shared" si="272"/>
        <v>0</v>
      </c>
      <c r="AZ428" s="2897">
        <f t="shared" si="273"/>
        <v>0</v>
      </c>
      <c r="BA428" s="2897">
        <f t="shared" si="274"/>
        <v>0</v>
      </c>
      <c r="BB428" s="2897">
        <f t="shared" si="275"/>
        <v>0</v>
      </c>
      <c r="BC428" s="2897">
        <f t="shared" si="276"/>
        <v>0</v>
      </c>
      <c r="BD428" s="2897">
        <f t="shared" si="277"/>
        <v>0</v>
      </c>
      <c r="BE428" s="2897">
        <f t="shared" si="278"/>
        <v>0</v>
      </c>
      <c r="BF428" s="2897">
        <f t="shared" si="279"/>
        <v>0</v>
      </c>
      <c r="BG428" s="2897">
        <f t="shared" si="280"/>
        <v>0</v>
      </c>
      <c r="BH428" s="2897">
        <f t="shared" si="281"/>
        <v>0</v>
      </c>
      <c r="BI428" s="2897">
        <f t="shared" si="282"/>
        <v>0</v>
      </c>
      <c r="BJ428" s="2897">
        <f t="shared" si="283"/>
        <v>0</v>
      </c>
      <c r="BK428" s="2897">
        <f t="shared" si="284"/>
        <v>0</v>
      </c>
      <c r="BL428" s="2897">
        <f t="shared" si="285"/>
        <v>0</v>
      </c>
      <c r="BM428" s="2897">
        <f t="shared" si="286"/>
        <v>0</v>
      </c>
      <c r="BN428" s="2897">
        <f t="shared" si="287"/>
        <v>0</v>
      </c>
      <c r="BO428" s="2897">
        <f t="shared" si="288"/>
        <v>0</v>
      </c>
      <c r="BP428" s="2897">
        <f t="shared" si="289"/>
        <v>0</v>
      </c>
      <c r="BQ428" s="2897">
        <f t="shared" si="290"/>
        <v>0</v>
      </c>
      <c r="BR428" s="2897">
        <f t="shared" si="291"/>
        <v>0</v>
      </c>
      <c r="BS428" s="2897">
        <f t="shared" si="292"/>
        <v>0</v>
      </c>
      <c r="BT428" s="2971">
        <f t="shared" si="293"/>
        <v>0</v>
      </c>
    </row>
    <row r="429" spans="1:72">
      <c r="A429" s="2894"/>
      <c r="B429" s="2895"/>
      <c r="C429" s="2895"/>
      <c r="D429" s="2907"/>
      <c r="E429" s="2897">
        <f t="shared" si="265"/>
        <v>0</v>
      </c>
      <c r="F429" s="2898"/>
      <c r="G429" s="2899">
        <f t="shared" si="266"/>
        <v>0</v>
      </c>
      <c r="H429" s="2900">
        <f t="shared" si="267"/>
        <v>0</v>
      </c>
      <c r="I429" s="2918"/>
      <c r="J429" s="2918"/>
      <c r="K429" s="2918"/>
      <c r="L429" s="2918"/>
      <c r="M429" s="2918"/>
      <c r="N429" s="2918"/>
      <c r="O429" s="2918"/>
      <c r="P429" s="2918"/>
      <c r="Q429" s="2918"/>
      <c r="R429" s="2918"/>
      <c r="S429" s="2918"/>
      <c r="T429" s="2918"/>
      <c r="U429" s="2918"/>
      <c r="V429" s="2918"/>
      <c r="W429" s="2918"/>
      <c r="X429" s="2918"/>
      <c r="Y429" s="2918"/>
      <c r="Z429" s="2918"/>
      <c r="AA429" s="2918"/>
      <c r="AB429" s="2918"/>
      <c r="AC429" s="2897">
        <f t="shared" si="268"/>
        <v>0</v>
      </c>
      <c r="AD429" s="2929"/>
      <c r="AE429" s="2929"/>
      <c r="AF429" s="2929"/>
      <c r="AG429" s="2929"/>
      <c r="AH429" s="2929"/>
      <c r="AI429" s="2929"/>
      <c r="AJ429" s="2929"/>
      <c r="AK429" s="2929"/>
      <c r="AL429" s="2929"/>
      <c r="AM429" s="2929"/>
      <c r="AN429" s="2929"/>
      <c r="AO429" s="2929"/>
      <c r="AP429" s="2929"/>
      <c r="AQ429" s="2929"/>
      <c r="AR429" s="2929"/>
      <c r="AS429" s="2929"/>
      <c r="AT429" s="2949"/>
      <c r="AU429" s="2950"/>
      <c r="AV429" s="454">
        <f t="shared" si="269"/>
        <v>0</v>
      </c>
      <c r="AW429" s="454">
        <f t="shared" si="270"/>
        <v>0</v>
      </c>
      <c r="AX429" s="454">
        <f t="shared" si="271"/>
        <v>0</v>
      </c>
      <c r="AY429" s="2966">
        <f t="shared" si="272"/>
        <v>0</v>
      </c>
      <c r="AZ429" s="2897">
        <f t="shared" si="273"/>
        <v>0</v>
      </c>
      <c r="BA429" s="2897">
        <f t="shared" si="274"/>
        <v>0</v>
      </c>
      <c r="BB429" s="2897">
        <f t="shared" si="275"/>
        <v>0</v>
      </c>
      <c r="BC429" s="2897">
        <f t="shared" si="276"/>
        <v>0</v>
      </c>
      <c r="BD429" s="2897">
        <f t="shared" si="277"/>
        <v>0</v>
      </c>
      <c r="BE429" s="2897">
        <f t="shared" si="278"/>
        <v>0</v>
      </c>
      <c r="BF429" s="2897">
        <f t="shared" si="279"/>
        <v>0</v>
      </c>
      <c r="BG429" s="2897">
        <f t="shared" si="280"/>
        <v>0</v>
      </c>
      <c r="BH429" s="2897">
        <f t="shared" si="281"/>
        <v>0</v>
      </c>
      <c r="BI429" s="2897">
        <f t="shared" si="282"/>
        <v>0</v>
      </c>
      <c r="BJ429" s="2897">
        <f t="shared" si="283"/>
        <v>0</v>
      </c>
      <c r="BK429" s="2897">
        <f t="shared" si="284"/>
        <v>0</v>
      </c>
      <c r="BL429" s="2897">
        <f t="shared" si="285"/>
        <v>0</v>
      </c>
      <c r="BM429" s="2897">
        <f t="shared" si="286"/>
        <v>0</v>
      </c>
      <c r="BN429" s="2897">
        <f t="shared" si="287"/>
        <v>0</v>
      </c>
      <c r="BO429" s="2897">
        <f t="shared" si="288"/>
        <v>0</v>
      </c>
      <c r="BP429" s="2897">
        <f t="shared" si="289"/>
        <v>0</v>
      </c>
      <c r="BQ429" s="2897">
        <f t="shared" si="290"/>
        <v>0</v>
      </c>
      <c r="BR429" s="2897">
        <f t="shared" si="291"/>
        <v>0</v>
      </c>
      <c r="BS429" s="2897">
        <f t="shared" si="292"/>
        <v>0</v>
      </c>
      <c r="BT429" s="2971">
        <f t="shared" si="293"/>
        <v>0</v>
      </c>
    </row>
    <row r="430" spans="1:72">
      <c r="A430" s="2894"/>
      <c r="B430" s="2895"/>
      <c r="C430" s="2895"/>
      <c r="D430" s="2907"/>
      <c r="E430" s="2897">
        <f t="shared" si="265"/>
        <v>0</v>
      </c>
      <c r="F430" s="2898"/>
      <c r="G430" s="2899">
        <f t="shared" si="266"/>
        <v>0</v>
      </c>
      <c r="H430" s="2900">
        <f t="shared" si="267"/>
        <v>0</v>
      </c>
      <c r="I430" s="2918"/>
      <c r="J430" s="2918"/>
      <c r="K430" s="2918"/>
      <c r="L430" s="2918"/>
      <c r="M430" s="2918"/>
      <c r="N430" s="2918"/>
      <c r="O430" s="2918"/>
      <c r="P430" s="2918"/>
      <c r="Q430" s="2918"/>
      <c r="R430" s="2918"/>
      <c r="S430" s="2918"/>
      <c r="T430" s="2918"/>
      <c r="U430" s="2918"/>
      <c r="V430" s="2918"/>
      <c r="W430" s="2918"/>
      <c r="X430" s="2918"/>
      <c r="Y430" s="2918"/>
      <c r="Z430" s="2918"/>
      <c r="AA430" s="2918"/>
      <c r="AB430" s="2918"/>
      <c r="AC430" s="2897">
        <f t="shared" si="268"/>
        <v>0</v>
      </c>
      <c r="AD430" s="2929"/>
      <c r="AE430" s="2929"/>
      <c r="AF430" s="2929"/>
      <c r="AG430" s="2929"/>
      <c r="AH430" s="2929"/>
      <c r="AI430" s="2929"/>
      <c r="AJ430" s="2929"/>
      <c r="AK430" s="2929"/>
      <c r="AL430" s="2929"/>
      <c r="AM430" s="2929"/>
      <c r="AN430" s="2929"/>
      <c r="AO430" s="2929"/>
      <c r="AP430" s="2929"/>
      <c r="AQ430" s="2929"/>
      <c r="AR430" s="2929"/>
      <c r="AS430" s="2929"/>
      <c r="AT430" s="2949"/>
      <c r="AU430" s="2950"/>
      <c r="AV430" s="454">
        <f t="shared" si="269"/>
        <v>0</v>
      </c>
      <c r="AW430" s="454">
        <f t="shared" si="270"/>
        <v>0</v>
      </c>
      <c r="AX430" s="454">
        <f t="shared" si="271"/>
        <v>0</v>
      </c>
      <c r="AY430" s="2966">
        <f t="shared" si="272"/>
        <v>0</v>
      </c>
      <c r="AZ430" s="2897">
        <f t="shared" si="273"/>
        <v>0</v>
      </c>
      <c r="BA430" s="2897">
        <f t="shared" si="274"/>
        <v>0</v>
      </c>
      <c r="BB430" s="2897">
        <f t="shared" si="275"/>
        <v>0</v>
      </c>
      <c r="BC430" s="2897">
        <f t="shared" si="276"/>
        <v>0</v>
      </c>
      <c r="BD430" s="2897">
        <f t="shared" si="277"/>
        <v>0</v>
      </c>
      <c r="BE430" s="2897">
        <f t="shared" si="278"/>
        <v>0</v>
      </c>
      <c r="BF430" s="2897">
        <f t="shared" si="279"/>
        <v>0</v>
      </c>
      <c r="BG430" s="2897">
        <f t="shared" si="280"/>
        <v>0</v>
      </c>
      <c r="BH430" s="2897">
        <f t="shared" si="281"/>
        <v>0</v>
      </c>
      <c r="BI430" s="2897">
        <f t="shared" si="282"/>
        <v>0</v>
      </c>
      <c r="BJ430" s="2897">
        <f t="shared" si="283"/>
        <v>0</v>
      </c>
      <c r="BK430" s="2897">
        <f t="shared" si="284"/>
        <v>0</v>
      </c>
      <c r="BL430" s="2897">
        <f t="shared" si="285"/>
        <v>0</v>
      </c>
      <c r="BM430" s="2897">
        <f t="shared" si="286"/>
        <v>0</v>
      </c>
      <c r="BN430" s="2897">
        <f t="shared" si="287"/>
        <v>0</v>
      </c>
      <c r="BO430" s="2897">
        <f t="shared" si="288"/>
        <v>0</v>
      </c>
      <c r="BP430" s="2897">
        <f t="shared" si="289"/>
        <v>0</v>
      </c>
      <c r="BQ430" s="2897">
        <f t="shared" si="290"/>
        <v>0</v>
      </c>
      <c r="BR430" s="2897">
        <f t="shared" si="291"/>
        <v>0</v>
      </c>
      <c r="BS430" s="2897">
        <f t="shared" si="292"/>
        <v>0</v>
      </c>
      <c r="BT430" s="2971">
        <f t="shared" si="293"/>
        <v>0</v>
      </c>
    </row>
    <row r="431" spans="1:72">
      <c r="A431" s="2894"/>
      <c r="B431" s="2895"/>
      <c r="C431" s="2895"/>
      <c r="D431" s="2907"/>
      <c r="E431" s="2897">
        <f t="shared" si="265"/>
        <v>0</v>
      </c>
      <c r="F431" s="2898"/>
      <c r="G431" s="2899">
        <f t="shared" si="266"/>
        <v>0</v>
      </c>
      <c r="H431" s="2900">
        <f t="shared" si="267"/>
        <v>0</v>
      </c>
      <c r="I431" s="2918"/>
      <c r="J431" s="2918"/>
      <c r="K431" s="2918"/>
      <c r="L431" s="2918"/>
      <c r="M431" s="2918"/>
      <c r="N431" s="2918"/>
      <c r="O431" s="2918"/>
      <c r="P431" s="2918"/>
      <c r="Q431" s="2918"/>
      <c r="R431" s="2918"/>
      <c r="S431" s="2918"/>
      <c r="T431" s="2918"/>
      <c r="U431" s="2918"/>
      <c r="V431" s="2918"/>
      <c r="W431" s="2918"/>
      <c r="X431" s="2918"/>
      <c r="Y431" s="2918"/>
      <c r="Z431" s="2918"/>
      <c r="AA431" s="2918"/>
      <c r="AB431" s="2918"/>
      <c r="AC431" s="2897">
        <f t="shared" si="268"/>
        <v>0</v>
      </c>
      <c r="AD431" s="2929"/>
      <c r="AE431" s="2929"/>
      <c r="AF431" s="2929"/>
      <c r="AG431" s="2929"/>
      <c r="AH431" s="2929"/>
      <c r="AI431" s="2929"/>
      <c r="AJ431" s="2929"/>
      <c r="AK431" s="2929"/>
      <c r="AL431" s="2929"/>
      <c r="AM431" s="2929"/>
      <c r="AN431" s="2929"/>
      <c r="AO431" s="2929"/>
      <c r="AP431" s="2929"/>
      <c r="AQ431" s="2929"/>
      <c r="AR431" s="2929"/>
      <c r="AS431" s="2929"/>
      <c r="AT431" s="2949"/>
      <c r="AU431" s="2950"/>
      <c r="AV431" s="454">
        <f t="shared" si="269"/>
        <v>0</v>
      </c>
      <c r="AW431" s="454">
        <f t="shared" si="270"/>
        <v>0</v>
      </c>
      <c r="AX431" s="454">
        <f t="shared" si="271"/>
        <v>0</v>
      </c>
      <c r="AY431" s="2966">
        <f t="shared" si="272"/>
        <v>0</v>
      </c>
      <c r="AZ431" s="2897">
        <f t="shared" si="273"/>
        <v>0</v>
      </c>
      <c r="BA431" s="2897">
        <f t="shared" si="274"/>
        <v>0</v>
      </c>
      <c r="BB431" s="2897">
        <f t="shared" si="275"/>
        <v>0</v>
      </c>
      <c r="BC431" s="2897">
        <f t="shared" si="276"/>
        <v>0</v>
      </c>
      <c r="BD431" s="2897">
        <f t="shared" si="277"/>
        <v>0</v>
      </c>
      <c r="BE431" s="2897">
        <f t="shared" si="278"/>
        <v>0</v>
      </c>
      <c r="BF431" s="2897">
        <f t="shared" si="279"/>
        <v>0</v>
      </c>
      <c r="BG431" s="2897">
        <f t="shared" si="280"/>
        <v>0</v>
      </c>
      <c r="BH431" s="2897">
        <f t="shared" si="281"/>
        <v>0</v>
      </c>
      <c r="BI431" s="2897">
        <f t="shared" si="282"/>
        <v>0</v>
      </c>
      <c r="BJ431" s="2897">
        <f t="shared" si="283"/>
        <v>0</v>
      </c>
      <c r="BK431" s="2897">
        <f t="shared" si="284"/>
        <v>0</v>
      </c>
      <c r="BL431" s="2897">
        <f t="shared" si="285"/>
        <v>0</v>
      </c>
      <c r="BM431" s="2897">
        <f t="shared" si="286"/>
        <v>0</v>
      </c>
      <c r="BN431" s="2897">
        <f t="shared" si="287"/>
        <v>0</v>
      </c>
      <c r="BO431" s="2897">
        <f t="shared" si="288"/>
        <v>0</v>
      </c>
      <c r="BP431" s="2897">
        <f t="shared" si="289"/>
        <v>0</v>
      </c>
      <c r="BQ431" s="2897">
        <f t="shared" si="290"/>
        <v>0</v>
      </c>
      <c r="BR431" s="2897">
        <f t="shared" si="291"/>
        <v>0</v>
      </c>
      <c r="BS431" s="2897">
        <f t="shared" si="292"/>
        <v>0</v>
      </c>
      <c r="BT431" s="2971">
        <f t="shared" si="293"/>
        <v>0</v>
      </c>
    </row>
    <row r="432" spans="1:72">
      <c r="A432" s="2894"/>
      <c r="B432" s="2895"/>
      <c r="C432" s="2895"/>
      <c r="D432" s="2907"/>
      <c r="E432" s="2897">
        <f t="shared" si="265"/>
        <v>0</v>
      </c>
      <c r="F432" s="2898"/>
      <c r="G432" s="2899">
        <f t="shared" si="266"/>
        <v>0</v>
      </c>
      <c r="H432" s="2900">
        <f t="shared" si="267"/>
        <v>0</v>
      </c>
      <c r="I432" s="2918"/>
      <c r="J432" s="2918"/>
      <c r="K432" s="2918"/>
      <c r="L432" s="2918"/>
      <c r="M432" s="2918"/>
      <c r="N432" s="2918"/>
      <c r="O432" s="2918"/>
      <c r="P432" s="2918"/>
      <c r="Q432" s="2918"/>
      <c r="R432" s="2918"/>
      <c r="S432" s="2918"/>
      <c r="T432" s="2918"/>
      <c r="U432" s="2918"/>
      <c r="V432" s="2918"/>
      <c r="W432" s="2918"/>
      <c r="X432" s="2918"/>
      <c r="Y432" s="2918"/>
      <c r="Z432" s="2918"/>
      <c r="AA432" s="2918"/>
      <c r="AB432" s="2918"/>
      <c r="AC432" s="2897">
        <f t="shared" si="268"/>
        <v>0</v>
      </c>
      <c r="AD432" s="2929"/>
      <c r="AE432" s="2929"/>
      <c r="AF432" s="2929"/>
      <c r="AG432" s="2929"/>
      <c r="AH432" s="2929"/>
      <c r="AI432" s="2929"/>
      <c r="AJ432" s="2929"/>
      <c r="AK432" s="2929"/>
      <c r="AL432" s="2929"/>
      <c r="AM432" s="2929"/>
      <c r="AN432" s="2929"/>
      <c r="AO432" s="2929"/>
      <c r="AP432" s="2929"/>
      <c r="AQ432" s="2929"/>
      <c r="AR432" s="2929"/>
      <c r="AS432" s="2929"/>
      <c r="AT432" s="2949"/>
      <c r="AU432" s="2950"/>
      <c r="AV432" s="454">
        <f t="shared" si="269"/>
        <v>0</v>
      </c>
      <c r="AW432" s="454">
        <f t="shared" si="270"/>
        <v>0</v>
      </c>
      <c r="AX432" s="454">
        <f t="shared" si="271"/>
        <v>0</v>
      </c>
      <c r="AY432" s="2966">
        <f t="shared" si="272"/>
        <v>0</v>
      </c>
      <c r="AZ432" s="2897">
        <f t="shared" si="273"/>
        <v>0</v>
      </c>
      <c r="BA432" s="2897">
        <f t="shared" si="274"/>
        <v>0</v>
      </c>
      <c r="BB432" s="2897">
        <f t="shared" si="275"/>
        <v>0</v>
      </c>
      <c r="BC432" s="2897">
        <f t="shared" si="276"/>
        <v>0</v>
      </c>
      <c r="BD432" s="2897">
        <f t="shared" si="277"/>
        <v>0</v>
      </c>
      <c r="BE432" s="2897">
        <f t="shared" si="278"/>
        <v>0</v>
      </c>
      <c r="BF432" s="2897">
        <f t="shared" si="279"/>
        <v>0</v>
      </c>
      <c r="BG432" s="2897">
        <f t="shared" si="280"/>
        <v>0</v>
      </c>
      <c r="BH432" s="2897">
        <f t="shared" si="281"/>
        <v>0</v>
      </c>
      <c r="BI432" s="2897">
        <f t="shared" si="282"/>
        <v>0</v>
      </c>
      <c r="BJ432" s="2897">
        <f t="shared" si="283"/>
        <v>0</v>
      </c>
      <c r="BK432" s="2897">
        <f t="shared" si="284"/>
        <v>0</v>
      </c>
      <c r="BL432" s="2897">
        <f t="shared" si="285"/>
        <v>0</v>
      </c>
      <c r="BM432" s="2897">
        <f t="shared" si="286"/>
        <v>0</v>
      </c>
      <c r="BN432" s="2897">
        <f t="shared" si="287"/>
        <v>0</v>
      </c>
      <c r="BO432" s="2897">
        <f t="shared" si="288"/>
        <v>0</v>
      </c>
      <c r="BP432" s="2897">
        <f t="shared" si="289"/>
        <v>0</v>
      </c>
      <c r="BQ432" s="2897">
        <f t="shared" si="290"/>
        <v>0</v>
      </c>
      <c r="BR432" s="2897">
        <f t="shared" si="291"/>
        <v>0</v>
      </c>
      <c r="BS432" s="2897">
        <f t="shared" si="292"/>
        <v>0</v>
      </c>
      <c r="BT432" s="2971">
        <f t="shared" si="293"/>
        <v>0</v>
      </c>
    </row>
    <row r="433" spans="1:72">
      <c r="A433" s="2894"/>
      <c r="B433" s="2895"/>
      <c r="C433" s="2895"/>
      <c r="D433" s="2907"/>
      <c r="E433" s="2897">
        <f t="shared" si="265"/>
        <v>0</v>
      </c>
      <c r="F433" s="2898"/>
      <c r="G433" s="2899">
        <f t="shared" si="266"/>
        <v>0</v>
      </c>
      <c r="H433" s="2900">
        <f t="shared" si="267"/>
        <v>0</v>
      </c>
      <c r="I433" s="2918"/>
      <c r="J433" s="2918"/>
      <c r="K433" s="2918"/>
      <c r="L433" s="2918"/>
      <c r="M433" s="2918"/>
      <c r="N433" s="2918"/>
      <c r="O433" s="2918"/>
      <c r="P433" s="2918"/>
      <c r="Q433" s="2918"/>
      <c r="R433" s="2918"/>
      <c r="S433" s="2918"/>
      <c r="T433" s="2918"/>
      <c r="U433" s="2918"/>
      <c r="V433" s="2918"/>
      <c r="W433" s="2918"/>
      <c r="X433" s="2918"/>
      <c r="Y433" s="2918"/>
      <c r="Z433" s="2918"/>
      <c r="AA433" s="2918"/>
      <c r="AB433" s="2918"/>
      <c r="AC433" s="2897">
        <f t="shared" si="268"/>
        <v>0</v>
      </c>
      <c r="AD433" s="2929"/>
      <c r="AE433" s="2929"/>
      <c r="AF433" s="2929"/>
      <c r="AG433" s="2929"/>
      <c r="AH433" s="2929"/>
      <c r="AI433" s="2929"/>
      <c r="AJ433" s="2929"/>
      <c r="AK433" s="2929"/>
      <c r="AL433" s="2929"/>
      <c r="AM433" s="2929"/>
      <c r="AN433" s="2929"/>
      <c r="AO433" s="2929"/>
      <c r="AP433" s="2929"/>
      <c r="AQ433" s="2929"/>
      <c r="AR433" s="2929"/>
      <c r="AS433" s="2929"/>
      <c r="AT433" s="2949"/>
      <c r="AU433" s="2950"/>
      <c r="AV433" s="454">
        <f t="shared" si="269"/>
        <v>0</v>
      </c>
      <c r="AW433" s="454">
        <f t="shared" si="270"/>
        <v>0</v>
      </c>
      <c r="AX433" s="454">
        <f t="shared" si="271"/>
        <v>0</v>
      </c>
      <c r="AY433" s="2966">
        <f t="shared" si="272"/>
        <v>0</v>
      </c>
      <c r="AZ433" s="2897">
        <f t="shared" si="273"/>
        <v>0</v>
      </c>
      <c r="BA433" s="2897">
        <f t="shared" si="274"/>
        <v>0</v>
      </c>
      <c r="BB433" s="2897">
        <f t="shared" si="275"/>
        <v>0</v>
      </c>
      <c r="BC433" s="2897">
        <f t="shared" si="276"/>
        <v>0</v>
      </c>
      <c r="BD433" s="2897">
        <f t="shared" si="277"/>
        <v>0</v>
      </c>
      <c r="BE433" s="2897">
        <f t="shared" si="278"/>
        <v>0</v>
      </c>
      <c r="BF433" s="2897">
        <f t="shared" si="279"/>
        <v>0</v>
      </c>
      <c r="BG433" s="2897">
        <f t="shared" si="280"/>
        <v>0</v>
      </c>
      <c r="BH433" s="2897">
        <f t="shared" si="281"/>
        <v>0</v>
      </c>
      <c r="BI433" s="2897">
        <f t="shared" si="282"/>
        <v>0</v>
      </c>
      <c r="BJ433" s="2897">
        <f t="shared" si="283"/>
        <v>0</v>
      </c>
      <c r="BK433" s="2897">
        <f t="shared" si="284"/>
        <v>0</v>
      </c>
      <c r="BL433" s="2897">
        <f t="shared" si="285"/>
        <v>0</v>
      </c>
      <c r="BM433" s="2897">
        <f t="shared" si="286"/>
        <v>0</v>
      </c>
      <c r="BN433" s="2897">
        <f t="shared" si="287"/>
        <v>0</v>
      </c>
      <c r="BO433" s="2897">
        <f t="shared" si="288"/>
        <v>0</v>
      </c>
      <c r="BP433" s="2897">
        <f t="shared" si="289"/>
        <v>0</v>
      </c>
      <c r="BQ433" s="2897">
        <f t="shared" si="290"/>
        <v>0</v>
      </c>
      <c r="BR433" s="2897">
        <f t="shared" si="291"/>
        <v>0</v>
      </c>
      <c r="BS433" s="2897">
        <f t="shared" si="292"/>
        <v>0</v>
      </c>
      <c r="BT433" s="2971">
        <f t="shared" si="293"/>
        <v>0</v>
      </c>
    </row>
    <row r="434" spans="1:72">
      <c r="A434" s="2894"/>
      <c r="B434" s="2895"/>
      <c r="C434" s="2895"/>
      <c r="D434" s="2907"/>
      <c r="E434" s="2897">
        <f t="shared" si="265"/>
        <v>0</v>
      </c>
      <c r="F434" s="2898"/>
      <c r="G434" s="2899">
        <f t="shared" si="266"/>
        <v>0</v>
      </c>
      <c r="H434" s="2900">
        <f t="shared" si="267"/>
        <v>0</v>
      </c>
      <c r="I434" s="2918"/>
      <c r="J434" s="2918"/>
      <c r="K434" s="2918"/>
      <c r="L434" s="2918"/>
      <c r="M434" s="2918"/>
      <c r="N434" s="2918"/>
      <c r="O434" s="2918"/>
      <c r="P434" s="2918"/>
      <c r="Q434" s="2918"/>
      <c r="R434" s="2918"/>
      <c r="S434" s="2918"/>
      <c r="T434" s="2918"/>
      <c r="U434" s="2918"/>
      <c r="V434" s="2918"/>
      <c r="W434" s="2918"/>
      <c r="X434" s="2918"/>
      <c r="Y434" s="2918"/>
      <c r="Z434" s="2918"/>
      <c r="AA434" s="2918"/>
      <c r="AB434" s="2918"/>
      <c r="AC434" s="2897">
        <f t="shared" si="268"/>
        <v>0</v>
      </c>
      <c r="AD434" s="2929"/>
      <c r="AE434" s="2929"/>
      <c r="AF434" s="2929"/>
      <c r="AG434" s="2929"/>
      <c r="AH434" s="2929"/>
      <c r="AI434" s="2929"/>
      <c r="AJ434" s="2929"/>
      <c r="AK434" s="2929"/>
      <c r="AL434" s="2929"/>
      <c r="AM434" s="2929"/>
      <c r="AN434" s="2929"/>
      <c r="AO434" s="2929"/>
      <c r="AP434" s="2929"/>
      <c r="AQ434" s="2929"/>
      <c r="AR434" s="2929"/>
      <c r="AS434" s="2929"/>
      <c r="AT434" s="2949"/>
      <c r="AU434" s="2950"/>
      <c r="AV434" s="454">
        <f t="shared" si="269"/>
        <v>0</v>
      </c>
      <c r="AW434" s="454">
        <f t="shared" si="270"/>
        <v>0</v>
      </c>
      <c r="AX434" s="454">
        <f t="shared" si="271"/>
        <v>0</v>
      </c>
      <c r="AY434" s="2966">
        <f t="shared" si="272"/>
        <v>0</v>
      </c>
      <c r="AZ434" s="2897">
        <f t="shared" si="273"/>
        <v>0</v>
      </c>
      <c r="BA434" s="2897">
        <f t="shared" si="274"/>
        <v>0</v>
      </c>
      <c r="BB434" s="2897">
        <f t="shared" si="275"/>
        <v>0</v>
      </c>
      <c r="BC434" s="2897">
        <f t="shared" si="276"/>
        <v>0</v>
      </c>
      <c r="BD434" s="2897">
        <f t="shared" si="277"/>
        <v>0</v>
      </c>
      <c r="BE434" s="2897">
        <f t="shared" si="278"/>
        <v>0</v>
      </c>
      <c r="BF434" s="2897">
        <f t="shared" si="279"/>
        <v>0</v>
      </c>
      <c r="BG434" s="2897">
        <f t="shared" si="280"/>
        <v>0</v>
      </c>
      <c r="BH434" s="2897">
        <f t="shared" si="281"/>
        <v>0</v>
      </c>
      <c r="BI434" s="2897">
        <f t="shared" si="282"/>
        <v>0</v>
      </c>
      <c r="BJ434" s="2897">
        <f t="shared" si="283"/>
        <v>0</v>
      </c>
      <c r="BK434" s="2897">
        <f t="shared" si="284"/>
        <v>0</v>
      </c>
      <c r="BL434" s="2897">
        <f t="shared" si="285"/>
        <v>0</v>
      </c>
      <c r="BM434" s="2897">
        <f t="shared" si="286"/>
        <v>0</v>
      </c>
      <c r="BN434" s="2897">
        <f t="shared" si="287"/>
        <v>0</v>
      </c>
      <c r="BO434" s="2897">
        <f t="shared" si="288"/>
        <v>0</v>
      </c>
      <c r="BP434" s="2897">
        <f t="shared" si="289"/>
        <v>0</v>
      </c>
      <c r="BQ434" s="2897">
        <f t="shared" si="290"/>
        <v>0</v>
      </c>
      <c r="BR434" s="2897">
        <f t="shared" si="291"/>
        <v>0</v>
      </c>
      <c r="BS434" s="2897">
        <f t="shared" si="292"/>
        <v>0</v>
      </c>
      <c r="BT434" s="2971">
        <f t="shared" si="293"/>
        <v>0</v>
      </c>
    </row>
    <row r="435" spans="1:72">
      <c r="A435" s="2894"/>
      <c r="B435" s="2895"/>
      <c r="C435" s="2895"/>
      <c r="D435" s="2907"/>
      <c r="E435" s="2897">
        <f t="shared" si="265"/>
        <v>0</v>
      </c>
      <c r="F435" s="2898"/>
      <c r="G435" s="2899">
        <f t="shared" si="266"/>
        <v>0</v>
      </c>
      <c r="H435" s="2900">
        <f t="shared" si="267"/>
        <v>0</v>
      </c>
      <c r="I435" s="2918"/>
      <c r="J435" s="2918"/>
      <c r="K435" s="2918"/>
      <c r="L435" s="2918"/>
      <c r="M435" s="2918"/>
      <c r="N435" s="2918"/>
      <c r="O435" s="2918"/>
      <c r="P435" s="2918"/>
      <c r="Q435" s="2918"/>
      <c r="R435" s="2918"/>
      <c r="S435" s="2918"/>
      <c r="T435" s="2918"/>
      <c r="U435" s="2918"/>
      <c r="V435" s="2918"/>
      <c r="W435" s="2918"/>
      <c r="X435" s="2918"/>
      <c r="Y435" s="2918"/>
      <c r="Z435" s="2918"/>
      <c r="AA435" s="2918"/>
      <c r="AB435" s="2918"/>
      <c r="AC435" s="2897">
        <f t="shared" si="268"/>
        <v>0</v>
      </c>
      <c r="AD435" s="2929"/>
      <c r="AE435" s="2929"/>
      <c r="AF435" s="2929"/>
      <c r="AG435" s="2929"/>
      <c r="AH435" s="2929"/>
      <c r="AI435" s="2929"/>
      <c r="AJ435" s="2929"/>
      <c r="AK435" s="2929"/>
      <c r="AL435" s="2929"/>
      <c r="AM435" s="2929"/>
      <c r="AN435" s="2929"/>
      <c r="AO435" s="2929"/>
      <c r="AP435" s="2929"/>
      <c r="AQ435" s="2929"/>
      <c r="AR435" s="2929"/>
      <c r="AS435" s="2929"/>
      <c r="AT435" s="2949"/>
      <c r="AU435" s="2950"/>
      <c r="AV435" s="454">
        <f t="shared" si="269"/>
        <v>0</v>
      </c>
      <c r="AW435" s="454">
        <f t="shared" si="270"/>
        <v>0</v>
      </c>
      <c r="AX435" s="454">
        <f t="shared" si="271"/>
        <v>0</v>
      </c>
      <c r="AY435" s="2966">
        <f t="shared" si="272"/>
        <v>0</v>
      </c>
      <c r="AZ435" s="2897">
        <f t="shared" si="273"/>
        <v>0</v>
      </c>
      <c r="BA435" s="2897">
        <f t="shared" si="274"/>
        <v>0</v>
      </c>
      <c r="BB435" s="2897">
        <f t="shared" si="275"/>
        <v>0</v>
      </c>
      <c r="BC435" s="2897">
        <f t="shared" si="276"/>
        <v>0</v>
      </c>
      <c r="BD435" s="2897">
        <f t="shared" si="277"/>
        <v>0</v>
      </c>
      <c r="BE435" s="2897">
        <f t="shared" si="278"/>
        <v>0</v>
      </c>
      <c r="BF435" s="2897">
        <f t="shared" si="279"/>
        <v>0</v>
      </c>
      <c r="BG435" s="2897">
        <f t="shared" si="280"/>
        <v>0</v>
      </c>
      <c r="BH435" s="2897">
        <f t="shared" si="281"/>
        <v>0</v>
      </c>
      <c r="BI435" s="2897">
        <f t="shared" si="282"/>
        <v>0</v>
      </c>
      <c r="BJ435" s="2897">
        <f t="shared" si="283"/>
        <v>0</v>
      </c>
      <c r="BK435" s="2897">
        <f t="shared" si="284"/>
        <v>0</v>
      </c>
      <c r="BL435" s="2897">
        <f t="shared" si="285"/>
        <v>0</v>
      </c>
      <c r="BM435" s="2897">
        <f t="shared" si="286"/>
        <v>0</v>
      </c>
      <c r="BN435" s="2897">
        <f t="shared" si="287"/>
        <v>0</v>
      </c>
      <c r="BO435" s="2897">
        <f t="shared" si="288"/>
        <v>0</v>
      </c>
      <c r="BP435" s="2897">
        <f t="shared" si="289"/>
        <v>0</v>
      </c>
      <c r="BQ435" s="2897">
        <f t="shared" si="290"/>
        <v>0</v>
      </c>
      <c r="BR435" s="2897">
        <f t="shared" si="291"/>
        <v>0</v>
      </c>
      <c r="BS435" s="2897">
        <f t="shared" si="292"/>
        <v>0</v>
      </c>
      <c r="BT435" s="2971">
        <f t="shared" si="293"/>
        <v>0</v>
      </c>
    </row>
    <row r="436" spans="1:72">
      <c r="A436" s="2894"/>
      <c r="B436" s="2895"/>
      <c r="C436" s="2895"/>
      <c r="D436" s="2907"/>
      <c r="E436" s="2897">
        <f t="shared" si="265"/>
        <v>0</v>
      </c>
      <c r="F436" s="2898"/>
      <c r="G436" s="2899">
        <f t="shared" si="266"/>
        <v>0</v>
      </c>
      <c r="H436" s="2900">
        <f t="shared" si="267"/>
        <v>0</v>
      </c>
      <c r="I436" s="2918"/>
      <c r="J436" s="2918"/>
      <c r="K436" s="2918"/>
      <c r="L436" s="2918"/>
      <c r="M436" s="2918"/>
      <c r="N436" s="2918"/>
      <c r="O436" s="2918"/>
      <c r="P436" s="2918"/>
      <c r="Q436" s="2918"/>
      <c r="R436" s="2918"/>
      <c r="S436" s="2918"/>
      <c r="T436" s="2918"/>
      <c r="U436" s="2918"/>
      <c r="V436" s="2918"/>
      <c r="W436" s="2918"/>
      <c r="X436" s="2918"/>
      <c r="Y436" s="2918"/>
      <c r="Z436" s="2918"/>
      <c r="AA436" s="2918"/>
      <c r="AB436" s="2918"/>
      <c r="AC436" s="2897">
        <f t="shared" si="268"/>
        <v>0</v>
      </c>
      <c r="AD436" s="2929"/>
      <c r="AE436" s="2929"/>
      <c r="AF436" s="2929"/>
      <c r="AG436" s="2929"/>
      <c r="AH436" s="2929"/>
      <c r="AI436" s="2929"/>
      <c r="AJ436" s="2929"/>
      <c r="AK436" s="2929"/>
      <c r="AL436" s="2929"/>
      <c r="AM436" s="2929"/>
      <c r="AN436" s="2929"/>
      <c r="AO436" s="2929"/>
      <c r="AP436" s="2929"/>
      <c r="AQ436" s="2929"/>
      <c r="AR436" s="2929"/>
      <c r="AS436" s="2929"/>
      <c r="AT436" s="2949"/>
      <c r="AU436" s="2950"/>
      <c r="AV436" s="454">
        <f t="shared" si="269"/>
        <v>0</v>
      </c>
      <c r="AW436" s="454">
        <f t="shared" si="270"/>
        <v>0</v>
      </c>
      <c r="AX436" s="454">
        <f t="shared" si="271"/>
        <v>0</v>
      </c>
      <c r="AY436" s="2966">
        <f t="shared" si="272"/>
        <v>0</v>
      </c>
      <c r="AZ436" s="2897">
        <f t="shared" si="273"/>
        <v>0</v>
      </c>
      <c r="BA436" s="2897">
        <f t="shared" si="274"/>
        <v>0</v>
      </c>
      <c r="BB436" s="2897">
        <f t="shared" si="275"/>
        <v>0</v>
      </c>
      <c r="BC436" s="2897">
        <f t="shared" si="276"/>
        <v>0</v>
      </c>
      <c r="BD436" s="2897">
        <f t="shared" si="277"/>
        <v>0</v>
      </c>
      <c r="BE436" s="2897">
        <f t="shared" si="278"/>
        <v>0</v>
      </c>
      <c r="BF436" s="2897">
        <f t="shared" si="279"/>
        <v>0</v>
      </c>
      <c r="BG436" s="2897">
        <f t="shared" si="280"/>
        <v>0</v>
      </c>
      <c r="BH436" s="2897">
        <f t="shared" si="281"/>
        <v>0</v>
      </c>
      <c r="BI436" s="2897">
        <f t="shared" si="282"/>
        <v>0</v>
      </c>
      <c r="BJ436" s="2897">
        <f t="shared" si="283"/>
        <v>0</v>
      </c>
      <c r="BK436" s="2897">
        <f t="shared" si="284"/>
        <v>0</v>
      </c>
      <c r="BL436" s="2897">
        <f t="shared" si="285"/>
        <v>0</v>
      </c>
      <c r="BM436" s="2897">
        <f t="shared" si="286"/>
        <v>0</v>
      </c>
      <c r="BN436" s="2897">
        <f t="shared" si="287"/>
        <v>0</v>
      </c>
      <c r="BO436" s="2897">
        <f t="shared" si="288"/>
        <v>0</v>
      </c>
      <c r="BP436" s="2897">
        <f t="shared" si="289"/>
        <v>0</v>
      </c>
      <c r="BQ436" s="2897">
        <f t="shared" si="290"/>
        <v>0</v>
      </c>
      <c r="BR436" s="2897">
        <f t="shared" si="291"/>
        <v>0</v>
      </c>
      <c r="BS436" s="2897">
        <f t="shared" si="292"/>
        <v>0</v>
      </c>
      <c r="BT436" s="2971">
        <f t="shared" si="293"/>
        <v>0</v>
      </c>
    </row>
    <row r="437" spans="1:72">
      <c r="A437" s="2894"/>
      <c r="B437" s="2895"/>
      <c r="C437" s="2895"/>
      <c r="D437" s="2907"/>
      <c r="E437" s="2897">
        <f t="shared" si="265"/>
        <v>0</v>
      </c>
      <c r="F437" s="2898"/>
      <c r="G437" s="2899">
        <f t="shared" si="266"/>
        <v>0</v>
      </c>
      <c r="H437" s="2900">
        <f t="shared" si="267"/>
        <v>0</v>
      </c>
      <c r="I437" s="2918"/>
      <c r="J437" s="2918"/>
      <c r="K437" s="2918"/>
      <c r="L437" s="2918"/>
      <c r="M437" s="2918"/>
      <c r="N437" s="2918"/>
      <c r="O437" s="2918"/>
      <c r="P437" s="2918"/>
      <c r="Q437" s="2918"/>
      <c r="R437" s="2918"/>
      <c r="S437" s="2918"/>
      <c r="T437" s="2918"/>
      <c r="U437" s="2918"/>
      <c r="V437" s="2918"/>
      <c r="W437" s="2918"/>
      <c r="X437" s="2918"/>
      <c r="Y437" s="2918"/>
      <c r="Z437" s="2918"/>
      <c r="AA437" s="2918"/>
      <c r="AB437" s="2918"/>
      <c r="AC437" s="2897">
        <f t="shared" si="268"/>
        <v>0</v>
      </c>
      <c r="AD437" s="2929"/>
      <c r="AE437" s="2929"/>
      <c r="AF437" s="2929"/>
      <c r="AG437" s="2929"/>
      <c r="AH437" s="2929"/>
      <c r="AI437" s="2929"/>
      <c r="AJ437" s="2929"/>
      <c r="AK437" s="2929"/>
      <c r="AL437" s="2929"/>
      <c r="AM437" s="2929"/>
      <c r="AN437" s="2929"/>
      <c r="AO437" s="2929"/>
      <c r="AP437" s="2929"/>
      <c r="AQ437" s="2929"/>
      <c r="AR437" s="2929"/>
      <c r="AS437" s="2929"/>
      <c r="AT437" s="2949"/>
      <c r="AU437" s="2950"/>
      <c r="AV437" s="454">
        <f t="shared" si="269"/>
        <v>0</v>
      </c>
      <c r="AW437" s="454">
        <f t="shared" si="270"/>
        <v>0</v>
      </c>
      <c r="AX437" s="454">
        <f t="shared" si="271"/>
        <v>0</v>
      </c>
      <c r="AY437" s="2966">
        <f t="shared" si="272"/>
        <v>0</v>
      </c>
      <c r="AZ437" s="2897">
        <f t="shared" si="273"/>
        <v>0</v>
      </c>
      <c r="BA437" s="2897">
        <f t="shared" si="274"/>
        <v>0</v>
      </c>
      <c r="BB437" s="2897">
        <f t="shared" si="275"/>
        <v>0</v>
      </c>
      <c r="BC437" s="2897">
        <f t="shared" si="276"/>
        <v>0</v>
      </c>
      <c r="BD437" s="2897">
        <f t="shared" si="277"/>
        <v>0</v>
      </c>
      <c r="BE437" s="2897">
        <f t="shared" si="278"/>
        <v>0</v>
      </c>
      <c r="BF437" s="2897">
        <f t="shared" si="279"/>
        <v>0</v>
      </c>
      <c r="BG437" s="2897">
        <f t="shared" si="280"/>
        <v>0</v>
      </c>
      <c r="BH437" s="2897">
        <f t="shared" si="281"/>
        <v>0</v>
      </c>
      <c r="BI437" s="2897">
        <f t="shared" si="282"/>
        <v>0</v>
      </c>
      <c r="BJ437" s="2897">
        <f t="shared" si="283"/>
        <v>0</v>
      </c>
      <c r="BK437" s="2897">
        <f t="shared" si="284"/>
        <v>0</v>
      </c>
      <c r="BL437" s="2897">
        <f t="shared" si="285"/>
        <v>0</v>
      </c>
      <c r="BM437" s="2897">
        <f t="shared" si="286"/>
        <v>0</v>
      </c>
      <c r="BN437" s="2897">
        <f t="shared" si="287"/>
        <v>0</v>
      </c>
      <c r="BO437" s="2897">
        <f t="shared" si="288"/>
        <v>0</v>
      </c>
      <c r="BP437" s="2897">
        <f t="shared" si="289"/>
        <v>0</v>
      </c>
      <c r="BQ437" s="2897">
        <f t="shared" si="290"/>
        <v>0</v>
      </c>
      <c r="BR437" s="2897">
        <f t="shared" si="291"/>
        <v>0</v>
      </c>
      <c r="BS437" s="2897">
        <f t="shared" si="292"/>
        <v>0</v>
      </c>
      <c r="BT437" s="2971">
        <f t="shared" si="293"/>
        <v>0</v>
      </c>
    </row>
    <row r="438" spans="1:72">
      <c r="A438" s="2894"/>
      <c r="B438" s="2895"/>
      <c r="C438" s="2895"/>
      <c r="D438" s="2907"/>
      <c r="E438" s="2897">
        <f t="shared" si="265"/>
        <v>0</v>
      </c>
      <c r="F438" s="2898"/>
      <c r="G438" s="2899">
        <f t="shared" si="266"/>
        <v>0</v>
      </c>
      <c r="H438" s="2900">
        <f t="shared" si="267"/>
        <v>0</v>
      </c>
      <c r="I438" s="2918"/>
      <c r="J438" s="2918"/>
      <c r="K438" s="2918"/>
      <c r="L438" s="2918"/>
      <c r="M438" s="2918"/>
      <c r="N438" s="2918"/>
      <c r="O438" s="2918"/>
      <c r="P438" s="2918"/>
      <c r="Q438" s="2918"/>
      <c r="R438" s="2918"/>
      <c r="S438" s="2918"/>
      <c r="T438" s="2918"/>
      <c r="U438" s="2918"/>
      <c r="V438" s="2918"/>
      <c r="W438" s="2918"/>
      <c r="X438" s="2918"/>
      <c r="Y438" s="2918"/>
      <c r="Z438" s="2918"/>
      <c r="AA438" s="2918"/>
      <c r="AB438" s="2918"/>
      <c r="AC438" s="2897">
        <f t="shared" si="268"/>
        <v>0</v>
      </c>
      <c r="AD438" s="2929"/>
      <c r="AE438" s="2929"/>
      <c r="AF438" s="2929"/>
      <c r="AG438" s="2929"/>
      <c r="AH438" s="2929"/>
      <c r="AI438" s="2929"/>
      <c r="AJ438" s="2929"/>
      <c r="AK438" s="2929"/>
      <c r="AL438" s="2929"/>
      <c r="AM438" s="2929"/>
      <c r="AN438" s="2929"/>
      <c r="AO438" s="2929"/>
      <c r="AP438" s="2929"/>
      <c r="AQ438" s="2929"/>
      <c r="AR438" s="2929"/>
      <c r="AS438" s="2929"/>
      <c r="AT438" s="2949"/>
      <c r="AU438" s="2950"/>
      <c r="AV438" s="454">
        <f t="shared" si="269"/>
        <v>0</v>
      </c>
      <c r="AW438" s="454">
        <f t="shared" si="270"/>
        <v>0</v>
      </c>
      <c r="AX438" s="454">
        <f t="shared" si="271"/>
        <v>0</v>
      </c>
      <c r="AY438" s="2966">
        <f t="shared" si="272"/>
        <v>0</v>
      </c>
      <c r="AZ438" s="2897">
        <f t="shared" si="273"/>
        <v>0</v>
      </c>
      <c r="BA438" s="2897">
        <f t="shared" si="274"/>
        <v>0</v>
      </c>
      <c r="BB438" s="2897">
        <f t="shared" si="275"/>
        <v>0</v>
      </c>
      <c r="BC438" s="2897">
        <f t="shared" si="276"/>
        <v>0</v>
      </c>
      <c r="BD438" s="2897">
        <f t="shared" si="277"/>
        <v>0</v>
      </c>
      <c r="BE438" s="2897">
        <f t="shared" si="278"/>
        <v>0</v>
      </c>
      <c r="BF438" s="2897">
        <f t="shared" si="279"/>
        <v>0</v>
      </c>
      <c r="BG438" s="2897">
        <f t="shared" si="280"/>
        <v>0</v>
      </c>
      <c r="BH438" s="2897">
        <f t="shared" si="281"/>
        <v>0</v>
      </c>
      <c r="BI438" s="2897">
        <f t="shared" si="282"/>
        <v>0</v>
      </c>
      <c r="BJ438" s="2897">
        <f t="shared" si="283"/>
        <v>0</v>
      </c>
      <c r="BK438" s="2897">
        <f t="shared" si="284"/>
        <v>0</v>
      </c>
      <c r="BL438" s="2897">
        <f t="shared" si="285"/>
        <v>0</v>
      </c>
      <c r="BM438" s="2897">
        <f t="shared" si="286"/>
        <v>0</v>
      </c>
      <c r="BN438" s="2897">
        <f t="shared" si="287"/>
        <v>0</v>
      </c>
      <c r="BO438" s="2897">
        <f t="shared" si="288"/>
        <v>0</v>
      </c>
      <c r="BP438" s="2897">
        <f t="shared" si="289"/>
        <v>0</v>
      </c>
      <c r="BQ438" s="2897">
        <f t="shared" si="290"/>
        <v>0</v>
      </c>
      <c r="BR438" s="2897">
        <f t="shared" si="291"/>
        <v>0</v>
      </c>
      <c r="BS438" s="2897">
        <f t="shared" si="292"/>
        <v>0</v>
      </c>
      <c r="BT438" s="2971">
        <f t="shared" si="293"/>
        <v>0</v>
      </c>
    </row>
    <row r="439" spans="1:72">
      <c r="A439" s="2894"/>
      <c r="B439" s="2895"/>
      <c r="C439" s="2895"/>
      <c r="D439" s="2907"/>
      <c r="E439" s="2897">
        <f t="shared" si="265"/>
        <v>0</v>
      </c>
      <c r="F439" s="2898"/>
      <c r="G439" s="2899">
        <f t="shared" si="266"/>
        <v>0</v>
      </c>
      <c r="H439" s="2900">
        <f t="shared" si="267"/>
        <v>0</v>
      </c>
      <c r="I439" s="2918"/>
      <c r="J439" s="2918"/>
      <c r="K439" s="2918"/>
      <c r="L439" s="2918"/>
      <c r="M439" s="2918"/>
      <c r="N439" s="2918"/>
      <c r="O439" s="2918"/>
      <c r="P439" s="2918"/>
      <c r="Q439" s="2918"/>
      <c r="R439" s="2918"/>
      <c r="S439" s="2918"/>
      <c r="T439" s="2918"/>
      <c r="U439" s="2918"/>
      <c r="V439" s="2918"/>
      <c r="W439" s="2918"/>
      <c r="X439" s="2918"/>
      <c r="Y439" s="2918"/>
      <c r="Z439" s="2918"/>
      <c r="AA439" s="2918"/>
      <c r="AB439" s="2918"/>
      <c r="AC439" s="2897">
        <f t="shared" si="268"/>
        <v>0</v>
      </c>
      <c r="AD439" s="2929"/>
      <c r="AE439" s="2929"/>
      <c r="AF439" s="2929"/>
      <c r="AG439" s="2929"/>
      <c r="AH439" s="2929"/>
      <c r="AI439" s="2929"/>
      <c r="AJ439" s="2929"/>
      <c r="AK439" s="2929"/>
      <c r="AL439" s="2929"/>
      <c r="AM439" s="2929"/>
      <c r="AN439" s="2929"/>
      <c r="AO439" s="2929"/>
      <c r="AP439" s="2929"/>
      <c r="AQ439" s="2929"/>
      <c r="AR439" s="2929"/>
      <c r="AS439" s="2929"/>
      <c r="AT439" s="2949"/>
      <c r="AU439" s="2950"/>
      <c r="AV439" s="454">
        <f t="shared" si="269"/>
        <v>0</v>
      </c>
      <c r="AW439" s="454">
        <f t="shared" si="270"/>
        <v>0</v>
      </c>
      <c r="AX439" s="454">
        <f t="shared" si="271"/>
        <v>0</v>
      </c>
      <c r="AY439" s="2966">
        <f t="shared" si="272"/>
        <v>0</v>
      </c>
      <c r="AZ439" s="2897">
        <f t="shared" si="273"/>
        <v>0</v>
      </c>
      <c r="BA439" s="2897">
        <f t="shared" si="274"/>
        <v>0</v>
      </c>
      <c r="BB439" s="2897">
        <f t="shared" si="275"/>
        <v>0</v>
      </c>
      <c r="BC439" s="2897">
        <f t="shared" si="276"/>
        <v>0</v>
      </c>
      <c r="BD439" s="2897">
        <f t="shared" si="277"/>
        <v>0</v>
      </c>
      <c r="BE439" s="2897">
        <f t="shared" si="278"/>
        <v>0</v>
      </c>
      <c r="BF439" s="2897">
        <f t="shared" si="279"/>
        <v>0</v>
      </c>
      <c r="BG439" s="2897">
        <f t="shared" si="280"/>
        <v>0</v>
      </c>
      <c r="BH439" s="2897">
        <f t="shared" si="281"/>
        <v>0</v>
      </c>
      <c r="BI439" s="2897">
        <f t="shared" si="282"/>
        <v>0</v>
      </c>
      <c r="BJ439" s="2897">
        <f t="shared" si="283"/>
        <v>0</v>
      </c>
      <c r="BK439" s="2897">
        <f t="shared" si="284"/>
        <v>0</v>
      </c>
      <c r="BL439" s="2897">
        <f t="shared" si="285"/>
        <v>0</v>
      </c>
      <c r="BM439" s="2897">
        <f t="shared" si="286"/>
        <v>0</v>
      </c>
      <c r="BN439" s="2897">
        <f t="shared" si="287"/>
        <v>0</v>
      </c>
      <c r="BO439" s="2897">
        <f t="shared" si="288"/>
        <v>0</v>
      </c>
      <c r="BP439" s="2897">
        <f t="shared" si="289"/>
        <v>0</v>
      </c>
      <c r="BQ439" s="2897">
        <f t="shared" si="290"/>
        <v>0</v>
      </c>
      <c r="BR439" s="2897">
        <f t="shared" si="291"/>
        <v>0</v>
      </c>
      <c r="BS439" s="2897">
        <f t="shared" si="292"/>
        <v>0</v>
      </c>
      <c r="BT439" s="2971">
        <f t="shared" si="293"/>
        <v>0</v>
      </c>
    </row>
    <row r="440" spans="1:72">
      <c r="A440" s="2894"/>
      <c r="B440" s="2895"/>
      <c r="C440" s="2895"/>
      <c r="D440" s="2907"/>
      <c r="E440" s="2897">
        <f t="shared" si="265"/>
        <v>0</v>
      </c>
      <c r="F440" s="2898"/>
      <c r="G440" s="2899">
        <f t="shared" si="266"/>
        <v>0</v>
      </c>
      <c r="H440" s="2900">
        <f t="shared" si="267"/>
        <v>0</v>
      </c>
      <c r="I440" s="2918"/>
      <c r="J440" s="2918"/>
      <c r="K440" s="2918"/>
      <c r="L440" s="2918"/>
      <c r="M440" s="2918"/>
      <c r="N440" s="2918"/>
      <c r="O440" s="2918"/>
      <c r="P440" s="2918"/>
      <c r="Q440" s="2918"/>
      <c r="R440" s="2918"/>
      <c r="S440" s="2918"/>
      <c r="T440" s="2918"/>
      <c r="U440" s="2918"/>
      <c r="V440" s="2918"/>
      <c r="W440" s="2918"/>
      <c r="X440" s="2918"/>
      <c r="Y440" s="2918"/>
      <c r="Z440" s="2918"/>
      <c r="AA440" s="2918"/>
      <c r="AB440" s="2918"/>
      <c r="AC440" s="2897">
        <f t="shared" si="268"/>
        <v>0</v>
      </c>
      <c r="AD440" s="2929"/>
      <c r="AE440" s="2929"/>
      <c r="AF440" s="2929"/>
      <c r="AG440" s="2929"/>
      <c r="AH440" s="2929"/>
      <c r="AI440" s="2929"/>
      <c r="AJ440" s="2929"/>
      <c r="AK440" s="2929"/>
      <c r="AL440" s="2929"/>
      <c r="AM440" s="2929"/>
      <c r="AN440" s="2929"/>
      <c r="AO440" s="2929"/>
      <c r="AP440" s="2929"/>
      <c r="AQ440" s="2929"/>
      <c r="AR440" s="2929"/>
      <c r="AS440" s="2929"/>
      <c r="AT440" s="2949"/>
      <c r="AU440" s="2950"/>
      <c r="AV440" s="454">
        <f t="shared" si="269"/>
        <v>0</v>
      </c>
      <c r="AW440" s="454">
        <f t="shared" si="270"/>
        <v>0</v>
      </c>
      <c r="AX440" s="454">
        <f t="shared" si="271"/>
        <v>0</v>
      </c>
      <c r="AY440" s="2966">
        <f t="shared" si="272"/>
        <v>0</v>
      </c>
      <c r="AZ440" s="2897">
        <f t="shared" si="273"/>
        <v>0</v>
      </c>
      <c r="BA440" s="2897">
        <f t="shared" si="274"/>
        <v>0</v>
      </c>
      <c r="BB440" s="2897">
        <f t="shared" si="275"/>
        <v>0</v>
      </c>
      <c r="BC440" s="2897">
        <f t="shared" si="276"/>
        <v>0</v>
      </c>
      <c r="BD440" s="2897">
        <f t="shared" si="277"/>
        <v>0</v>
      </c>
      <c r="BE440" s="2897">
        <f t="shared" si="278"/>
        <v>0</v>
      </c>
      <c r="BF440" s="2897">
        <f t="shared" si="279"/>
        <v>0</v>
      </c>
      <c r="BG440" s="2897">
        <f t="shared" si="280"/>
        <v>0</v>
      </c>
      <c r="BH440" s="2897">
        <f t="shared" si="281"/>
        <v>0</v>
      </c>
      <c r="BI440" s="2897">
        <f t="shared" si="282"/>
        <v>0</v>
      </c>
      <c r="BJ440" s="2897">
        <f t="shared" si="283"/>
        <v>0</v>
      </c>
      <c r="BK440" s="2897">
        <f t="shared" si="284"/>
        <v>0</v>
      </c>
      <c r="BL440" s="2897">
        <f t="shared" si="285"/>
        <v>0</v>
      </c>
      <c r="BM440" s="2897">
        <f t="shared" si="286"/>
        <v>0</v>
      </c>
      <c r="BN440" s="2897">
        <f t="shared" si="287"/>
        <v>0</v>
      </c>
      <c r="BO440" s="2897">
        <f t="shared" si="288"/>
        <v>0</v>
      </c>
      <c r="BP440" s="2897">
        <f t="shared" si="289"/>
        <v>0</v>
      </c>
      <c r="BQ440" s="2897">
        <f t="shared" si="290"/>
        <v>0</v>
      </c>
      <c r="BR440" s="2897">
        <f t="shared" si="291"/>
        <v>0</v>
      </c>
      <c r="BS440" s="2897">
        <f t="shared" si="292"/>
        <v>0</v>
      </c>
      <c r="BT440" s="2971">
        <f t="shared" si="293"/>
        <v>0</v>
      </c>
    </row>
    <row r="441" spans="1:72">
      <c r="A441" s="2894"/>
      <c r="B441" s="2895"/>
      <c r="C441" s="2895"/>
      <c r="D441" s="2907"/>
      <c r="E441" s="2897">
        <f t="shared" si="265"/>
        <v>0</v>
      </c>
      <c r="F441" s="2898"/>
      <c r="G441" s="2899">
        <f t="shared" si="266"/>
        <v>0</v>
      </c>
      <c r="H441" s="2900">
        <f t="shared" si="267"/>
        <v>0</v>
      </c>
      <c r="I441" s="2918"/>
      <c r="J441" s="2918"/>
      <c r="K441" s="2918"/>
      <c r="L441" s="2918"/>
      <c r="M441" s="2918"/>
      <c r="N441" s="2918"/>
      <c r="O441" s="2918"/>
      <c r="P441" s="2918"/>
      <c r="Q441" s="2918"/>
      <c r="R441" s="2918"/>
      <c r="S441" s="2918"/>
      <c r="T441" s="2918"/>
      <c r="U441" s="2918"/>
      <c r="V441" s="2918"/>
      <c r="W441" s="2918"/>
      <c r="X441" s="2918"/>
      <c r="Y441" s="2918"/>
      <c r="Z441" s="2918"/>
      <c r="AA441" s="2918"/>
      <c r="AB441" s="2918"/>
      <c r="AC441" s="2897">
        <f t="shared" si="268"/>
        <v>0</v>
      </c>
      <c r="AD441" s="2929"/>
      <c r="AE441" s="2929"/>
      <c r="AF441" s="2929"/>
      <c r="AG441" s="2929"/>
      <c r="AH441" s="2929"/>
      <c r="AI441" s="2929"/>
      <c r="AJ441" s="2929"/>
      <c r="AK441" s="2929"/>
      <c r="AL441" s="2929"/>
      <c r="AM441" s="2929"/>
      <c r="AN441" s="2929"/>
      <c r="AO441" s="2929"/>
      <c r="AP441" s="2929"/>
      <c r="AQ441" s="2929"/>
      <c r="AR441" s="2929"/>
      <c r="AS441" s="2929"/>
      <c r="AT441" s="2949"/>
      <c r="AU441" s="2950"/>
      <c r="AV441" s="454">
        <f t="shared" si="269"/>
        <v>0</v>
      </c>
      <c r="AW441" s="454">
        <f t="shared" si="270"/>
        <v>0</v>
      </c>
      <c r="AX441" s="454">
        <f t="shared" si="271"/>
        <v>0</v>
      </c>
      <c r="AY441" s="2966">
        <f t="shared" si="272"/>
        <v>0</v>
      </c>
      <c r="AZ441" s="2897">
        <f t="shared" si="273"/>
        <v>0</v>
      </c>
      <c r="BA441" s="2897">
        <f t="shared" si="274"/>
        <v>0</v>
      </c>
      <c r="BB441" s="2897">
        <f t="shared" si="275"/>
        <v>0</v>
      </c>
      <c r="BC441" s="2897">
        <f t="shared" si="276"/>
        <v>0</v>
      </c>
      <c r="BD441" s="2897">
        <f t="shared" si="277"/>
        <v>0</v>
      </c>
      <c r="BE441" s="2897">
        <f t="shared" si="278"/>
        <v>0</v>
      </c>
      <c r="BF441" s="2897">
        <f t="shared" si="279"/>
        <v>0</v>
      </c>
      <c r="BG441" s="2897">
        <f t="shared" si="280"/>
        <v>0</v>
      </c>
      <c r="BH441" s="2897">
        <f t="shared" si="281"/>
        <v>0</v>
      </c>
      <c r="BI441" s="2897">
        <f t="shared" si="282"/>
        <v>0</v>
      </c>
      <c r="BJ441" s="2897">
        <f t="shared" si="283"/>
        <v>0</v>
      </c>
      <c r="BK441" s="2897">
        <f t="shared" si="284"/>
        <v>0</v>
      </c>
      <c r="BL441" s="2897">
        <f t="shared" si="285"/>
        <v>0</v>
      </c>
      <c r="BM441" s="2897">
        <f t="shared" si="286"/>
        <v>0</v>
      </c>
      <c r="BN441" s="2897">
        <f t="shared" si="287"/>
        <v>0</v>
      </c>
      <c r="BO441" s="2897">
        <f t="shared" si="288"/>
        <v>0</v>
      </c>
      <c r="BP441" s="2897">
        <f t="shared" si="289"/>
        <v>0</v>
      </c>
      <c r="BQ441" s="2897">
        <f t="shared" si="290"/>
        <v>0</v>
      </c>
      <c r="BR441" s="2897">
        <f t="shared" si="291"/>
        <v>0</v>
      </c>
      <c r="BS441" s="2897">
        <f t="shared" si="292"/>
        <v>0</v>
      </c>
      <c r="BT441" s="2971">
        <f t="shared" si="293"/>
        <v>0</v>
      </c>
    </row>
    <row r="442" spans="1:72">
      <c r="A442" s="2894"/>
      <c r="B442" s="2895"/>
      <c r="C442" s="2895"/>
      <c r="D442" s="2907"/>
      <c r="E442" s="2897">
        <f t="shared" si="265"/>
        <v>0</v>
      </c>
      <c r="F442" s="2898"/>
      <c r="G442" s="2899">
        <f t="shared" si="266"/>
        <v>0</v>
      </c>
      <c r="H442" s="2900">
        <f t="shared" si="267"/>
        <v>0</v>
      </c>
      <c r="I442" s="2918"/>
      <c r="J442" s="2918"/>
      <c r="K442" s="2918"/>
      <c r="L442" s="2918"/>
      <c r="M442" s="2918"/>
      <c r="N442" s="2918"/>
      <c r="O442" s="2918"/>
      <c r="P442" s="2918"/>
      <c r="Q442" s="2918"/>
      <c r="R442" s="2918"/>
      <c r="S442" s="2918"/>
      <c r="T442" s="2918"/>
      <c r="U442" s="2918"/>
      <c r="V442" s="2918"/>
      <c r="W442" s="2918"/>
      <c r="X442" s="2918"/>
      <c r="Y442" s="2918"/>
      <c r="Z442" s="2918"/>
      <c r="AA442" s="2918"/>
      <c r="AB442" s="2918"/>
      <c r="AC442" s="2897">
        <f t="shared" si="268"/>
        <v>0</v>
      </c>
      <c r="AD442" s="2929"/>
      <c r="AE442" s="2929"/>
      <c r="AF442" s="2929"/>
      <c r="AG442" s="2929"/>
      <c r="AH442" s="2929"/>
      <c r="AI442" s="2929"/>
      <c r="AJ442" s="2929"/>
      <c r="AK442" s="2929"/>
      <c r="AL442" s="2929"/>
      <c r="AM442" s="2929"/>
      <c r="AN442" s="2929"/>
      <c r="AO442" s="2929"/>
      <c r="AP442" s="2929"/>
      <c r="AQ442" s="2929"/>
      <c r="AR442" s="2929"/>
      <c r="AS442" s="2929"/>
      <c r="AT442" s="2949"/>
      <c r="AU442" s="2950"/>
      <c r="AV442" s="454">
        <f t="shared" si="269"/>
        <v>0</v>
      </c>
      <c r="AW442" s="454">
        <f t="shared" si="270"/>
        <v>0</v>
      </c>
      <c r="AX442" s="454">
        <f t="shared" si="271"/>
        <v>0</v>
      </c>
      <c r="AY442" s="2966">
        <f t="shared" si="272"/>
        <v>0</v>
      </c>
      <c r="AZ442" s="2897">
        <f t="shared" si="273"/>
        <v>0</v>
      </c>
      <c r="BA442" s="2897">
        <f t="shared" si="274"/>
        <v>0</v>
      </c>
      <c r="BB442" s="2897">
        <f t="shared" si="275"/>
        <v>0</v>
      </c>
      <c r="BC442" s="2897">
        <f t="shared" si="276"/>
        <v>0</v>
      </c>
      <c r="BD442" s="2897">
        <f t="shared" si="277"/>
        <v>0</v>
      </c>
      <c r="BE442" s="2897">
        <f t="shared" si="278"/>
        <v>0</v>
      </c>
      <c r="BF442" s="2897">
        <f t="shared" si="279"/>
        <v>0</v>
      </c>
      <c r="BG442" s="2897">
        <f t="shared" si="280"/>
        <v>0</v>
      </c>
      <c r="BH442" s="2897">
        <f t="shared" si="281"/>
        <v>0</v>
      </c>
      <c r="BI442" s="2897">
        <f t="shared" si="282"/>
        <v>0</v>
      </c>
      <c r="BJ442" s="2897">
        <f t="shared" si="283"/>
        <v>0</v>
      </c>
      <c r="BK442" s="2897">
        <f t="shared" si="284"/>
        <v>0</v>
      </c>
      <c r="BL442" s="2897">
        <f t="shared" si="285"/>
        <v>0</v>
      </c>
      <c r="BM442" s="2897">
        <f t="shared" si="286"/>
        <v>0</v>
      </c>
      <c r="BN442" s="2897">
        <f t="shared" si="287"/>
        <v>0</v>
      </c>
      <c r="BO442" s="2897">
        <f t="shared" si="288"/>
        <v>0</v>
      </c>
      <c r="BP442" s="2897">
        <f t="shared" si="289"/>
        <v>0</v>
      </c>
      <c r="BQ442" s="2897">
        <f t="shared" si="290"/>
        <v>0</v>
      </c>
      <c r="BR442" s="2897">
        <f t="shared" si="291"/>
        <v>0</v>
      </c>
      <c r="BS442" s="2897">
        <f t="shared" si="292"/>
        <v>0</v>
      </c>
      <c r="BT442" s="2971">
        <f t="shared" si="293"/>
        <v>0</v>
      </c>
    </row>
    <row r="443" spans="1:72">
      <c r="A443" s="2894"/>
      <c r="B443" s="2895"/>
      <c r="C443" s="2895"/>
      <c r="D443" s="2907"/>
      <c r="E443" s="2897">
        <f t="shared" si="265"/>
        <v>0</v>
      </c>
      <c r="F443" s="2898"/>
      <c r="G443" s="2899">
        <f t="shared" si="266"/>
        <v>0</v>
      </c>
      <c r="H443" s="2900">
        <f t="shared" si="267"/>
        <v>0</v>
      </c>
      <c r="I443" s="2918"/>
      <c r="J443" s="2918"/>
      <c r="K443" s="2918"/>
      <c r="L443" s="2918"/>
      <c r="M443" s="2918"/>
      <c r="N443" s="2918"/>
      <c r="O443" s="2918"/>
      <c r="P443" s="2918"/>
      <c r="Q443" s="2918"/>
      <c r="R443" s="2918"/>
      <c r="S443" s="2918"/>
      <c r="T443" s="2918"/>
      <c r="U443" s="2918"/>
      <c r="V443" s="2918"/>
      <c r="W443" s="2918"/>
      <c r="X443" s="2918"/>
      <c r="Y443" s="2918"/>
      <c r="Z443" s="2918"/>
      <c r="AA443" s="2918"/>
      <c r="AB443" s="2918"/>
      <c r="AC443" s="2897">
        <f t="shared" si="268"/>
        <v>0</v>
      </c>
      <c r="AD443" s="2929"/>
      <c r="AE443" s="2929"/>
      <c r="AF443" s="2929"/>
      <c r="AG443" s="2929"/>
      <c r="AH443" s="2929"/>
      <c r="AI443" s="2929"/>
      <c r="AJ443" s="2929"/>
      <c r="AK443" s="2929"/>
      <c r="AL443" s="2929"/>
      <c r="AM443" s="2929"/>
      <c r="AN443" s="2929"/>
      <c r="AO443" s="2929"/>
      <c r="AP443" s="2929"/>
      <c r="AQ443" s="2929"/>
      <c r="AR443" s="2929"/>
      <c r="AS443" s="2929"/>
      <c r="AT443" s="2949"/>
      <c r="AU443" s="2950"/>
      <c r="AV443" s="454">
        <f t="shared" si="269"/>
        <v>0</v>
      </c>
      <c r="AW443" s="454">
        <f t="shared" si="270"/>
        <v>0</v>
      </c>
      <c r="AX443" s="454">
        <f t="shared" si="271"/>
        <v>0</v>
      </c>
      <c r="AY443" s="2966">
        <f t="shared" si="272"/>
        <v>0</v>
      </c>
      <c r="AZ443" s="2897">
        <f t="shared" si="273"/>
        <v>0</v>
      </c>
      <c r="BA443" s="2897">
        <f t="shared" si="274"/>
        <v>0</v>
      </c>
      <c r="BB443" s="2897">
        <f t="shared" si="275"/>
        <v>0</v>
      </c>
      <c r="BC443" s="2897">
        <f t="shared" si="276"/>
        <v>0</v>
      </c>
      <c r="BD443" s="2897">
        <f t="shared" si="277"/>
        <v>0</v>
      </c>
      <c r="BE443" s="2897">
        <f t="shared" si="278"/>
        <v>0</v>
      </c>
      <c r="BF443" s="2897">
        <f t="shared" si="279"/>
        <v>0</v>
      </c>
      <c r="BG443" s="2897">
        <f t="shared" si="280"/>
        <v>0</v>
      </c>
      <c r="BH443" s="2897">
        <f t="shared" si="281"/>
        <v>0</v>
      </c>
      <c r="BI443" s="2897">
        <f t="shared" si="282"/>
        <v>0</v>
      </c>
      <c r="BJ443" s="2897">
        <f t="shared" si="283"/>
        <v>0</v>
      </c>
      <c r="BK443" s="2897">
        <f t="shared" si="284"/>
        <v>0</v>
      </c>
      <c r="BL443" s="2897">
        <f t="shared" si="285"/>
        <v>0</v>
      </c>
      <c r="BM443" s="2897">
        <f t="shared" si="286"/>
        <v>0</v>
      </c>
      <c r="BN443" s="2897">
        <f t="shared" si="287"/>
        <v>0</v>
      </c>
      <c r="BO443" s="2897">
        <f t="shared" si="288"/>
        <v>0</v>
      </c>
      <c r="BP443" s="2897">
        <f t="shared" si="289"/>
        <v>0</v>
      </c>
      <c r="BQ443" s="2897">
        <f t="shared" si="290"/>
        <v>0</v>
      </c>
      <c r="BR443" s="2897">
        <f t="shared" si="291"/>
        <v>0</v>
      </c>
      <c r="BS443" s="2897">
        <f t="shared" si="292"/>
        <v>0</v>
      </c>
      <c r="BT443" s="2971">
        <f t="shared" si="293"/>
        <v>0</v>
      </c>
    </row>
    <row r="444" spans="1:72">
      <c r="A444" s="2894"/>
      <c r="B444" s="2895"/>
      <c r="C444" s="2895"/>
      <c r="D444" s="2907"/>
      <c r="E444" s="2897">
        <f t="shared" si="265"/>
        <v>0</v>
      </c>
      <c r="F444" s="2898"/>
      <c r="G444" s="2899">
        <f t="shared" si="266"/>
        <v>0</v>
      </c>
      <c r="H444" s="2900">
        <f t="shared" si="267"/>
        <v>0</v>
      </c>
      <c r="I444" s="2918"/>
      <c r="J444" s="2918"/>
      <c r="K444" s="2918"/>
      <c r="L444" s="2918"/>
      <c r="M444" s="2918"/>
      <c r="N444" s="2918"/>
      <c r="O444" s="2918"/>
      <c r="P444" s="2918"/>
      <c r="Q444" s="2918"/>
      <c r="R444" s="2918"/>
      <c r="S444" s="2918"/>
      <c r="T444" s="2918"/>
      <c r="U444" s="2918"/>
      <c r="V444" s="2918"/>
      <c r="W444" s="2918"/>
      <c r="X444" s="2918"/>
      <c r="Y444" s="2918"/>
      <c r="Z444" s="2918"/>
      <c r="AA444" s="2918"/>
      <c r="AB444" s="2918"/>
      <c r="AC444" s="2897">
        <f t="shared" si="268"/>
        <v>0</v>
      </c>
      <c r="AD444" s="2929"/>
      <c r="AE444" s="2929"/>
      <c r="AF444" s="2929"/>
      <c r="AG444" s="2929"/>
      <c r="AH444" s="2929"/>
      <c r="AI444" s="2929"/>
      <c r="AJ444" s="2929"/>
      <c r="AK444" s="2929"/>
      <c r="AL444" s="2929"/>
      <c r="AM444" s="2929"/>
      <c r="AN444" s="2929"/>
      <c r="AO444" s="2929"/>
      <c r="AP444" s="2929"/>
      <c r="AQ444" s="2929"/>
      <c r="AR444" s="2929"/>
      <c r="AS444" s="2929"/>
      <c r="AT444" s="2949"/>
      <c r="AU444" s="2950"/>
      <c r="AV444" s="454">
        <f t="shared" si="269"/>
        <v>0</v>
      </c>
      <c r="AW444" s="454">
        <f t="shared" si="270"/>
        <v>0</v>
      </c>
      <c r="AX444" s="454">
        <f t="shared" si="271"/>
        <v>0</v>
      </c>
      <c r="AY444" s="2966">
        <f t="shared" si="272"/>
        <v>0</v>
      </c>
      <c r="AZ444" s="2897">
        <f t="shared" si="273"/>
        <v>0</v>
      </c>
      <c r="BA444" s="2897">
        <f t="shared" si="274"/>
        <v>0</v>
      </c>
      <c r="BB444" s="2897">
        <f t="shared" si="275"/>
        <v>0</v>
      </c>
      <c r="BC444" s="2897">
        <f t="shared" si="276"/>
        <v>0</v>
      </c>
      <c r="BD444" s="2897">
        <f t="shared" si="277"/>
        <v>0</v>
      </c>
      <c r="BE444" s="2897">
        <f t="shared" si="278"/>
        <v>0</v>
      </c>
      <c r="BF444" s="2897">
        <f t="shared" si="279"/>
        <v>0</v>
      </c>
      <c r="BG444" s="2897">
        <f t="shared" si="280"/>
        <v>0</v>
      </c>
      <c r="BH444" s="2897">
        <f t="shared" si="281"/>
        <v>0</v>
      </c>
      <c r="BI444" s="2897">
        <f t="shared" si="282"/>
        <v>0</v>
      </c>
      <c r="BJ444" s="2897">
        <f t="shared" si="283"/>
        <v>0</v>
      </c>
      <c r="BK444" s="2897">
        <f t="shared" si="284"/>
        <v>0</v>
      </c>
      <c r="BL444" s="2897">
        <f t="shared" si="285"/>
        <v>0</v>
      </c>
      <c r="BM444" s="2897">
        <f t="shared" si="286"/>
        <v>0</v>
      </c>
      <c r="BN444" s="2897">
        <f t="shared" si="287"/>
        <v>0</v>
      </c>
      <c r="BO444" s="2897">
        <f t="shared" si="288"/>
        <v>0</v>
      </c>
      <c r="BP444" s="2897">
        <f t="shared" si="289"/>
        <v>0</v>
      </c>
      <c r="BQ444" s="2897">
        <f t="shared" si="290"/>
        <v>0</v>
      </c>
      <c r="BR444" s="2897">
        <f t="shared" si="291"/>
        <v>0</v>
      </c>
      <c r="BS444" s="2897">
        <f t="shared" si="292"/>
        <v>0</v>
      </c>
      <c r="BT444" s="2971">
        <f t="shared" si="293"/>
        <v>0</v>
      </c>
    </row>
    <row r="445" spans="1:72">
      <c r="A445" s="2894"/>
      <c r="B445" s="2895"/>
      <c r="C445" s="2895"/>
      <c r="D445" s="2907"/>
      <c r="E445" s="2897">
        <f t="shared" si="265"/>
        <v>0</v>
      </c>
      <c r="F445" s="2898"/>
      <c r="G445" s="2899">
        <f t="shared" si="266"/>
        <v>0</v>
      </c>
      <c r="H445" s="2900">
        <f t="shared" si="267"/>
        <v>0</v>
      </c>
      <c r="I445" s="2918"/>
      <c r="J445" s="2918"/>
      <c r="K445" s="2918"/>
      <c r="L445" s="2918"/>
      <c r="M445" s="2918"/>
      <c r="N445" s="2918"/>
      <c r="O445" s="2918"/>
      <c r="P445" s="2918"/>
      <c r="Q445" s="2918"/>
      <c r="R445" s="2918"/>
      <c r="S445" s="2918"/>
      <c r="T445" s="2918"/>
      <c r="U445" s="2918"/>
      <c r="V445" s="2918"/>
      <c r="W445" s="2918"/>
      <c r="X445" s="2918"/>
      <c r="Y445" s="2918"/>
      <c r="Z445" s="2918"/>
      <c r="AA445" s="2918"/>
      <c r="AB445" s="2918"/>
      <c r="AC445" s="2897">
        <f t="shared" si="268"/>
        <v>0</v>
      </c>
      <c r="AD445" s="2929"/>
      <c r="AE445" s="2929"/>
      <c r="AF445" s="2929"/>
      <c r="AG445" s="2929"/>
      <c r="AH445" s="2929"/>
      <c r="AI445" s="2929"/>
      <c r="AJ445" s="2929"/>
      <c r="AK445" s="2929"/>
      <c r="AL445" s="2929"/>
      <c r="AM445" s="2929"/>
      <c r="AN445" s="2929"/>
      <c r="AO445" s="2929"/>
      <c r="AP445" s="2929"/>
      <c r="AQ445" s="2929"/>
      <c r="AR445" s="2929"/>
      <c r="AS445" s="2929"/>
      <c r="AT445" s="2949"/>
      <c r="AU445" s="2950"/>
      <c r="AV445" s="454">
        <f t="shared" si="269"/>
        <v>0</v>
      </c>
      <c r="AW445" s="454">
        <f t="shared" si="270"/>
        <v>0</v>
      </c>
      <c r="AX445" s="454">
        <f t="shared" si="271"/>
        <v>0</v>
      </c>
      <c r="AY445" s="2966">
        <f t="shared" si="272"/>
        <v>0</v>
      </c>
      <c r="AZ445" s="2897">
        <f t="shared" si="273"/>
        <v>0</v>
      </c>
      <c r="BA445" s="2897">
        <f t="shared" si="274"/>
        <v>0</v>
      </c>
      <c r="BB445" s="2897">
        <f t="shared" si="275"/>
        <v>0</v>
      </c>
      <c r="BC445" s="2897">
        <f t="shared" si="276"/>
        <v>0</v>
      </c>
      <c r="BD445" s="2897">
        <f t="shared" si="277"/>
        <v>0</v>
      </c>
      <c r="BE445" s="2897">
        <f t="shared" si="278"/>
        <v>0</v>
      </c>
      <c r="BF445" s="2897">
        <f t="shared" si="279"/>
        <v>0</v>
      </c>
      <c r="BG445" s="2897">
        <f t="shared" si="280"/>
        <v>0</v>
      </c>
      <c r="BH445" s="2897">
        <f t="shared" si="281"/>
        <v>0</v>
      </c>
      <c r="BI445" s="2897">
        <f t="shared" si="282"/>
        <v>0</v>
      </c>
      <c r="BJ445" s="2897">
        <f t="shared" si="283"/>
        <v>0</v>
      </c>
      <c r="BK445" s="2897">
        <f t="shared" si="284"/>
        <v>0</v>
      </c>
      <c r="BL445" s="2897">
        <f t="shared" si="285"/>
        <v>0</v>
      </c>
      <c r="BM445" s="2897">
        <f t="shared" si="286"/>
        <v>0</v>
      </c>
      <c r="BN445" s="2897">
        <f t="shared" si="287"/>
        <v>0</v>
      </c>
      <c r="BO445" s="2897">
        <f t="shared" si="288"/>
        <v>0</v>
      </c>
      <c r="BP445" s="2897">
        <f t="shared" si="289"/>
        <v>0</v>
      </c>
      <c r="BQ445" s="2897">
        <f t="shared" si="290"/>
        <v>0</v>
      </c>
      <c r="BR445" s="2897">
        <f t="shared" si="291"/>
        <v>0</v>
      </c>
      <c r="BS445" s="2897">
        <f t="shared" si="292"/>
        <v>0</v>
      </c>
      <c r="BT445" s="2971">
        <f t="shared" si="293"/>
        <v>0</v>
      </c>
    </row>
    <row r="446" spans="1:72">
      <c r="A446" s="2894"/>
      <c r="B446" s="2895"/>
      <c r="C446" s="2895"/>
      <c r="D446" s="2907"/>
      <c r="E446" s="2897">
        <f t="shared" si="265"/>
        <v>0</v>
      </c>
      <c r="F446" s="2898"/>
      <c r="G446" s="2899">
        <f t="shared" si="266"/>
        <v>0</v>
      </c>
      <c r="H446" s="2900">
        <f t="shared" si="267"/>
        <v>0</v>
      </c>
      <c r="I446" s="2918"/>
      <c r="J446" s="2918"/>
      <c r="K446" s="2918"/>
      <c r="L446" s="2918"/>
      <c r="M446" s="2918"/>
      <c r="N446" s="2918"/>
      <c r="O446" s="2918"/>
      <c r="P446" s="2918"/>
      <c r="Q446" s="2918"/>
      <c r="R446" s="2918"/>
      <c r="S446" s="2918"/>
      <c r="T446" s="2918"/>
      <c r="U446" s="2918"/>
      <c r="V446" s="2918"/>
      <c r="W446" s="2918"/>
      <c r="X446" s="2918"/>
      <c r="Y446" s="2918"/>
      <c r="Z446" s="2918"/>
      <c r="AA446" s="2918"/>
      <c r="AB446" s="2918"/>
      <c r="AC446" s="2897">
        <f t="shared" si="268"/>
        <v>0</v>
      </c>
      <c r="AD446" s="2929"/>
      <c r="AE446" s="2929"/>
      <c r="AF446" s="2929"/>
      <c r="AG446" s="2929"/>
      <c r="AH446" s="2929"/>
      <c r="AI446" s="2929"/>
      <c r="AJ446" s="2929"/>
      <c r="AK446" s="2929"/>
      <c r="AL446" s="2929"/>
      <c r="AM446" s="2929"/>
      <c r="AN446" s="2929"/>
      <c r="AO446" s="2929"/>
      <c r="AP446" s="2929"/>
      <c r="AQ446" s="2929"/>
      <c r="AR446" s="2929"/>
      <c r="AS446" s="2929"/>
      <c r="AT446" s="2949"/>
      <c r="AU446" s="2950"/>
      <c r="AV446" s="454">
        <f t="shared" si="269"/>
        <v>0</v>
      </c>
      <c r="AW446" s="454">
        <f t="shared" si="270"/>
        <v>0</v>
      </c>
      <c r="AX446" s="454">
        <f t="shared" si="271"/>
        <v>0</v>
      </c>
      <c r="AY446" s="2966">
        <f t="shared" si="272"/>
        <v>0</v>
      </c>
      <c r="AZ446" s="2897">
        <f t="shared" si="273"/>
        <v>0</v>
      </c>
      <c r="BA446" s="2897">
        <f t="shared" si="274"/>
        <v>0</v>
      </c>
      <c r="BB446" s="2897">
        <f t="shared" si="275"/>
        <v>0</v>
      </c>
      <c r="BC446" s="2897">
        <f t="shared" si="276"/>
        <v>0</v>
      </c>
      <c r="BD446" s="2897">
        <f t="shared" si="277"/>
        <v>0</v>
      </c>
      <c r="BE446" s="2897">
        <f t="shared" si="278"/>
        <v>0</v>
      </c>
      <c r="BF446" s="2897">
        <f t="shared" si="279"/>
        <v>0</v>
      </c>
      <c r="BG446" s="2897">
        <f t="shared" si="280"/>
        <v>0</v>
      </c>
      <c r="BH446" s="2897">
        <f t="shared" si="281"/>
        <v>0</v>
      </c>
      <c r="BI446" s="2897">
        <f t="shared" si="282"/>
        <v>0</v>
      </c>
      <c r="BJ446" s="2897">
        <f t="shared" si="283"/>
        <v>0</v>
      </c>
      <c r="BK446" s="2897">
        <f t="shared" si="284"/>
        <v>0</v>
      </c>
      <c r="BL446" s="2897">
        <f t="shared" si="285"/>
        <v>0</v>
      </c>
      <c r="BM446" s="2897">
        <f t="shared" si="286"/>
        <v>0</v>
      </c>
      <c r="BN446" s="2897">
        <f t="shared" si="287"/>
        <v>0</v>
      </c>
      <c r="BO446" s="2897">
        <f t="shared" si="288"/>
        <v>0</v>
      </c>
      <c r="BP446" s="2897">
        <f t="shared" si="289"/>
        <v>0</v>
      </c>
      <c r="BQ446" s="2897">
        <f t="shared" si="290"/>
        <v>0</v>
      </c>
      <c r="BR446" s="2897">
        <f t="shared" si="291"/>
        <v>0</v>
      </c>
      <c r="BS446" s="2897">
        <f t="shared" si="292"/>
        <v>0</v>
      </c>
      <c r="BT446" s="2971">
        <f t="shared" si="293"/>
        <v>0</v>
      </c>
    </row>
    <row r="447" spans="1:72">
      <c r="A447" s="2894"/>
      <c r="B447" s="2895"/>
      <c r="C447" s="2895"/>
      <c r="D447" s="2907"/>
      <c r="E447" s="2897">
        <f t="shared" si="265"/>
        <v>0</v>
      </c>
      <c r="F447" s="2898"/>
      <c r="G447" s="2899">
        <f t="shared" si="266"/>
        <v>0</v>
      </c>
      <c r="H447" s="2900">
        <f t="shared" si="267"/>
        <v>0</v>
      </c>
      <c r="I447" s="2918"/>
      <c r="J447" s="2918"/>
      <c r="K447" s="2918"/>
      <c r="L447" s="2918"/>
      <c r="M447" s="2918"/>
      <c r="N447" s="2918"/>
      <c r="O447" s="2918"/>
      <c r="P447" s="2918"/>
      <c r="Q447" s="2918"/>
      <c r="R447" s="2918"/>
      <c r="S447" s="2918"/>
      <c r="T447" s="2918"/>
      <c r="U447" s="2918"/>
      <c r="V447" s="2918"/>
      <c r="W447" s="2918"/>
      <c r="X447" s="2918"/>
      <c r="Y447" s="2918"/>
      <c r="Z447" s="2918"/>
      <c r="AA447" s="2918"/>
      <c r="AB447" s="2918"/>
      <c r="AC447" s="2897">
        <f t="shared" si="268"/>
        <v>0</v>
      </c>
      <c r="AD447" s="2929"/>
      <c r="AE447" s="2929"/>
      <c r="AF447" s="2929"/>
      <c r="AG447" s="2929"/>
      <c r="AH447" s="2929"/>
      <c r="AI447" s="2929"/>
      <c r="AJ447" s="2929"/>
      <c r="AK447" s="2929"/>
      <c r="AL447" s="2929"/>
      <c r="AM447" s="2929"/>
      <c r="AN447" s="2929"/>
      <c r="AO447" s="2929"/>
      <c r="AP447" s="2929"/>
      <c r="AQ447" s="2929"/>
      <c r="AR447" s="2929"/>
      <c r="AS447" s="2929"/>
      <c r="AT447" s="2949"/>
      <c r="AU447" s="2950"/>
      <c r="AV447" s="454">
        <f t="shared" si="269"/>
        <v>0</v>
      </c>
      <c r="AW447" s="454">
        <f t="shared" si="270"/>
        <v>0</v>
      </c>
      <c r="AX447" s="454">
        <f t="shared" si="271"/>
        <v>0</v>
      </c>
      <c r="AY447" s="2966">
        <f t="shared" si="272"/>
        <v>0</v>
      </c>
      <c r="AZ447" s="2897">
        <f t="shared" si="273"/>
        <v>0</v>
      </c>
      <c r="BA447" s="2897">
        <f t="shared" si="274"/>
        <v>0</v>
      </c>
      <c r="BB447" s="2897">
        <f t="shared" si="275"/>
        <v>0</v>
      </c>
      <c r="BC447" s="2897">
        <f t="shared" si="276"/>
        <v>0</v>
      </c>
      <c r="BD447" s="2897">
        <f t="shared" si="277"/>
        <v>0</v>
      </c>
      <c r="BE447" s="2897">
        <f t="shared" si="278"/>
        <v>0</v>
      </c>
      <c r="BF447" s="2897">
        <f t="shared" si="279"/>
        <v>0</v>
      </c>
      <c r="BG447" s="2897">
        <f t="shared" si="280"/>
        <v>0</v>
      </c>
      <c r="BH447" s="2897">
        <f t="shared" si="281"/>
        <v>0</v>
      </c>
      <c r="BI447" s="2897">
        <f t="shared" si="282"/>
        <v>0</v>
      </c>
      <c r="BJ447" s="2897">
        <f t="shared" si="283"/>
        <v>0</v>
      </c>
      <c r="BK447" s="2897">
        <f t="shared" si="284"/>
        <v>0</v>
      </c>
      <c r="BL447" s="2897">
        <f t="shared" si="285"/>
        <v>0</v>
      </c>
      <c r="BM447" s="2897">
        <f t="shared" si="286"/>
        <v>0</v>
      </c>
      <c r="BN447" s="2897">
        <f t="shared" si="287"/>
        <v>0</v>
      </c>
      <c r="BO447" s="2897">
        <f t="shared" si="288"/>
        <v>0</v>
      </c>
      <c r="BP447" s="2897">
        <f t="shared" si="289"/>
        <v>0</v>
      </c>
      <c r="BQ447" s="2897">
        <f t="shared" si="290"/>
        <v>0</v>
      </c>
      <c r="BR447" s="2897">
        <f t="shared" si="291"/>
        <v>0</v>
      </c>
      <c r="BS447" s="2897">
        <f t="shared" si="292"/>
        <v>0</v>
      </c>
      <c r="BT447" s="2971">
        <f t="shared" si="293"/>
        <v>0</v>
      </c>
    </row>
    <row r="448" spans="1:72">
      <c r="A448" s="2894"/>
      <c r="B448" s="2895"/>
      <c r="C448" s="2895"/>
      <c r="D448" s="2907"/>
      <c r="E448" s="2897">
        <f t="shared" si="265"/>
        <v>0</v>
      </c>
      <c r="F448" s="2898"/>
      <c r="G448" s="2899">
        <f t="shared" si="266"/>
        <v>0</v>
      </c>
      <c r="H448" s="2900">
        <f t="shared" si="267"/>
        <v>0</v>
      </c>
      <c r="I448" s="2918"/>
      <c r="J448" s="2918"/>
      <c r="K448" s="2918"/>
      <c r="L448" s="2918"/>
      <c r="M448" s="2918"/>
      <c r="N448" s="2918"/>
      <c r="O448" s="2918"/>
      <c r="P448" s="2918"/>
      <c r="Q448" s="2918"/>
      <c r="R448" s="2918"/>
      <c r="S448" s="2918"/>
      <c r="T448" s="2918"/>
      <c r="U448" s="2918"/>
      <c r="V448" s="2918"/>
      <c r="W448" s="2918"/>
      <c r="X448" s="2918"/>
      <c r="Y448" s="2918"/>
      <c r="Z448" s="2918"/>
      <c r="AA448" s="2918"/>
      <c r="AB448" s="2918"/>
      <c r="AC448" s="2897">
        <f t="shared" si="268"/>
        <v>0</v>
      </c>
      <c r="AD448" s="2929"/>
      <c r="AE448" s="2929"/>
      <c r="AF448" s="2929"/>
      <c r="AG448" s="2929"/>
      <c r="AH448" s="2929"/>
      <c r="AI448" s="2929"/>
      <c r="AJ448" s="2929"/>
      <c r="AK448" s="2929"/>
      <c r="AL448" s="2929"/>
      <c r="AM448" s="2929"/>
      <c r="AN448" s="2929"/>
      <c r="AO448" s="2929"/>
      <c r="AP448" s="2929"/>
      <c r="AQ448" s="2929"/>
      <c r="AR448" s="2929"/>
      <c r="AS448" s="2929"/>
      <c r="AT448" s="2949"/>
      <c r="AU448" s="2950"/>
      <c r="AV448" s="454">
        <f t="shared" si="269"/>
        <v>0</v>
      </c>
      <c r="AW448" s="454">
        <f t="shared" si="270"/>
        <v>0</v>
      </c>
      <c r="AX448" s="454">
        <f t="shared" si="271"/>
        <v>0</v>
      </c>
      <c r="AY448" s="2966">
        <f t="shared" si="272"/>
        <v>0</v>
      </c>
      <c r="AZ448" s="2897">
        <f t="shared" si="273"/>
        <v>0</v>
      </c>
      <c r="BA448" s="2897">
        <f t="shared" si="274"/>
        <v>0</v>
      </c>
      <c r="BB448" s="2897">
        <f t="shared" si="275"/>
        <v>0</v>
      </c>
      <c r="BC448" s="2897">
        <f t="shared" si="276"/>
        <v>0</v>
      </c>
      <c r="BD448" s="2897">
        <f t="shared" si="277"/>
        <v>0</v>
      </c>
      <c r="BE448" s="2897">
        <f t="shared" si="278"/>
        <v>0</v>
      </c>
      <c r="BF448" s="2897">
        <f t="shared" si="279"/>
        <v>0</v>
      </c>
      <c r="BG448" s="2897">
        <f t="shared" si="280"/>
        <v>0</v>
      </c>
      <c r="BH448" s="2897">
        <f t="shared" si="281"/>
        <v>0</v>
      </c>
      <c r="BI448" s="2897">
        <f t="shared" si="282"/>
        <v>0</v>
      </c>
      <c r="BJ448" s="2897">
        <f t="shared" si="283"/>
        <v>0</v>
      </c>
      <c r="BK448" s="2897">
        <f t="shared" si="284"/>
        <v>0</v>
      </c>
      <c r="BL448" s="2897">
        <f t="shared" si="285"/>
        <v>0</v>
      </c>
      <c r="BM448" s="2897">
        <f t="shared" si="286"/>
        <v>0</v>
      </c>
      <c r="BN448" s="2897">
        <f t="shared" si="287"/>
        <v>0</v>
      </c>
      <c r="BO448" s="2897">
        <f t="shared" si="288"/>
        <v>0</v>
      </c>
      <c r="BP448" s="2897">
        <f t="shared" si="289"/>
        <v>0</v>
      </c>
      <c r="BQ448" s="2897">
        <f t="shared" si="290"/>
        <v>0</v>
      </c>
      <c r="BR448" s="2897">
        <f t="shared" si="291"/>
        <v>0</v>
      </c>
      <c r="BS448" s="2897">
        <f t="shared" si="292"/>
        <v>0</v>
      </c>
      <c r="BT448" s="2971">
        <f t="shared" si="293"/>
        <v>0</v>
      </c>
    </row>
    <row r="449" spans="1:72">
      <c r="A449" s="2894"/>
      <c r="B449" s="2895"/>
      <c r="C449" s="2895"/>
      <c r="D449" s="2907"/>
      <c r="E449" s="2897">
        <f t="shared" si="265"/>
        <v>0</v>
      </c>
      <c r="F449" s="2898"/>
      <c r="G449" s="2899">
        <f t="shared" si="266"/>
        <v>0</v>
      </c>
      <c r="H449" s="2900">
        <f t="shared" si="267"/>
        <v>0</v>
      </c>
      <c r="I449" s="2918"/>
      <c r="J449" s="2918"/>
      <c r="K449" s="2918"/>
      <c r="L449" s="2918"/>
      <c r="M449" s="2918"/>
      <c r="N449" s="2918"/>
      <c r="O449" s="2918"/>
      <c r="P449" s="2918"/>
      <c r="Q449" s="2918"/>
      <c r="R449" s="2918"/>
      <c r="S449" s="2918"/>
      <c r="T449" s="2918"/>
      <c r="U449" s="2918"/>
      <c r="V449" s="2918"/>
      <c r="W449" s="2918"/>
      <c r="X449" s="2918"/>
      <c r="Y449" s="2918"/>
      <c r="Z449" s="2918"/>
      <c r="AA449" s="2918"/>
      <c r="AB449" s="2918"/>
      <c r="AC449" s="2897">
        <f t="shared" si="268"/>
        <v>0</v>
      </c>
      <c r="AD449" s="2929"/>
      <c r="AE449" s="2929"/>
      <c r="AF449" s="2929"/>
      <c r="AG449" s="2929"/>
      <c r="AH449" s="2929"/>
      <c r="AI449" s="2929"/>
      <c r="AJ449" s="2929"/>
      <c r="AK449" s="2929"/>
      <c r="AL449" s="2929"/>
      <c r="AM449" s="2929"/>
      <c r="AN449" s="2929"/>
      <c r="AO449" s="2929"/>
      <c r="AP449" s="2929"/>
      <c r="AQ449" s="2929"/>
      <c r="AR449" s="2929"/>
      <c r="AS449" s="2929"/>
      <c r="AT449" s="2949"/>
      <c r="AU449" s="2950"/>
      <c r="AV449" s="454">
        <f t="shared" si="269"/>
        <v>0</v>
      </c>
      <c r="AW449" s="454">
        <f t="shared" si="270"/>
        <v>0</v>
      </c>
      <c r="AX449" s="454">
        <f t="shared" si="271"/>
        <v>0</v>
      </c>
      <c r="AY449" s="2966">
        <f t="shared" si="272"/>
        <v>0</v>
      </c>
      <c r="AZ449" s="2897">
        <f t="shared" si="273"/>
        <v>0</v>
      </c>
      <c r="BA449" s="2897">
        <f t="shared" si="274"/>
        <v>0</v>
      </c>
      <c r="BB449" s="2897">
        <f t="shared" si="275"/>
        <v>0</v>
      </c>
      <c r="BC449" s="2897">
        <f t="shared" si="276"/>
        <v>0</v>
      </c>
      <c r="BD449" s="2897">
        <f t="shared" si="277"/>
        <v>0</v>
      </c>
      <c r="BE449" s="2897">
        <f t="shared" si="278"/>
        <v>0</v>
      </c>
      <c r="BF449" s="2897">
        <f t="shared" si="279"/>
        <v>0</v>
      </c>
      <c r="BG449" s="2897">
        <f t="shared" si="280"/>
        <v>0</v>
      </c>
      <c r="BH449" s="2897">
        <f t="shared" si="281"/>
        <v>0</v>
      </c>
      <c r="BI449" s="2897">
        <f t="shared" si="282"/>
        <v>0</v>
      </c>
      <c r="BJ449" s="2897">
        <f t="shared" si="283"/>
        <v>0</v>
      </c>
      <c r="BK449" s="2897">
        <f t="shared" si="284"/>
        <v>0</v>
      </c>
      <c r="BL449" s="2897">
        <f t="shared" si="285"/>
        <v>0</v>
      </c>
      <c r="BM449" s="2897">
        <f t="shared" si="286"/>
        <v>0</v>
      </c>
      <c r="BN449" s="2897">
        <f t="shared" si="287"/>
        <v>0</v>
      </c>
      <c r="BO449" s="2897">
        <f t="shared" si="288"/>
        <v>0</v>
      </c>
      <c r="BP449" s="2897">
        <f t="shared" si="289"/>
        <v>0</v>
      </c>
      <c r="BQ449" s="2897">
        <f t="shared" si="290"/>
        <v>0</v>
      </c>
      <c r="BR449" s="2897">
        <f t="shared" si="291"/>
        <v>0</v>
      </c>
      <c r="BS449" s="2897">
        <f t="shared" si="292"/>
        <v>0</v>
      </c>
      <c r="BT449" s="2971">
        <f t="shared" si="293"/>
        <v>0</v>
      </c>
    </row>
    <row r="450" spans="1:72">
      <c r="A450" s="2894"/>
      <c r="B450" s="2895"/>
      <c r="C450" s="2895"/>
      <c r="D450" s="2907"/>
      <c r="E450" s="2897">
        <f t="shared" si="265"/>
        <v>0</v>
      </c>
      <c r="F450" s="2898"/>
      <c r="G450" s="2899">
        <f t="shared" si="266"/>
        <v>0</v>
      </c>
      <c r="H450" s="2900">
        <f t="shared" si="267"/>
        <v>0</v>
      </c>
      <c r="I450" s="2918"/>
      <c r="J450" s="2918"/>
      <c r="K450" s="2918"/>
      <c r="L450" s="2918"/>
      <c r="M450" s="2918"/>
      <c r="N450" s="2918"/>
      <c r="O450" s="2918"/>
      <c r="P450" s="2918"/>
      <c r="Q450" s="2918"/>
      <c r="R450" s="2918"/>
      <c r="S450" s="2918"/>
      <c r="T450" s="2918"/>
      <c r="U450" s="2918"/>
      <c r="V450" s="2918"/>
      <c r="W450" s="2918"/>
      <c r="X450" s="2918"/>
      <c r="Y450" s="2918"/>
      <c r="Z450" s="2918"/>
      <c r="AA450" s="2918"/>
      <c r="AB450" s="2918"/>
      <c r="AC450" s="2897">
        <f t="shared" si="268"/>
        <v>0</v>
      </c>
      <c r="AD450" s="2929"/>
      <c r="AE450" s="2929"/>
      <c r="AF450" s="2929"/>
      <c r="AG450" s="2929"/>
      <c r="AH450" s="2929"/>
      <c r="AI450" s="2929"/>
      <c r="AJ450" s="2929"/>
      <c r="AK450" s="2929"/>
      <c r="AL450" s="2929"/>
      <c r="AM450" s="2929"/>
      <c r="AN450" s="2929"/>
      <c r="AO450" s="2929"/>
      <c r="AP450" s="2929"/>
      <c r="AQ450" s="2929"/>
      <c r="AR450" s="2929"/>
      <c r="AS450" s="2929"/>
      <c r="AT450" s="2949"/>
      <c r="AU450" s="2950"/>
      <c r="AV450" s="454">
        <f t="shared" si="269"/>
        <v>0</v>
      </c>
      <c r="AW450" s="454">
        <f t="shared" si="270"/>
        <v>0</v>
      </c>
      <c r="AX450" s="454">
        <f t="shared" si="271"/>
        <v>0</v>
      </c>
      <c r="AY450" s="2966">
        <f t="shared" si="272"/>
        <v>0</v>
      </c>
      <c r="AZ450" s="2897">
        <f t="shared" si="273"/>
        <v>0</v>
      </c>
      <c r="BA450" s="2897">
        <f t="shared" si="274"/>
        <v>0</v>
      </c>
      <c r="BB450" s="2897">
        <f t="shared" si="275"/>
        <v>0</v>
      </c>
      <c r="BC450" s="2897">
        <f t="shared" si="276"/>
        <v>0</v>
      </c>
      <c r="BD450" s="2897">
        <f t="shared" si="277"/>
        <v>0</v>
      </c>
      <c r="BE450" s="2897">
        <f t="shared" si="278"/>
        <v>0</v>
      </c>
      <c r="BF450" s="2897">
        <f t="shared" si="279"/>
        <v>0</v>
      </c>
      <c r="BG450" s="2897">
        <f t="shared" si="280"/>
        <v>0</v>
      </c>
      <c r="BH450" s="2897">
        <f t="shared" si="281"/>
        <v>0</v>
      </c>
      <c r="BI450" s="2897">
        <f t="shared" si="282"/>
        <v>0</v>
      </c>
      <c r="BJ450" s="2897">
        <f t="shared" si="283"/>
        <v>0</v>
      </c>
      <c r="BK450" s="2897">
        <f t="shared" si="284"/>
        <v>0</v>
      </c>
      <c r="BL450" s="2897">
        <f t="shared" si="285"/>
        <v>0</v>
      </c>
      <c r="BM450" s="2897">
        <f t="shared" si="286"/>
        <v>0</v>
      </c>
      <c r="BN450" s="2897">
        <f t="shared" si="287"/>
        <v>0</v>
      </c>
      <c r="BO450" s="2897">
        <f t="shared" si="288"/>
        <v>0</v>
      </c>
      <c r="BP450" s="2897">
        <f t="shared" si="289"/>
        <v>0</v>
      </c>
      <c r="BQ450" s="2897">
        <f t="shared" si="290"/>
        <v>0</v>
      </c>
      <c r="BR450" s="2897">
        <f t="shared" si="291"/>
        <v>0</v>
      </c>
      <c r="BS450" s="2897">
        <f t="shared" si="292"/>
        <v>0</v>
      </c>
      <c r="BT450" s="2971">
        <f t="shared" si="293"/>
        <v>0</v>
      </c>
    </row>
    <row r="451" spans="1:72">
      <c r="A451" s="2894"/>
      <c r="B451" s="2895"/>
      <c r="C451" s="2895"/>
      <c r="D451" s="2907"/>
      <c r="E451" s="2897">
        <f t="shared" si="265"/>
        <v>0</v>
      </c>
      <c r="F451" s="2898"/>
      <c r="G451" s="2899">
        <f t="shared" si="266"/>
        <v>0</v>
      </c>
      <c r="H451" s="2900">
        <f t="shared" si="267"/>
        <v>0</v>
      </c>
      <c r="I451" s="2918"/>
      <c r="J451" s="2918"/>
      <c r="K451" s="2918"/>
      <c r="L451" s="2918"/>
      <c r="M451" s="2918"/>
      <c r="N451" s="2918"/>
      <c r="O451" s="2918"/>
      <c r="P451" s="2918"/>
      <c r="Q451" s="2918"/>
      <c r="R451" s="2918"/>
      <c r="S451" s="2918"/>
      <c r="T451" s="2918"/>
      <c r="U451" s="2918"/>
      <c r="V451" s="2918"/>
      <c r="W451" s="2918"/>
      <c r="X451" s="2918"/>
      <c r="Y451" s="2918"/>
      <c r="Z451" s="2918"/>
      <c r="AA451" s="2918"/>
      <c r="AB451" s="2918"/>
      <c r="AC451" s="2897">
        <f t="shared" si="268"/>
        <v>0</v>
      </c>
      <c r="AD451" s="2929"/>
      <c r="AE451" s="2929"/>
      <c r="AF451" s="2929"/>
      <c r="AG451" s="2929"/>
      <c r="AH451" s="2929"/>
      <c r="AI451" s="2929"/>
      <c r="AJ451" s="2929"/>
      <c r="AK451" s="2929"/>
      <c r="AL451" s="2929"/>
      <c r="AM451" s="2929"/>
      <c r="AN451" s="2929"/>
      <c r="AO451" s="2929"/>
      <c r="AP451" s="2929"/>
      <c r="AQ451" s="2929"/>
      <c r="AR451" s="2929"/>
      <c r="AS451" s="2929"/>
      <c r="AT451" s="2949"/>
      <c r="AU451" s="2950"/>
      <c r="AV451" s="454">
        <f t="shared" si="269"/>
        <v>0</v>
      </c>
      <c r="AW451" s="454">
        <f t="shared" si="270"/>
        <v>0</v>
      </c>
      <c r="AX451" s="454">
        <f t="shared" si="271"/>
        <v>0</v>
      </c>
      <c r="AY451" s="2966">
        <f t="shared" si="272"/>
        <v>0</v>
      </c>
      <c r="AZ451" s="2897">
        <f t="shared" si="273"/>
        <v>0</v>
      </c>
      <c r="BA451" s="2897">
        <f t="shared" si="274"/>
        <v>0</v>
      </c>
      <c r="BB451" s="2897">
        <f t="shared" si="275"/>
        <v>0</v>
      </c>
      <c r="BC451" s="2897">
        <f t="shared" si="276"/>
        <v>0</v>
      </c>
      <c r="BD451" s="2897">
        <f t="shared" si="277"/>
        <v>0</v>
      </c>
      <c r="BE451" s="2897">
        <f t="shared" si="278"/>
        <v>0</v>
      </c>
      <c r="BF451" s="2897">
        <f t="shared" si="279"/>
        <v>0</v>
      </c>
      <c r="BG451" s="2897">
        <f t="shared" si="280"/>
        <v>0</v>
      </c>
      <c r="BH451" s="2897">
        <f t="shared" si="281"/>
        <v>0</v>
      </c>
      <c r="BI451" s="2897">
        <f t="shared" si="282"/>
        <v>0</v>
      </c>
      <c r="BJ451" s="2897">
        <f t="shared" si="283"/>
        <v>0</v>
      </c>
      <c r="BK451" s="2897">
        <f t="shared" si="284"/>
        <v>0</v>
      </c>
      <c r="BL451" s="2897">
        <f t="shared" si="285"/>
        <v>0</v>
      </c>
      <c r="BM451" s="2897">
        <f t="shared" si="286"/>
        <v>0</v>
      </c>
      <c r="BN451" s="2897">
        <f t="shared" si="287"/>
        <v>0</v>
      </c>
      <c r="BO451" s="2897">
        <f t="shared" si="288"/>
        <v>0</v>
      </c>
      <c r="BP451" s="2897">
        <f t="shared" si="289"/>
        <v>0</v>
      </c>
      <c r="BQ451" s="2897">
        <f t="shared" si="290"/>
        <v>0</v>
      </c>
      <c r="BR451" s="2897">
        <f t="shared" si="291"/>
        <v>0</v>
      </c>
      <c r="BS451" s="2897">
        <f t="shared" si="292"/>
        <v>0</v>
      </c>
      <c r="BT451" s="2971">
        <f t="shared" si="293"/>
        <v>0</v>
      </c>
    </row>
    <row r="452" spans="1:72">
      <c r="A452" s="2894"/>
      <c r="B452" s="2895"/>
      <c r="C452" s="2895"/>
      <c r="D452" s="2907"/>
      <c r="E452" s="2897">
        <f t="shared" si="265"/>
        <v>0</v>
      </c>
      <c r="F452" s="2898"/>
      <c r="G452" s="2899">
        <f t="shared" si="266"/>
        <v>0</v>
      </c>
      <c r="H452" s="2900">
        <f t="shared" si="267"/>
        <v>0</v>
      </c>
      <c r="I452" s="2918"/>
      <c r="J452" s="2918"/>
      <c r="K452" s="2918"/>
      <c r="L452" s="2918"/>
      <c r="M452" s="2918"/>
      <c r="N452" s="2918"/>
      <c r="O452" s="2918"/>
      <c r="P452" s="2918"/>
      <c r="Q452" s="2918"/>
      <c r="R452" s="2918"/>
      <c r="S452" s="2918"/>
      <c r="T452" s="2918"/>
      <c r="U452" s="2918"/>
      <c r="V452" s="2918"/>
      <c r="W452" s="2918"/>
      <c r="X452" s="2918"/>
      <c r="Y452" s="2918"/>
      <c r="Z452" s="2918"/>
      <c r="AA452" s="2918"/>
      <c r="AB452" s="2918"/>
      <c r="AC452" s="2897">
        <f t="shared" si="268"/>
        <v>0</v>
      </c>
      <c r="AD452" s="2929"/>
      <c r="AE452" s="2929"/>
      <c r="AF452" s="2929"/>
      <c r="AG452" s="2929"/>
      <c r="AH452" s="2929"/>
      <c r="AI452" s="2929"/>
      <c r="AJ452" s="2929"/>
      <c r="AK452" s="2929"/>
      <c r="AL452" s="2929"/>
      <c r="AM452" s="2929"/>
      <c r="AN452" s="2929"/>
      <c r="AO452" s="2929"/>
      <c r="AP452" s="2929"/>
      <c r="AQ452" s="2929"/>
      <c r="AR452" s="2929"/>
      <c r="AS452" s="2929"/>
      <c r="AT452" s="2949"/>
      <c r="AU452" s="2950"/>
      <c r="AV452" s="454">
        <f t="shared" si="269"/>
        <v>0</v>
      </c>
      <c r="AW452" s="454">
        <f t="shared" si="270"/>
        <v>0</v>
      </c>
      <c r="AX452" s="454">
        <f t="shared" si="271"/>
        <v>0</v>
      </c>
      <c r="AY452" s="2966">
        <f t="shared" si="272"/>
        <v>0</v>
      </c>
      <c r="AZ452" s="2897">
        <f t="shared" si="273"/>
        <v>0</v>
      </c>
      <c r="BA452" s="2897">
        <f t="shared" si="274"/>
        <v>0</v>
      </c>
      <c r="BB452" s="2897">
        <f t="shared" si="275"/>
        <v>0</v>
      </c>
      <c r="BC452" s="2897">
        <f t="shared" si="276"/>
        <v>0</v>
      </c>
      <c r="BD452" s="2897">
        <f t="shared" si="277"/>
        <v>0</v>
      </c>
      <c r="BE452" s="2897">
        <f t="shared" si="278"/>
        <v>0</v>
      </c>
      <c r="BF452" s="2897">
        <f t="shared" si="279"/>
        <v>0</v>
      </c>
      <c r="BG452" s="2897">
        <f t="shared" si="280"/>
        <v>0</v>
      </c>
      <c r="BH452" s="2897">
        <f t="shared" si="281"/>
        <v>0</v>
      </c>
      <c r="BI452" s="2897">
        <f t="shared" si="282"/>
        <v>0</v>
      </c>
      <c r="BJ452" s="2897">
        <f t="shared" si="283"/>
        <v>0</v>
      </c>
      <c r="BK452" s="2897">
        <f t="shared" si="284"/>
        <v>0</v>
      </c>
      <c r="BL452" s="2897">
        <f t="shared" si="285"/>
        <v>0</v>
      </c>
      <c r="BM452" s="2897">
        <f t="shared" si="286"/>
        <v>0</v>
      </c>
      <c r="BN452" s="2897">
        <f t="shared" si="287"/>
        <v>0</v>
      </c>
      <c r="BO452" s="2897">
        <f t="shared" si="288"/>
        <v>0</v>
      </c>
      <c r="BP452" s="2897">
        <f t="shared" si="289"/>
        <v>0</v>
      </c>
      <c r="BQ452" s="2897">
        <f t="shared" si="290"/>
        <v>0</v>
      </c>
      <c r="BR452" s="2897">
        <f t="shared" si="291"/>
        <v>0</v>
      </c>
      <c r="BS452" s="2897">
        <f t="shared" si="292"/>
        <v>0</v>
      </c>
      <c r="BT452" s="2971">
        <f t="shared" si="293"/>
        <v>0</v>
      </c>
    </row>
    <row r="453" spans="1:72">
      <c r="A453" s="2894"/>
      <c r="B453" s="2895"/>
      <c r="C453" s="2895"/>
      <c r="D453" s="2907"/>
      <c r="E453" s="2897">
        <f t="shared" si="265"/>
        <v>0</v>
      </c>
      <c r="F453" s="2898"/>
      <c r="G453" s="2899">
        <f t="shared" si="266"/>
        <v>0</v>
      </c>
      <c r="H453" s="2900">
        <f t="shared" si="267"/>
        <v>0</v>
      </c>
      <c r="I453" s="2918"/>
      <c r="J453" s="2918"/>
      <c r="K453" s="2918"/>
      <c r="L453" s="2918"/>
      <c r="M453" s="2918"/>
      <c r="N453" s="2918"/>
      <c r="O453" s="2918"/>
      <c r="P453" s="2918"/>
      <c r="Q453" s="2918"/>
      <c r="R453" s="2918"/>
      <c r="S453" s="2918"/>
      <c r="T453" s="2918"/>
      <c r="U453" s="2918"/>
      <c r="V453" s="2918"/>
      <c r="W453" s="2918"/>
      <c r="X453" s="2918"/>
      <c r="Y453" s="2918"/>
      <c r="Z453" s="2918"/>
      <c r="AA453" s="2918"/>
      <c r="AB453" s="2918"/>
      <c r="AC453" s="2897">
        <f t="shared" si="268"/>
        <v>0</v>
      </c>
      <c r="AD453" s="2929"/>
      <c r="AE453" s="2929"/>
      <c r="AF453" s="2929"/>
      <c r="AG453" s="2929"/>
      <c r="AH453" s="2929"/>
      <c r="AI453" s="2929"/>
      <c r="AJ453" s="2929"/>
      <c r="AK453" s="2929"/>
      <c r="AL453" s="2929"/>
      <c r="AM453" s="2929"/>
      <c r="AN453" s="2929"/>
      <c r="AO453" s="2929"/>
      <c r="AP453" s="2929"/>
      <c r="AQ453" s="2929"/>
      <c r="AR453" s="2929"/>
      <c r="AS453" s="2929"/>
      <c r="AT453" s="2949"/>
      <c r="AU453" s="2950"/>
      <c r="AV453" s="454">
        <f t="shared" si="269"/>
        <v>0</v>
      </c>
      <c r="AW453" s="454">
        <f t="shared" si="270"/>
        <v>0</v>
      </c>
      <c r="AX453" s="454">
        <f t="shared" si="271"/>
        <v>0</v>
      </c>
      <c r="AY453" s="2966">
        <f t="shared" si="272"/>
        <v>0</v>
      </c>
      <c r="AZ453" s="2897">
        <f t="shared" si="273"/>
        <v>0</v>
      </c>
      <c r="BA453" s="2897">
        <f t="shared" si="274"/>
        <v>0</v>
      </c>
      <c r="BB453" s="2897">
        <f t="shared" si="275"/>
        <v>0</v>
      </c>
      <c r="BC453" s="2897">
        <f t="shared" si="276"/>
        <v>0</v>
      </c>
      <c r="BD453" s="2897">
        <f t="shared" si="277"/>
        <v>0</v>
      </c>
      <c r="BE453" s="2897">
        <f t="shared" si="278"/>
        <v>0</v>
      </c>
      <c r="BF453" s="2897">
        <f t="shared" si="279"/>
        <v>0</v>
      </c>
      <c r="BG453" s="2897">
        <f t="shared" si="280"/>
        <v>0</v>
      </c>
      <c r="BH453" s="2897">
        <f t="shared" si="281"/>
        <v>0</v>
      </c>
      <c r="BI453" s="2897">
        <f t="shared" si="282"/>
        <v>0</v>
      </c>
      <c r="BJ453" s="2897">
        <f t="shared" si="283"/>
        <v>0</v>
      </c>
      <c r="BK453" s="2897">
        <f t="shared" si="284"/>
        <v>0</v>
      </c>
      <c r="BL453" s="2897">
        <f t="shared" si="285"/>
        <v>0</v>
      </c>
      <c r="BM453" s="2897">
        <f t="shared" si="286"/>
        <v>0</v>
      </c>
      <c r="BN453" s="2897">
        <f t="shared" si="287"/>
        <v>0</v>
      </c>
      <c r="BO453" s="2897">
        <f t="shared" si="288"/>
        <v>0</v>
      </c>
      <c r="BP453" s="2897">
        <f t="shared" si="289"/>
        <v>0</v>
      </c>
      <c r="BQ453" s="2897">
        <f t="shared" si="290"/>
        <v>0</v>
      </c>
      <c r="BR453" s="2897">
        <f t="shared" si="291"/>
        <v>0</v>
      </c>
      <c r="BS453" s="2897">
        <f t="shared" si="292"/>
        <v>0</v>
      </c>
      <c r="BT453" s="2971">
        <f t="shared" si="293"/>
        <v>0</v>
      </c>
    </row>
    <row r="454" spans="1:72">
      <c r="A454" s="2894"/>
      <c r="B454" s="2895"/>
      <c r="C454" s="2895"/>
      <c r="D454" s="2907"/>
      <c r="E454" s="2897">
        <f t="shared" si="265"/>
        <v>0</v>
      </c>
      <c r="F454" s="2898"/>
      <c r="G454" s="2899">
        <f t="shared" si="266"/>
        <v>0</v>
      </c>
      <c r="H454" s="2900">
        <f t="shared" si="267"/>
        <v>0</v>
      </c>
      <c r="I454" s="2918"/>
      <c r="J454" s="2918"/>
      <c r="K454" s="2918"/>
      <c r="L454" s="2918"/>
      <c r="M454" s="2918"/>
      <c r="N454" s="2918"/>
      <c r="O454" s="2918"/>
      <c r="P454" s="2918"/>
      <c r="Q454" s="2918"/>
      <c r="R454" s="2918"/>
      <c r="S454" s="2918"/>
      <c r="T454" s="2918"/>
      <c r="U454" s="2918"/>
      <c r="V454" s="2918"/>
      <c r="W454" s="2918"/>
      <c r="X454" s="2918"/>
      <c r="Y454" s="2918"/>
      <c r="Z454" s="2918"/>
      <c r="AA454" s="2918"/>
      <c r="AB454" s="2918"/>
      <c r="AC454" s="2897">
        <f t="shared" si="268"/>
        <v>0</v>
      </c>
      <c r="AD454" s="2929"/>
      <c r="AE454" s="2929"/>
      <c r="AF454" s="2929"/>
      <c r="AG454" s="2929"/>
      <c r="AH454" s="2929"/>
      <c r="AI454" s="2929"/>
      <c r="AJ454" s="2929"/>
      <c r="AK454" s="2929"/>
      <c r="AL454" s="2929"/>
      <c r="AM454" s="2929"/>
      <c r="AN454" s="2929"/>
      <c r="AO454" s="2929"/>
      <c r="AP454" s="2929"/>
      <c r="AQ454" s="2929"/>
      <c r="AR454" s="2929"/>
      <c r="AS454" s="2929"/>
      <c r="AT454" s="2949"/>
      <c r="AU454" s="2950"/>
      <c r="AV454" s="454">
        <f t="shared" si="269"/>
        <v>0</v>
      </c>
      <c r="AW454" s="454">
        <f t="shared" si="270"/>
        <v>0</v>
      </c>
      <c r="AX454" s="454">
        <f t="shared" si="271"/>
        <v>0</v>
      </c>
      <c r="AY454" s="2966">
        <f t="shared" si="272"/>
        <v>0</v>
      </c>
      <c r="AZ454" s="2897">
        <f t="shared" si="273"/>
        <v>0</v>
      </c>
      <c r="BA454" s="2897">
        <f t="shared" si="274"/>
        <v>0</v>
      </c>
      <c r="BB454" s="2897">
        <f t="shared" si="275"/>
        <v>0</v>
      </c>
      <c r="BC454" s="2897">
        <f t="shared" si="276"/>
        <v>0</v>
      </c>
      <c r="BD454" s="2897">
        <f t="shared" si="277"/>
        <v>0</v>
      </c>
      <c r="BE454" s="2897">
        <f t="shared" si="278"/>
        <v>0</v>
      </c>
      <c r="BF454" s="2897">
        <f t="shared" si="279"/>
        <v>0</v>
      </c>
      <c r="BG454" s="2897">
        <f t="shared" si="280"/>
        <v>0</v>
      </c>
      <c r="BH454" s="2897">
        <f t="shared" si="281"/>
        <v>0</v>
      </c>
      <c r="BI454" s="2897">
        <f t="shared" si="282"/>
        <v>0</v>
      </c>
      <c r="BJ454" s="2897">
        <f t="shared" si="283"/>
        <v>0</v>
      </c>
      <c r="BK454" s="2897">
        <f t="shared" si="284"/>
        <v>0</v>
      </c>
      <c r="BL454" s="2897">
        <f t="shared" si="285"/>
        <v>0</v>
      </c>
      <c r="BM454" s="2897">
        <f t="shared" si="286"/>
        <v>0</v>
      </c>
      <c r="BN454" s="2897">
        <f t="shared" si="287"/>
        <v>0</v>
      </c>
      <c r="BO454" s="2897">
        <f t="shared" si="288"/>
        <v>0</v>
      </c>
      <c r="BP454" s="2897">
        <f t="shared" si="289"/>
        <v>0</v>
      </c>
      <c r="BQ454" s="2897">
        <f t="shared" si="290"/>
        <v>0</v>
      </c>
      <c r="BR454" s="2897">
        <f t="shared" si="291"/>
        <v>0</v>
      </c>
      <c r="BS454" s="2897">
        <f t="shared" si="292"/>
        <v>0</v>
      </c>
      <c r="BT454" s="2971">
        <f t="shared" si="293"/>
        <v>0</v>
      </c>
    </row>
    <row r="455" spans="1:72">
      <c r="A455" s="2894"/>
      <c r="B455" s="2895"/>
      <c r="C455" s="2895"/>
      <c r="D455" s="2907"/>
      <c r="E455" s="2897">
        <f t="shared" si="265"/>
        <v>0</v>
      </c>
      <c r="F455" s="2898"/>
      <c r="G455" s="2899">
        <f t="shared" si="266"/>
        <v>0</v>
      </c>
      <c r="H455" s="2900">
        <f t="shared" si="267"/>
        <v>0</v>
      </c>
      <c r="I455" s="2918"/>
      <c r="J455" s="2918"/>
      <c r="K455" s="2918"/>
      <c r="L455" s="2918"/>
      <c r="M455" s="2918"/>
      <c r="N455" s="2918"/>
      <c r="O455" s="2918"/>
      <c r="P455" s="2918"/>
      <c r="Q455" s="2918"/>
      <c r="R455" s="2918"/>
      <c r="S455" s="2918"/>
      <c r="T455" s="2918"/>
      <c r="U455" s="2918"/>
      <c r="V455" s="2918"/>
      <c r="W455" s="2918"/>
      <c r="X455" s="2918"/>
      <c r="Y455" s="2918"/>
      <c r="Z455" s="2918"/>
      <c r="AA455" s="2918"/>
      <c r="AB455" s="2918"/>
      <c r="AC455" s="2897">
        <f t="shared" si="268"/>
        <v>0</v>
      </c>
      <c r="AD455" s="2929"/>
      <c r="AE455" s="2929"/>
      <c r="AF455" s="2929"/>
      <c r="AG455" s="2929"/>
      <c r="AH455" s="2929"/>
      <c r="AI455" s="2929"/>
      <c r="AJ455" s="2929"/>
      <c r="AK455" s="2929"/>
      <c r="AL455" s="2929"/>
      <c r="AM455" s="2929"/>
      <c r="AN455" s="2929"/>
      <c r="AO455" s="2929"/>
      <c r="AP455" s="2929"/>
      <c r="AQ455" s="2929"/>
      <c r="AR455" s="2929"/>
      <c r="AS455" s="2929"/>
      <c r="AT455" s="2949"/>
      <c r="AU455" s="2950"/>
      <c r="AV455" s="454">
        <f t="shared" si="269"/>
        <v>0</v>
      </c>
      <c r="AW455" s="454">
        <f t="shared" si="270"/>
        <v>0</v>
      </c>
      <c r="AX455" s="454">
        <f t="shared" si="271"/>
        <v>0</v>
      </c>
      <c r="AY455" s="2966">
        <f t="shared" si="272"/>
        <v>0</v>
      </c>
      <c r="AZ455" s="2897">
        <f t="shared" si="273"/>
        <v>0</v>
      </c>
      <c r="BA455" s="2897">
        <f t="shared" si="274"/>
        <v>0</v>
      </c>
      <c r="BB455" s="2897">
        <f t="shared" si="275"/>
        <v>0</v>
      </c>
      <c r="BC455" s="2897">
        <f t="shared" si="276"/>
        <v>0</v>
      </c>
      <c r="BD455" s="2897">
        <f t="shared" si="277"/>
        <v>0</v>
      </c>
      <c r="BE455" s="2897">
        <f t="shared" si="278"/>
        <v>0</v>
      </c>
      <c r="BF455" s="2897">
        <f t="shared" si="279"/>
        <v>0</v>
      </c>
      <c r="BG455" s="2897">
        <f t="shared" si="280"/>
        <v>0</v>
      </c>
      <c r="BH455" s="2897">
        <f t="shared" si="281"/>
        <v>0</v>
      </c>
      <c r="BI455" s="2897">
        <f t="shared" si="282"/>
        <v>0</v>
      </c>
      <c r="BJ455" s="2897">
        <f t="shared" si="283"/>
        <v>0</v>
      </c>
      <c r="BK455" s="2897">
        <f t="shared" si="284"/>
        <v>0</v>
      </c>
      <c r="BL455" s="2897">
        <f t="shared" si="285"/>
        <v>0</v>
      </c>
      <c r="BM455" s="2897">
        <f t="shared" si="286"/>
        <v>0</v>
      </c>
      <c r="BN455" s="2897">
        <f t="shared" si="287"/>
        <v>0</v>
      </c>
      <c r="BO455" s="2897">
        <f t="shared" si="288"/>
        <v>0</v>
      </c>
      <c r="BP455" s="2897">
        <f t="shared" si="289"/>
        <v>0</v>
      </c>
      <c r="BQ455" s="2897">
        <f t="shared" si="290"/>
        <v>0</v>
      </c>
      <c r="BR455" s="2897">
        <f t="shared" si="291"/>
        <v>0</v>
      </c>
      <c r="BS455" s="2897">
        <f t="shared" si="292"/>
        <v>0</v>
      </c>
      <c r="BT455" s="2971">
        <f t="shared" si="293"/>
        <v>0</v>
      </c>
    </row>
    <row r="456" spans="1:72">
      <c r="A456" s="2894"/>
      <c r="B456" s="2895"/>
      <c r="C456" s="2895"/>
      <c r="D456" s="2907"/>
      <c r="E456" s="2897">
        <f t="shared" si="265"/>
        <v>0</v>
      </c>
      <c r="F456" s="2898"/>
      <c r="G456" s="2899">
        <f t="shared" si="266"/>
        <v>0</v>
      </c>
      <c r="H456" s="2900">
        <f t="shared" si="267"/>
        <v>0</v>
      </c>
      <c r="I456" s="2918"/>
      <c r="J456" s="2918"/>
      <c r="K456" s="2918"/>
      <c r="L456" s="2918"/>
      <c r="M456" s="2918"/>
      <c r="N456" s="2918"/>
      <c r="O456" s="2918"/>
      <c r="P456" s="2918"/>
      <c r="Q456" s="2918"/>
      <c r="R456" s="2918"/>
      <c r="S456" s="2918"/>
      <c r="T456" s="2918"/>
      <c r="U456" s="2918"/>
      <c r="V456" s="2918"/>
      <c r="W456" s="2918"/>
      <c r="X456" s="2918"/>
      <c r="Y456" s="2918"/>
      <c r="Z456" s="2918"/>
      <c r="AA456" s="2918"/>
      <c r="AB456" s="2918"/>
      <c r="AC456" s="2897">
        <f t="shared" si="268"/>
        <v>0</v>
      </c>
      <c r="AD456" s="2929"/>
      <c r="AE456" s="2929"/>
      <c r="AF456" s="2929"/>
      <c r="AG456" s="2929"/>
      <c r="AH456" s="2929"/>
      <c r="AI456" s="2929"/>
      <c r="AJ456" s="2929"/>
      <c r="AK456" s="2929"/>
      <c r="AL456" s="2929"/>
      <c r="AM456" s="2929"/>
      <c r="AN456" s="2929"/>
      <c r="AO456" s="2929"/>
      <c r="AP456" s="2929"/>
      <c r="AQ456" s="2929"/>
      <c r="AR456" s="2929"/>
      <c r="AS456" s="2929"/>
      <c r="AT456" s="2949"/>
      <c r="AU456" s="2950"/>
      <c r="AV456" s="454">
        <f t="shared" si="269"/>
        <v>0</v>
      </c>
      <c r="AW456" s="454">
        <f t="shared" si="270"/>
        <v>0</v>
      </c>
      <c r="AX456" s="454">
        <f t="shared" si="271"/>
        <v>0</v>
      </c>
      <c r="AY456" s="2966">
        <f t="shared" si="272"/>
        <v>0</v>
      </c>
      <c r="AZ456" s="2897">
        <f t="shared" si="273"/>
        <v>0</v>
      </c>
      <c r="BA456" s="2897">
        <f t="shared" si="274"/>
        <v>0</v>
      </c>
      <c r="BB456" s="2897">
        <f t="shared" si="275"/>
        <v>0</v>
      </c>
      <c r="BC456" s="2897">
        <f t="shared" si="276"/>
        <v>0</v>
      </c>
      <c r="BD456" s="2897">
        <f t="shared" si="277"/>
        <v>0</v>
      </c>
      <c r="BE456" s="2897">
        <f t="shared" si="278"/>
        <v>0</v>
      </c>
      <c r="BF456" s="2897">
        <f t="shared" si="279"/>
        <v>0</v>
      </c>
      <c r="BG456" s="2897">
        <f t="shared" si="280"/>
        <v>0</v>
      </c>
      <c r="BH456" s="2897">
        <f t="shared" si="281"/>
        <v>0</v>
      </c>
      <c r="BI456" s="2897">
        <f t="shared" si="282"/>
        <v>0</v>
      </c>
      <c r="BJ456" s="2897">
        <f t="shared" si="283"/>
        <v>0</v>
      </c>
      <c r="BK456" s="2897">
        <f t="shared" si="284"/>
        <v>0</v>
      </c>
      <c r="BL456" s="2897">
        <f t="shared" si="285"/>
        <v>0</v>
      </c>
      <c r="BM456" s="2897">
        <f t="shared" si="286"/>
        <v>0</v>
      </c>
      <c r="BN456" s="2897">
        <f t="shared" si="287"/>
        <v>0</v>
      </c>
      <c r="BO456" s="2897">
        <f t="shared" si="288"/>
        <v>0</v>
      </c>
      <c r="BP456" s="2897">
        <f t="shared" si="289"/>
        <v>0</v>
      </c>
      <c r="BQ456" s="2897">
        <f t="shared" si="290"/>
        <v>0</v>
      </c>
      <c r="BR456" s="2897">
        <f t="shared" si="291"/>
        <v>0</v>
      </c>
      <c r="BS456" s="2897">
        <f t="shared" si="292"/>
        <v>0</v>
      </c>
      <c r="BT456" s="2971">
        <f t="shared" si="293"/>
        <v>0</v>
      </c>
    </row>
    <row r="457" spans="1:72">
      <c r="A457" s="2894"/>
      <c r="B457" s="2895"/>
      <c r="C457" s="2895"/>
      <c r="D457" s="2907"/>
      <c r="E457" s="2897">
        <f t="shared" si="265"/>
        <v>0</v>
      </c>
      <c r="F457" s="2898"/>
      <c r="G457" s="2899">
        <f t="shared" si="266"/>
        <v>0</v>
      </c>
      <c r="H457" s="2900">
        <f t="shared" si="267"/>
        <v>0</v>
      </c>
      <c r="I457" s="2918"/>
      <c r="J457" s="2918"/>
      <c r="K457" s="2918"/>
      <c r="L457" s="2918"/>
      <c r="M457" s="2918"/>
      <c r="N457" s="2918"/>
      <c r="O457" s="2918"/>
      <c r="P457" s="2918"/>
      <c r="Q457" s="2918"/>
      <c r="R457" s="2918"/>
      <c r="S457" s="2918"/>
      <c r="T457" s="2918"/>
      <c r="U457" s="2918"/>
      <c r="V457" s="2918"/>
      <c r="W457" s="2918"/>
      <c r="X457" s="2918"/>
      <c r="Y457" s="2918"/>
      <c r="Z457" s="2918"/>
      <c r="AA457" s="2918"/>
      <c r="AB457" s="2918"/>
      <c r="AC457" s="2897">
        <f t="shared" si="268"/>
        <v>0</v>
      </c>
      <c r="AD457" s="2929"/>
      <c r="AE457" s="2929"/>
      <c r="AF457" s="2929"/>
      <c r="AG457" s="2929"/>
      <c r="AH457" s="2929"/>
      <c r="AI457" s="2929"/>
      <c r="AJ457" s="2929"/>
      <c r="AK457" s="2929"/>
      <c r="AL457" s="2929"/>
      <c r="AM457" s="2929"/>
      <c r="AN457" s="2929"/>
      <c r="AO457" s="2929"/>
      <c r="AP457" s="2929"/>
      <c r="AQ457" s="2929"/>
      <c r="AR457" s="2929"/>
      <c r="AS457" s="2929"/>
      <c r="AT457" s="2949"/>
      <c r="AU457" s="2950"/>
      <c r="AV457" s="454">
        <f t="shared" si="269"/>
        <v>0</v>
      </c>
      <c r="AW457" s="454">
        <f t="shared" si="270"/>
        <v>0</v>
      </c>
      <c r="AX457" s="454">
        <f t="shared" si="271"/>
        <v>0</v>
      </c>
      <c r="AY457" s="2966">
        <f t="shared" si="272"/>
        <v>0</v>
      </c>
      <c r="AZ457" s="2897">
        <f t="shared" si="273"/>
        <v>0</v>
      </c>
      <c r="BA457" s="2897">
        <f t="shared" si="274"/>
        <v>0</v>
      </c>
      <c r="BB457" s="2897">
        <f t="shared" si="275"/>
        <v>0</v>
      </c>
      <c r="BC457" s="2897">
        <f t="shared" si="276"/>
        <v>0</v>
      </c>
      <c r="BD457" s="2897">
        <f t="shared" si="277"/>
        <v>0</v>
      </c>
      <c r="BE457" s="2897">
        <f t="shared" si="278"/>
        <v>0</v>
      </c>
      <c r="BF457" s="2897">
        <f t="shared" si="279"/>
        <v>0</v>
      </c>
      <c r="BG457" s="2897">
        <f t="shared" si="280"/>
        <v>0</v>
      </c>
      <c r="BH457" s="2897">
        <f t="shared" si="281"/>
        <v>0</v>
      </c>
      <c r="BI457" s="2897">
        <f t="shared" si="282"/>
        <v>0</v>
      </c>
      <c r="BJ457" s="2897">
        <f t="shared" si="283"/>
        <v>0</v>
      </c>
      <c r="BK457" s="2897">
        <f t="shared" si="284"/>
        <v>0</v>
      </c>
      <c r="BL457" s="2897">
        <f t="shared" si="285"/>
        <v>0</v>
      </c>
      <c r="BM457" s="2897">
        <f t="shared" si="286"/>
        <v>0</v>
      </c>
      <c r="BN457" s="2897">
        <f t="shared" si="287"/>
        <v>0</v>
      </c>
      <c r="BO457" s="2897">
        <f t="shared" si="288"/>
        <v>0</v>
      </c>
      <c r="BP457" s="2897">
        <f t="shared" si="289"/>
        <v>0</v>
      </c>
      <c r="BQ457" s="2897">
        <f t="shared" si="290"/>
        <v>0</v>
      </c>
      <c r="BR457" s="2897">
        <f t="shared" si="291"/>
        <v>0</v>
      </c>
      <c r="BS457" s="2897">
        <f t="shared" si="292"/>
        <v>0</v>
      </c>
      <c r="BT457" s="2971">
        <f t="shared" si="293"/>
        <v>0</v>
      </c>
    </row>
    <row r="458" spans="1:72">
      <c r="A458" s="2894"/>
      <c r="B458" s="2895"/>
      <c r="C458" s="2895"/>
      <c r="D458" s="2907"/>
      <c r="E458" s="2897">
        <f t="shared" si="265"/>
        <v>0</v>
      </c>
      <c r="F458" s="2898"/>
      <c r="G458" s="2899">
        <f t="shared" si="266"/>
        <v>0</v>
      </c>
      <c r="H458" s="2900">
        <f t="shared" si="267"/>
        <v>0</v>
      </c>
      <c r="I458" s="2918"/>
      <c r="J458" s="2918"/>
      <c r="K458" s="2918"/>
      <c r="L458" s="2918"/>
      <c r="M458" s="2918"/>
      <c r="N458" s="2918"/>
      <c r="O458" s="2918"/>
      <c r="P458" s="2918"/>
      <c r="Q458" s="2918"/>
      <c r="R458" s="2918"/>
      <c r="S458" s="2918"/>
      <c r="T458" s="2918"/>
      <c r="U458" s="2918"/>
      <c r="V458" s="2918"/>
      <c r="W458" s="2918"/>
      <c r="X458" s="2918"/>
      <c r="Y458" s="2918"/>
      <c r="Z458" s="2918"/>
      <c r="AA458" s="2918"/>
      <c r="AB458" s="2918"/>
      <c r="AC458" s="2897">
        <f t="shared" si="268"/>
        <v>0</v>
      </c>
      <c r="AD458" s="2929"/>
      <c r="AE458" s="2929"/>
      <c r="AF458" s="2929"/>
      <c r="AG458" s="2929"/>
      <c r="AH458" s="2929"/>
      <c r="AI458" s="2929"/>
      <c r="AJ458" s="2929"/>
      <c r="AK458" s="2929"/>
      <c r="AL458" s="2929"/>
      <c r="AM458" s="2929"/>
      <c r="AN458" s="2929"/>
      <c r="AO458" s="2929"/>
      <c r="AP458" s="2929"/>
      <c r="AQ458" s="2929"/>
      <c r="AR458" s="2929"/>
      <c r="AS458" s="2929"/>
      <c r="AT458" s="2949"/>
      <c r="AU458" s="2950"/>
      <c r="AV458" s="454">
        <f t="shared" si="269"/>
        <v>0</v>
      </c>
      <c r="AW458" s="454">
        <f t="shared" si="270"/>
        <v>0</v>
      </c>
      <c r="AX458" s="454">
        <f t="shared" si="271"/>
        <v>0</v>
      </c>
      <c r="AY458" s="2966">
        <f t="shared" si="272"/>
        <v>0</v>
      </c>
      <c r="AZ458" s="2897">
        <f t="shared" si="273"/>
        <v>0</v>
      </c>
      <c r="BA458" s="2897">
        <f t="shared" si="274"/>
        <v>0</v>
      </c>
      <c r="BB458" s="2897">
        <f t="shared" si="275"/>
        <v>0</v>
      </c>
      <c r="BC458" s="2897">
        <f t="shared" si="276"/>
        <v>0</v>
      </c>
      <c r="BD458" s="2897">
        <f t="shared" si="277"/>
        <v>0</v>
      </c>
      <c r="BE458" s="2897">
        <f t="shared" si="278"/>
        <v>0</v>
      </c>
      <c r="BF458" s="2897">
        <f t="shared" si="279"/>
        <v>0</v>
      </c>
      <c r="BG458" s="2897">
        <f t="shared" si="280"/>
        <v>0</v>
      </c>
      <c r="BH458" s="2897">
        <f t="shared" si="281"/>
        <v>0</v>
      </c>
      <c r="BI458" s="2897">
        <f t="shared" si="282"/>
        <v>0</v>
      </c>
      <c r="BJ458" s="2897">
        <f t="shared" si="283"/>
        <v>0</v>
      </c>
      <c r="BK458" s="2897">
        <f t="shared" si="284"/>
        <v>0</v>
      </c>
      <c r="BL458" s="2897">
        <f t="shared" si="285"/>
        <v>0</v>
      </c>
      <c r="BM458" s="2897">
        <f t="shared" si="286"/>
        <v>0</v>
      </c>
      <c r="BN458" s="2897">
        <f t="shared" si="287"/>
        <v>0</v>
      </c>
      <c r="BO458" s="2897">
        <f t="shared" si="288"/>
        <v>0</v>
      </c>
      <c r="BP458" s="2897">
        <f t="shared" si="289"/>
        <v>0</v>
      </c>
      <c r="BQ458" s="2897">
        <f t="shared" si="290"/>
        <v>0</v>
      </c>
      <c r="BR458" s="2897">
        <f t="shared" si="291"/>
        <v>0</v>
      </c>
      <c r="BS458" s="2897">
        <f t="shared" si="292"/>
        <v>0</v>
      </c>
      <c r="BT458" s="2971">
        <f t="shared" si="293"/>
        <v>0</v>
      </c>
    </row>
    <row r="459" spans="1:72">
      <c r="A459" s="2894"/>
      <c r="B459" s="2895"/>
      <c r="C459" s="2895"/>
      <c r="D459" s="2907"/>
      <c r="E459" s="2897">
        <f t="shared" si="265"/>
        <v>0</v>
      </c>
      <c r="F459" s="2898"/>
      <c r="G459" s="2899">
        <f t="shared" si="266"/>
        <v>0</v>
      </c>
      <c r="H459" s="2900">
        <f t="shared" si="267"/>
        <v>0</v>
      </c>
      <c r="I459" s="2918"/>
      <c r="J459" s="2918"/>
      <c r="K459" s="2918"/>
      <c r="L459" s="2918"/>
      <c r="M459" s="2918"/>
      <c r="N459" s="2918"/>
      <c r="O459" s="2918"/>
      <c r="P459" s="2918"/>
      <c r="Q459" s="2918"/>
      <c r="R459" s="2918"/>
      <c r="S459" s="2918"/>
      <c r="T459" s="2918"/>
      <c r="U459" s="2918"/>
      <c r="V459" s="2918"/>
      <c r="W459" s="2918"/>
      <c r="X459" s="2918"/>
      <c r="Y459" s="2918"/>
      <c r="Z459" s="2918"/>
      <c r="AA459" s="2918"/>
      <c r="AB459" s="2918"/>
      <c r="AC459" s="2897">
        <f t="shared" si="268"/>
        <v>0</v>
      </c>
      <c r="AD459" s="2929"/>
      <c r="AE459" s="2929"/>
      <c r="AF459" s="2929"/>
      <c r="AG459" s="2929"/>
      <c r="AH459" s="2929"/>
      <c r="AI459" s="2929"/>
      <c r="AJ459" s="2929"/>
      <c r="AK459" s="2929"/>
      <c r="AL459" s="2929"/>
      <c r="AM459" s="2929"/>
      <c r="AN459" s="2929"/>
      <c r="AO459" s="2929"/>
      <c r="AP459" s="2929"/>
      <c r="AQ459" s="2929"/>
      <c r="AR459" s="2929"/>
      <c r="AS459" s="2929"/>
      <c r="AT459" s="2949"/>
      <c r="AU459" s="2950"/>
      <c r="AV459" s="454">
        <f t="shared" si="269"/>
        <v>0</v>
      </c>
      <c r="AW459" s="454">
        <f t="shared" si="270"/>
        <v>0</v>
      </c>
      <c r="AX459" s="454">
        <f t="shared" si="271"/>
        <v>0</v>
      </c>
      <c r="AY459" s="2966">
        <f t="shared" si="272"/>
        <v>0</v>
      </c>
      <c r="AZ459" s="2897">
        <f t="shared" si="273"/>
        <v>0</v>
      </c>
      <c r="BA459" s="2897">
        <f t="shared" si="274"/>
        <v>0</v>
      </c>
      <c r="BB459" s="2897">
        <f t="shared" si="275"/>
        <v>0</v>
      </c>
      <c r="BC459" s="2897">
        <f t="shared" si="276"/>
        <v>0</v>
      </c>
      <c r="BD459" s="2897">
        <f t="shared" si="277"/>
        <v>0</v>
      </c>
      <c r="BE459" s="2897">
        <f t="shared" si="278"/>
        <v>0</v>
      </c>
      <c r="BF459" s="2897">
        <f t="shared" si="279"/>
        <v>0</v>
      </c>
      <c r="BG459" s="2897">
        <f t="shared" si="280"/>
        <v>0</v>
      </c>
      <c r="BH459" s="2897">
        <f t="shared" si="281"/>
        <v>0</v>
      </c>
      <c r="BI459" s="2897">
        <f t="shared" si="282"/>
        <v>0</v>
      </c>
      <c r="BJ459" s="2897">
        <f t="shared" si="283"/>
        <v>0</v>
      </c>
      <c r="BK459" s="2897">
        <f t="shared" si="284"/>
        <v>0</v>
      </c>
      <c r="BL459" s="2897">
        <f t="shared" si="285"/>
        <v>0</v>
      </c>
      <c r="BM459" s="2897">
        <f t="shared" si="286"/>
        <v>0</v>
      </c>
      <c r="BN459" s="2897">
        <f t="shared" si="287"/>
        <v>0</v>
      </c>
      <c r="BO459" s="2897">
        <f t="shared" si="288"/>
        <v>0</v>
      </c>
      <c r="BP459" s="2897">
        <f t="shared" si="289"/>
        <v>0</v>
      </c>
      <c r="BQ459" s="2897">
        <f t="shared" si="290"/>
        <v>0</v>
      </c>
      <c r="BR459" s="2897">
        <f t="shared" si="291"/>
        <v>0</v>
      </c>
      <c r="BS459" s="2897">
        <f t="shared" si="292"/>
        <v>0</v>
      </c>
      <c r="BT459" s="2971">
        <f t="shared" si="293"/>
        <v>0</v>
      </c>
    </row>
    <row r="460" spans="1:72">
      <c r="A460" s="2894"/>
      <c r="B460" s="2895"/>
      <c r="C460" s="2895"/>
      <c r="D460" s="2907"/>
      <c r="E460" s="2897">
        <f t="shared" si="265"/>
        <v>0</v>
      </c>
      <c r="F460" s="2898"/>
      <c r="G460" s="2899">
        <f t="shared" si="266"/>
        <v>0</v>
      </c>
      <c r="H460" s="2900">
        <f t="shared" si="267"/>
        <v>0</v>
      </c>
      <c r="I460" s="2918"/>
      <c r="J460" s="2918"/>
      <c r="K460" s="2918"/>
      <c r="L460" s="2918"/>
      <c r="M460" s="2918"/>
      <c r="N460" s="2918"/>
      <c r="O460" s="2918"/>
      <c r="P460" s="2918"/>
      <c r="Q460" s="2918"/>
      <c r="R460" s="2918"/>
      <c r="S460" s="2918"/>
      <c r="T460" s="2918"/>
      <c r="U460" s="2918"/>
      <c r="V460" s="2918"/>
      <c r="W460" s="2918"/>
      <c r="X460" s="2918"/>
      <c r="Y460" s="2918"/>
      <c r="Z460" s="2918"/>
      <c r="AA460" s="2918"/>
      <c r="AB460" s="2918"/>
      <c r="AC460" s="2897">
        <f t="shared" si="268"/>
        <v>0</v>
      </c>
      <c r="AD460" s="2929"/>
      <c r="AE460" s="2929"/>
      <c r="AF460" s="2929"/>
      <c r="AG460" s="2929"/>
      <c r="AH460" s="2929"/>
      <c r="AI460" s="2929"/>
      <c r="AJ460" s="2929"/>
      <c r="AK460" s="2929"/>
      <c r="AL460" s="2929"/>
      <c r="AM460" s="2929"/>
      <c r="AN460" s="2929"/>
      <c r="AO460" s="2929"/>
      <c r="AP460" s="2929"/>
      <c r="AQ460" s="2929"/>
      <c r="AR460" s="2929"/>
      <c r="AS460" s="2929"/>
      <c r="AT460" s="2949"/>
      <c r="AU460" s="2950"/>
      <c r="AV460" s="454">
        <f t="shared" si="269"/>
        <v>0</v>
      </c>
      <c r="AW460" s="454">
        <f t="shared" si="270"/>
        <v>0</v>
      </c>
      <c r="AX460" s="454">
        <f t="shared" si="271"/>
        <v>0</v>
      </c>
      <c r="AY460" s="2966">
        <f t="shared" si="272"/>
        <v>0</v>
      </c>
      <c r="AZ460" s="2897">
        <f t="shared" si="273"/>
        <v>0</v>
      </c>
      <c r="BA460" s="2897">
        <f t="shared" si="274"/>
        <v>0</v>
      </c>
      <c r="BB460" s="2897">
        <f t="shared" si="275"/>
        <v>0</v>
      </c>
      <c r="BC460" s="2897">
        <f t="shared" si="276"/>
        <v>0</v>
      </c>
      <c r="BD460" s="2897">
        <f t="shared" si="277"/>
        <v>0</v>
      </c>
      <c r="BE460" s="2897">
        <f t="shared" si="278"/>
        <v>0</v>
      </c>
      <c r="BF460" s="2897">
        <f t="shared" si="279"/>
        <v>0</v>
      </c>
      <c r="BG460" s="2897">
        <f t="shared" si="280"/>
        <v>0</v>
      </c>
      <c r="BH460" s="2897">
        <f t="shared" si="281"/>
        <v>0</v>
      </c>
      <c r="BI460" s="2897">
        <f t="shared" si="282"/>
        <v>0</v>
      </c>
      <c r="BJ460" s="2897">
        <f t="shared" si="283"/>
        <v>0</v>
      </c>
      <c r="BK460" s="2897">
        <f t="shared" si="284"/>
        <v>0</v>
      </c>
      <c r="BL460" s="2897">
        <f t="shared" si="285"/>
        <v>0</v>
      </c>
      <c r="BM460" s="2897">
        <f t="shared" si="286"/>
        <v>0</v>
      </c>
      <c r="BN460" s="2897">
        <f t="shared" si="287"/>
        <v>0</v>
      </c>
      <c r="BO460" s="2897">
        <f t="shared" si="288"/>
        <v>0</v>
      </c>
      <c r="BP460" s="2897">
        <f t="shared" si="289"/>
        <v>0</v>
      </c>
      <c r="BQ460" s="2897">
        <f t="shared" si="290"/>
        <v>0</v>
      </c>
      <c r="BR460" s="2897">
        <f t="shared" si="291"/>
        <v>0</v>
      </c>
      <c r="BS460" s="2897">
        <f t="shared" si="292"/>
        <v>0</v>
      </c>
      <c r="BT460" s="2971">
        <f t="shared" si="293"/>
        <v>0</v>
      </c>
    </row>
    <row r="461" spans="1:72">
      <c r="A461" s="2894"/>
      <c r="B461" s="2895"/>
      <c r="C461" s="2895"/>
      <c r="D461" s="2907"/>
      <c r="E461" s="2897">
        <f t="shared" si="265"/>
        <v>0</v>
      </c>
      <c r="F461" s="2898"/>
      <c r="G461" s="2899">
        <f t="shared" si="266"/>
        <v>0</v>
      </c>
      <c r="H461" s="2900">
        <f t="shared" si="267"/>
        <v>0</v>
      </c>
      <c r="I461" s="2918"/>
      <c r="J461" s="2918"/>
      <c r="K461" s="2918"/>
      <c r="L461" s="2918"/>
      <c r="M461" s="2918"/>
      <c r="N461" s="2918"/>
      <c r="O461" s="2918"/>
      <c r="P461" s="2918"/>
      <c r="Q461" s="2918"/>
      <c r="R461" s="2918"/>
      <c r="S461" s="2918"/>
      <c r="T461" s="2918"/>
      <c r="U461" s="2918"/>
      <c r="V461" s="2918"/>
      <c r="W461" s="2918"/>
      <c r="X461" s="2918"/>
      <c r="Y461" s="2918"/>
      <c r="Z461" s="2918"/>
      <c r="AA461" s="2918"/>
      <c r="AB461" s="2918"/>
      <c r="AC461" s="2897">
        <f t="shared" si="268"/>
        <v>0</v>
      </c>
      <c r="AD461" s="2929"/>
      <c r="AE461" s="2929"/>
      <c r="AF461" s="2929"/>
      <c r="AG461" s="2929"/>
      <c r="AH461" s="2929"/>
      <c r="AI461" s="2929"/>
      <c r="AJ461" s="2929"/>
      <c r="AK461" s="2929"/>
      <c r="AL461" s="2929"/>
      <c r="AM461" s="2929"/>
      <c r="AN461" s="2929"/>
      <c r="AO461" s="2929"/>
      <c r="AP461" s="2929"/>
      <c r="AQ461" s="2929"/>
      <c r="AR461" s="2929"/>
      <c r="AS461" s="2929"/>
      <c r="AT461" s="2949"/>
      <c r="AU461" s="2950"/>
      <c r="AV461" s="454">
        <f t="shared" si="269"/>
        <v>0</v>
      </c>
      <c r="AW461" s="454">
        <f t="shared" si="270"/>
        <v>0</v>
      </c>
      <c r="AX461" s="454">
        <f t="shared" si="271"/>
        <v>0</v>
      </c>
      <c r="AY461" s="2966">
        <f t="shared" si="272"/>
        <v>0</v>
      </c>
      <c r="AZ461" s="2897">
        <f t="shared" si="273"/>
        <v>0</v>
      </c>
      <c r="BA461" s="2897">
        <f t="shared" si="274"/>
        <v>0</v>
      </c>
      <c r="BB461" s="2897">
        <f t="shared" si="275"/>
        <v>0</v>
      </c>
      <c r="BC461" s="2897">
        <f t="shared" si="276"/>
        <v>0</v>
      </c>
      <c r="BD461" s="2897">
        <f t="shared" si="277"/>
        <v>0</v>
      </c>
      <c r="BE461" s="2897">
        <f t="shared" si="278"/>
        <v>0</v>
      </c>
      <c r="BF461" s="2897">
        <f t="shared" si="279"/>
        <v>0</v>
      </c>
      <c r="BG461" s="2897">
        <f t="shared" si="280"/>
        <v>0</v>
      </c>
      <c r="BH461" s="2897">
        <f t="shared" si="281"/>
        <v>0</v>
      </c>
      <c r="BI461" s="2897">
        <f t="shared" si="282"/>
        <v>0</v>
      </c>
      <c r="BJ461" s="2897">
        <f t="shared" si="283"/>
        <v>0</v>
      </c>
      <c r="BK461" s="2897">
        <f t="shared" si="284"/>
        <v>0</v>
      </c>
      <c r="BL461" s="2897">
        <f t="shared" si="285"/>
        <v>0</v>
      </c>
      <c r="BM461" s="2897">
        <f t="shared" si="286"/>
        <v>0</v>
      </c>
      <c r="BN461" s="2897">
        <f t="shared" si="287"/>
        <v>0</v>
      </c>
      <c r="BO461" s="2897">
        <f t="shared" si="288"/>
        <v>0</v>
      </c>
      <c r="BP461" s="2897">
        <f t="shared" si="289"/>
        <v>0</v>
      </c>
      <c r="BQ461" s="2897">
        <f t="shared" si="290"/>
        <v>0</v>
      </c>
      <c r="BR461" s="2897">
        <f t="shared" si="291"/>
        <v>0</v>
      </c>
      <c r="BS461" s="2897">
        <f t="shared" si="292"/>
        <v>0</v>
      </c>
      <c r="BT461" s="2971">
        <f t="shared" si="293"/>
        <v>0</v>
      </c>
    </row>
    <row r="462" spans="1:72">
      <c r="A462" s="2894"/>
      <c r="B462" s="2895"/>
      <c r="C462" s="2895"/>
      <c r="D462" s="2907"/>
      <c r="E462" s="2897">
        <f t="shared" si="265"/>
        <v>0</v>
      </c>
      <c r="F462" s="2898"/>
      <c r="G462" s="2899">
        <f t="shared" si="266"/>
        <v>0</v>
      </c>
      <c r="H462" s="2900">
        <f t="shared" si="267"/>
        <v>0</v>
      </c>
      <c r="I462" s="2918"/>
      <c r="J462" s="2918"/>
      <c r="K462" s="2918"/>
      <c r="L462" s="2918"/>
      <c r="M462" s="2918"/>
      <c r="N462" s="2918"/>
      <c r="O462" s="2918"/>
      <c r="P462" s="2918"/>
      <c r="Q462" s="2918"/>
      <c r="R462" s="2918"/>
      <c r="S462" s="2918"/>
      <c r="T462" s="2918"/>
      <c r="U462" s="2918"/>
      <c r="V462" s="2918"/>
      <c r="W462" s="2918"/>
      <c r="X462" s="2918"/>
      <c r="Y462" s="2918"/>
      <c r="Z462" s="2918"/>
      <c r="AA462" s="2918"/>
      <c r="AB462" s="2918"/>
      <c r="AC462" s="2897">
        <f t="shared" si="268"/>
        <v>0</v>
      </c>
      <c r="AD462" s="2929"/>
      <c r="AE462" s="2929"/>
      <c r="AF462" s="2929"/>
      <c r="AG462" s="2929"/>
      <c r="AH462" s="2929"/>
      <c r="AI462" s="2929"/>
      <c r="AJ462" s="2929"/>
      <c r="AK462" s="2929"/>
      <c r="AL462" s="2929"/>
      <c r="AM462" s="2929"/>
      <c r="AN462" s="2929"/>
      <c r="AO462" s="2929"/>
      <c r="AP462" s="2929"/>
      <c r="AQ462" s="2929"/>
      <c r="AR462" s="2929"/>
      <c r="AS462" s="2929"/>
      <c r="AT462" s="2949"/>
      <c r="AU462" s="2950"/>
      <c r="AV462" s="454">
        <f t="shared" si="269"/>
        <v>0</v>
      </c>
      <c r="AW462" s="454">
        <f t="shared" si="270"/>
        <v>0</v>
      </c>
      <c r="AX462" s="454">
        <f t="shared" si="271"/>
        <v>0</v>
      </c>
      <c r="AY462" s="2966">
        <f t="shared" si="272"/>
        <v>0</v>
      </c>
      <c r="AZ462" s="2897">
        <f t="shared" si="273"/>
        <v>0</v>
      </c>
      <c r="BA462" s="2897">
        <f t="shared" si="274"/>
        <v>0</v>
      </c>
      <c r="BB462" s="2897">
        <f t="shared" si="275"/>
        <v>0</v>
      </c>
      <c r="BC462" s="2897">
        <f t="shared" si="276"/>
        <v>0</v>
      </c>
      <c r="BD462" s="2897">
        <f t="shared" si="277"/>
        <v>0</v>
      </c>
      <c r="BE462" s="2897">
        <f t="shared" si="278"/>
        <v>0</v>
      </c>
      <c r="BF462" s="2897">
        <f t="shared" si="279"/>
        <v>0</v>
      </c>
      <c r="BG462" s="2897">
        <f t="shared" si="280"/>
        <v>0</v>
      </c>
      <c r="BH462" s="2897">
        <f t="shared" si="281"/>
        <v>0</v>
      </c>
      <c r="BI462" s="2897">
        <f t="shared" si="282"/>
        <v>0</v>
      </c>
      <c r="BJ462" s="2897">
        <f t="shared" si="283"/>
        <v>0</v>
      </c>
      <c r="BK462" s="2897">
        <f t="shared" si="284"/>
        <v>0</v>
      </c>
      <c r="BL462" s="2897">
        <f t="shared" si="285"/>
        <v>0</v>
      </c>
      <c r="BM462" s="2897">
        <f t="shared" si="286"/>
        <v>0</v>
      </c>
      <c r="BN462" s="2897">
        <f t="shared" si="287"/>
        <v>0</v>
      </c>
      <c r="BO462" s="2897">
        <f t="shared" si="288"/>
        <v>0</v>
      </c>
      <c r="BP462" s="2897">
        <f t="shared" si="289"/>
        <v>0</v>
      </c>
      <c r="BQ462" s="2897">
        <f t="shared" si="290"/>
        <v>0</v>
      </c>
      <c r="BR462" s="2897">
        <f t="shared" si="291"/>
        <v>0</v>
      </c>
      <c r="BS462" s="2897">
        <f t="shared" si="292"/>
        <v>0</v>
      </c>
      <c r="BT462" s="2971">
        <f t="shared" si="293"/>
        <v>0</v>
      </c>
    </row>
    <row r="463" spans="1:72">
      <c r="A463" s="2894"/>
      <c r="B463" s="2895"/>
      <c r="C463" s="2895"/>
      <c r="D463" s="2907"/>
      <c r="E463" s="2897">
        <f t="shared" si="265"/>
        <v>0</v>
      </c>
      <c r="F463" s="2898"/>
      <c r="G463" s="2899">
        <f t="shared" si="266"/>
        <v>0</v>
      </c>
      <c r="H463" s="2900">
        <f t="shared" si="267"/>
        <v>0</v>
      </c>
      <c r="I463" s="2918"/>
      <c r="J463" s="2918"/>
      <c r="K463" s="2918"/>
      <c r="L463" s="2918"/>
      <c r="M463" s="2918"/>
      <c r="N463" s="2918"/>
      <c r="O463" s="2918"/>
      <c r="P463" s="2918"/>
      <c r="Q463" s="2918"/>
      <c r="R463" s="2918"/>
      <c r="S463" s="2918"/>
      <c r="T463" s="2918"/>
      <c r="U463" s="2918"/>
      <c r="V463" s="2918"/>
      <c r="W463" s="2918"/>
      <c r="X463" s="2918"/>
      <c r="Y463" s="2918"/>
      <c r="Z463" s="2918"/>
      <c r="AA463" s="2918"/>
      <c r="AB463" s="2918"/>
      <c r="AC463" s="2897">
        <f t="shared" si="268"/>
        <v>0</v>
      </c>
      <c r="AD463" s="2929"/>
      <c r="AE463" s="2929"/>
      <c r="AF463" s="2929"/>
      <c r="AG463" s="2929"/>
      <c r="AH463" s="2929"/>
      <c r="AI463" s="2929"/>
      <c r="AJ463" s="2929"/>
      <c r="AK463" s="2929"/>
      <c r="AL463" s="2929"/>
      <c r="AM463" s="2929"/>
      <c r="AN463" s="2929"/>
      <c r="AO463" s="2929"/>
      <c r="AP463" s="2929"/>
      <c r="AQ463" s="2929"/>
      <c r="AR463" s="2929"/>
      <c r="AS463" s="2929"/>
      <c r="AT463" s="2949"/>
      <c r="AU463" s="2950"/>
      <c r="AV463" s="454">
        <f t="shared" si="269"/>
        <v>0</v>
      </c>
      <c r="AW463" s="454">
        <f t="shared" si="270"/>
        <v>0</v>
      </c>
      <c r="AX463" s="454">
        <f t="shared" si="271"/>
        <v>0</v>
      </c>
      <c r="AY463" s="2966">
        <f t="shared" si="272"/>
        <v>0</v>
      </c>
      <c r="AZ463" s="2897">
        <f t="shared" si="273"/>
        <v>0</v>
      </c>
      <c r="BA463" s="2897">
        <f t="shared" si="274"/>
        <v>0</v>
      </c>
      <c r="BB463" s="2897">
        <f t="shared" si="275"/>
        <v>0</v>
      </c>
      <c r="BC463" s="2897">
        <f t="shared" si="276"/>
        <v>0</v>
      </c>
      <c r="BD463" s="2897">
        <f t="shared" si="277"/>
        <v>0</v>
      </c>
      <c r="BE463" s="2897">
        <f t="shared" si="278"/>
        <v>0</v>
      </c>
      <c r="BF463" s="2897">
        <f t="shared" si="279"/>
        <v>0</v>
      </c>
      <c r="BG463" s="2897">
        <f t="shared" si="280"/>
        <v>0</v>
      </c>
      <c r="BH463" s="2897">
        <f t="shared" si="281"/>
        <v>0</v>
      </c>
      <c r="BI463" s="2897">
        <f t="shared" si="282"/>
        <v>0</v>
      </c>
      <c r="BJ463" s="2897">
        <f t="shared" si="283"/>
        <v>0</v>
      </c>
      <c r="BK463" s="2897">
        <f t="shared" si="284"/>
        <v>0</v>
      </c>
      <c r="BL463" s="2897">
        <f t="shared" si="285"/>
        <v>0</v>
      </c>
      <c r="BM463" s="2897">
        <f t="shared" si="286"/>
        <v>0</v>
      </c>
      <c r="BN463" s="2897">
        <f t="shared" si="287"/>
        <v>0</v>
      </c>
      <c r="BO463" s="2897">
        <f t="shared" si="288"/>
        <v>0</v>
      </c>
      <c r="BP463" s="2897">
        <f t="shared" si="289"/>
        <v>0</v>
      </c>
      <c r="BQ463" s="2897">
        <f t="shared" si="290"/>
        <v>0</v>
      </c>
      <c r="BR463" s="2897">
        <f t="shared" si="291"/>
        <v>0</v>
      </c>
      <c r="BS463" s="2897">
        <f t="shared" si="292"/>
        <v>0</v>
      </c>
      <c r="BT463" s="2971">
        <f t="shared" si="293"/>
        <v>0</v>
      </c>
    </row>
    <row r="464" spans="1:72">
      <c r="A464" s="2894"/>
      <c r="B464" s="2895"/>
      <c r="C464" s="2895"/>
      <c r="D464" s="2907"/>
      <c r="E464" s="2897">
        <f t="shared" si="265"/>
        <v>0</v>
      </c>
      <c r="F464" s="2898"/>
      <c r="G464" s="2899">
        <f t="shared" si="266"/>
        <v>0</v>
      </c>
      <c r="H464" s="2900">
        <f t="shared" si="267"/>
        <v>0</v>
      </c>
      <c r="I464" s="2918"/>
      <c r="J464" s="2918"/>
      <c r="K464" s="2918"/>
      <c r="L464" s="2918"/>
      <c r="M464" s="2918"/>
      <c r="N464" s="2918"/>
      <c r="O464" s="2918"/>
      <c r="P464" s="2918"/>
      <c r="Q464" s="2918"/>
      <c r="R464" s="2918"/>
      <c r="S464" s="2918"/>
      <c r="T464" s="2918"/>
      <c r="U464" s="2918"/>
      <c r="V464" s="2918"/>
      <c r="W464" s="2918"/>
      <c r="X464" s="2918"/>
      <c r="Y464" s="2918"/>
      <c r="Z464" s="2918"/>
      <c r="AA464" s="2918"/>
      <c r="AB464" s="2918"/>
      <c r="AC464" s="2897">
        <f t="shared" si="268"/>
        <v>0</v>
      </c>
      <c r="AD464" s="2929"/>
      <c r="AE464" s="2929"/>
      <c r="AF464" s="2929"/>
      <c r="AG464" s="2929"/>
      <c r="AH464" s="2929"/>
      <c r="AI464" s="2929"/>
      <c r="AJ464" s="2929"/>
      <c r="AK464" s="2929"/>
      <c r="AL464" s="2929"/>
      <c r="AM464" s="2929"/>
      <c r="AN464" s="2929"/>
      <c r="AO464" s="2929"/>
      <c r="AP464" s="2929"/>
      <c r="AQ464" s="2929"/>
      <c r="AR464" s="2929"/>
      <c r="AS464" s="2929"/>
      <c r="AT464" s="2949"/>
      <c r="AU464" s="2950"/>
      <c r="AV464" s="454">
        <f t="shared" si="269"/>
        <v>0</v>
      </c>
      <c r="AW464" s="454">
        <f t="shared" si="270"/>
        <v>0</v>
      </c>
      <c r="AX464" s="454">
        <f t="shared" si="271"/>
        <v>0</v>
      </c>
      <c r="AY464" s="2966">
        <f t="shared" si="272"/>
        <v>0</v>
      </c>
      <c r="AZ464" s="2897">
        <f t="shared" si="273"/>
        <v>0</v>
      </c>
      <c r="BA464" s="2897">
        <f t="shared" si="274"/>
        <v>0</v>
      </c>
      <c r="BB464" s="2897">
        <f t="shared" si="275"/>
        <v>0</v>
      </c>
      <c r="BC464" s="2897">
        <f t="shared" si="276"/>
        <v>0</v>
      </c>
      <c r="BD464" s="2897">
        <f t="shared" si="277"/>
        <v>0</v>
      </c>
      <c r="BE464" s="2897">
        <f t="shared" si="278"/>
        <v>0</v>
      </c>
      <c r="BF464" s="2897">
        <f t="shared" si="279"/>
        <v>0</v>
      </c>
      <c r="BG464" s="2897">
        <f t="shared" si="280"/>
        <v>0</v>
      </c>
      <c r="BH464" s="2897">
        <f t="shared" si="281"/>
        <v>0</v>
      </c>
      <c r="BI464" s="2897">
        <f t="shared" si="282"/>
        <v>0</v>
      </c>
      <c r="BJ464" s="2897">
        <f t="shared" si="283"/>
        <v>0</v>
      </c>
      <c r="BK464" s="2897">
        <f t="shared" si="284"/>
        <v>0</v>
      </c>
      <c r="BL464" s="2897">
        <f t="shared" si="285"/>
        <v>0</v>
      </c>
      <c r="BM464" s="2897">
        <f t="shared" si="286"/>
        <v>0</v>
      </c>
      <c r="BN464" s="2897">
        <f t="shared" si="287"/>
        <v>0</v>
      </c>
      <c r="BO464" s="2897">
        <f t="shared" si="288"/>
        <v>0</v>
      </c>
      <c r="BP464" s="2897">
        <f t="shared" si="289"/>
        <v>0</v>
      </c>
      <c r="BQ464" s="2897">
        <f t="shared" si="290"/>
        <v>0</v>
      </c>
      <c r="BR464" s="2897">
        <f t="shared" si="291"/>
        <v>0</v>
      </c>
      <c r="BS464" s="2897">
        <f t="shared" si="292"/>
        <v>0</v>
      </c>
      <c r="BT464" s="2971">
        <f t="shared" si="293"/>
        <v>0</v>
      </c>
    </row>
    <row r="465" spans="1:72">
      <c r="A465" s="2894"/>
      <c r="B465" s="2895"/>
      <c r="C465" s="2895"/>
      <c r="D465" s="2907"/>
      <c r="E465" s="2897">
        <f t="shared" si="265"/>
        <v>0</v>
      </c>
      <c r="F465" s="2898"/>
      <c r="G465" s="2899">
        <f t="shared" si="266"/>
        <v>0</v>
      </c>
      <c r="H465" s="2900">
        <f t="shared" si="267"/>
        <v>0</v>
      </c>
      <c r="I465" s="2918"/>
      <c r="J465" s="2918"/>
      <c r="K465" s="2918"/>
      <c r="L465" s="2918"/>
      <c r="M465" s="2918"/>
      <c r="N465" s="2918"/>
      <c r="O465" s="2918"/>
      <c r="P465" s="2918"/>
      <c r="Q465" s="2918"/>
      <c r="R465" s="2918"/>
      <c r="S465" s="2918"/>
      <c r="T465" s="2918"/>
      <c r="U465" s="2918"/>
      <c r="V465" s="2918"/>
      <c r="W465" s="2918"/>
      <c r="X465" s="2918"/>
      <c r="Y465" s="2918"/>
      <c r="Z465" s="2918"/>
      <c r="AA465" s="2918"/>
      <c r="AB465" s="2918"/>
      <c r="AC465" s="2897">
        <f t="shared" si="268"/>
        <v>0</v>
      </c>
      <c r="AD465" s="2929"/>
      <c r="AE465" s="2929"/>
      <c r="AF465" s="2929"/>
      <c r="AG465" s="2929"/>
      <c r="AH465" s="2929"/>
      <c r="AI465" s="2929"/>
      <c r="AJ465" s="2929"/>
      <c r="AK465" s="2929"/>
      <c r="AL465" s="2929"/>
      <c r="AM465" s="2929"/>
      <c r="AN465" s="2929"/>
      <c r="AO465" s="2929"/>
      <c r="AP465" s="2929"/>
      <c r="AQ465" s="2929"/>
      <c r="AR465" s="2929"/>
      <c r="AS465" s="2929"/>
      <c r="AT465" s="2949"/>
      <c r="AU465" s="2950"/>
      <c r="AV465" s="454">
        <f t="shared" si="269"/>
        <v>0</v>
      </c>
      <c r="AW465" s="454">
        <f t="shared" si="270"/>
        <v>0</v>
      </c>
      <c r="AX465" s="454">
        <f t="shared" si="271"/>
        <v>0</v>
      </c>
      <c r="AY465" s="2966">
        <f t="shared" si="272"/>
        <v>0</v>
      </c>
      <c r="AZ465" s="2897">
        <f t="shared" si="273"/>
        <v>0</v>
      </c>
      <c r="BA465" s="2897">
        <f t="shared" si="274"/>
        <v>0</v>
      </c>
      <c r="BB465" s="2897">
        <f t="shared" si="275"/>
        <v>0</v>
      </c>
      <c r="BC465" s="2897">
        <f t="shared" si="276"/>
        <v>0</v>
      </c>
      <c r="BD465" s="2897">
        <f t="shared" si="277"/>
        <v>0</v>
      </c>
      <c r="BE465" s="2897">
        <f t="shared" si="278"/>
        <v>0</v>
      </c>
      <c r="BF465" s="2897">
        <f t="shared" si="279"/>
        <v>0</v>
      </c>
      <c r="BG465" s="2897">
        <f t="shared" si="280"/>
        <v>0</v>
      </c>
      <c r="BH465" s="2897">
        <f t="shared" si="281"/>
        <v>0</v>
      </c>
      <c r="BI465" s="2897">
        <f t="shared" si="282"/>
        <v>0</v>
      </c>
      <c r="BJ465" s="2897">
        <f t="shared" si="283"/>
        <v>0</v>
      </c>
      <c r="BK465" s="2897">
        <f t="shared" si="284"/>
        <v>0</v>
      </c>
      <c r="BL465" s="2897">
        <f t="shared" si="285"/>
        <v>0</v>
      </c>
      <c r="BM465" s="2897">
        <f t="shared" si="286"/>
        <v>0</v>
      </c>
      <c r="BN465" s="2897">
        <f t="shared" si="287"/>
        <v>0</v>
      </c>
      <c r="BO465" s="2897">
        <f t="shared" si="288"/>
        <v>0</v>
      </c>
      <c r="BP465" s="2897">
        <f t="shared" si="289"/>
        <v>0</v>
      </c>
      <c r="BQ465" s="2897">
        <f t="shared" si="290"/>
        <v>0</v>
      </c>
      <c r="BR465" s="2897">
        <f t="shared" si="291"/>
        <v>0</v>
      </c>
      <c r="BS465" s="2897">
        <f t="shared" si="292"/>
        <v>0</v>
      </c>
      <c r="BT465" s="2971">
        <f t="shared" si="293"/>
        <v>0</v>
      </c>
    </row>
    <row r="466" spans="1:72">
      <c r="A466" s="2894"/>
      <c r="B466" s="2895"/>
      <c r="C466" s="2895"/>
      <c r="D466" s="2907"/>
      <c r="E466" s="2897">
        <f t="shared" si="265"/>
        <v>0</v>
      </c>
      <c r="F466" s="2898"/>
      <c r="G466" s="2899">
        <f t="shared" si="266"/>
        <v>0</v>
      </c>
      <c r="H466" s="2900">
        <f t="shared" si="267"/>
        <v>0</v>
      </c>
      <c r="I466" s="2918"/>
      <c r="J466" s="2918"/>
      <c r="K466" s="2918"/>
      <c r="L466" s="2918"/>
      <c r="M466" s="2918"/>
      <c r="N466" s="2918"/>
      <c r="O466" s="2918"/>
      <c r="P466" s="2918"/>
      <c r="Q466" s="2918"/>
      <c r="R466" s="2918"/>
      <c r="S466" s="2918"/>
      <c r="T466" s="2918"/>
      <c r="U466" s="2918"/>
      <c r="V466" s="2918"/>
      <c r="W466" s="2918"/>
      <c r="X466" s="2918"/>
      <c r="Y466" s="2918"/>
      <c r="Z466" s="2918"/>
      <c r="AA466" s="2918"/>
      <c r="AB466" s="2918"/>
      <c r="AC466" s="2897">
        <f t="shared" si="268"/>
        <v>0</v>
      </c>
      <c r="AD466" s="2929"/>
      <c r="AE466" s="2929"/>
      <c r="AF466" s="2929"/>
      <c r="AG466" s="2929"/>
      <c r="AH466" s="2929"/>
      <c r="AI466" s="2929"/>
      <c r="AJ466" s="2929"/>
      <c r="AK466" s="2929"/>
      <c r="AL466" s="2929"/>
      <c r="AM466" s="2929"/>
      <c r="AN466" s="2929"/>
      <c r="AO466" s="2929"/>
      <c r="AP466" s="2929"/>
      <c r="AQ466" s="2929"/>
      <c r="AR466" s="2929"/>
      <c r="AS466" s="2929"/>
      <c r="AT466" s="2949"/>
      <c r="AU466" s="2950"/>
      <c r="AV466" s="454">
        <f t="shared" si="269"/>
        <v>0</v>
      </c>
      <c r="AW466" s="454">
        <f t="shared" si="270"/>
        <v>0</v>
      </c>
      <c r="AX466" s="454">
        <f t="shared" si="271"/>
        <v>0</v>
      </c>
      <c r="AY466" s="2966">
        <f t="shared" si="272"/>
        <v>0</v>
      </c>
      <c r="AZ466" s="2897">
        <f t="shared" si="273"/>
        <v>0</v>
      </c>
      <c r="BA466" s="2897">
        <f t="shared" si="274"/>
        <v>0</v>
      </c>
      <c r="BB466" s="2897">
        <f t="shared" si="275"/>
        <v>0</v>
      </c>
      <c r="BC466" s="2897">
        <f t="shared" si="276"/>
        <v>0</v>
      </c>
      <c r="BD466" s="2897">
        <f t="shared" si="277"/>
        <v>0</v>
      </c>
      <c r="BE466" s="2897">
        <f t="shared" si="278"/>
        <v>0</v>
      </c>
      <c r="BF466" s="2897">
        <f t="shared" si="279"/>
        <v>0</v>
      </c>
      <c r="BG466" s="2897">
        <f t="shared" si="280"/>
        <v>0</v>
      </c>
      <c r="BH466" s="2897">
        <f t="shared" si="281"/>
        <v>0</v>
      </c>
      <c r="BI466" s="2897">
        <f t="shared" si="282"/>
        <v>0</v>
      </c>
      <c r="BJ466" s="2897">
        <f t="shared" si="283"/>
        <v>0</v>
      </c>
      <c r="BK466" s="2897">
        <f t="shared" si="284"/>
        <v>0</v>
      </c>
      <c r="BL466" s="2897">
        <f t="shared" si="285"/>
        <v>0</v>
      </c>
      <c r="BM466" s="2897">
        <f t="shared" si="286"/>
        <v>0</v>
      </c>
      <c r="BN466" s="2897">
        <f t="shared" si="287"/>
        <v>0</v>
      </c>
      <c r="BO466" s="2897">
        <f t="shared" si="288"/>
        <v>0</v>
      </c>
      <c r="BP466" s="2897">
        <f t="shared" si="289"/>
        <v>0</v>
      </c>
      <c r="BQ466" s="2897">
        <f t="shared" si="290"/>
        <v>0</v>
      </c>
      <c r="BR466" s="2897">
        <f t="shared" si="291"/>
        <v>0</v>
      </c>
      <c r="BS466" s="2897">
        <f t="shared" si="292"/>
        <v>0</v>
      </c>
      <c r="BT466" s="2971">
        <f t="shared" si="293"/>
        <v>0</v>
      </c>
    </row>
    <row r="467" spans="1:72">
      <c r="A467" s="2894"/>
      <c r="B467" s="2895"/>
      <c r="C467" s="2895"/>
      <c r="D467" s="2907"/>
      <c r="E467" s="2897">
        <f t="shared" si="265"/>
        <v>0</v>
      </c>
      <c r="F467" s="2898"/>
      <c r="G467" s="2899">
        <f t="shared" si="266"/>
        <v>0</v>
      </c>
      <c r="H467" s="2900">
        <f t="shared" si="267"/>
        <v>0</v>
      </c>
      <c r="I467" s="2918"/>
      <c r="J467" s="2918"/>
      <c r="K467" s="2918"/>
      <c r="L467" s="2918"/>
      <c r="M467" s="2918"/>
      <c r="N467" s="2918"/>
      <c r="O467" s="2918"/>
      <c r="P467" s="2918"/>
      <c r="Q467" s="2918"/>
      <c r="R467" s="2918"/>
      <c r="S467" s="2918"/>
      <c r="T467" s="2918"/>
      <c r="U467" s="2918"/>
      <c r="V467" s="2918"/>
      <c r="W467" s="2918"/>
      <c r="X467" s="2918"/>
      <c r="Y467" s="2918"/>
      <c r="Z467" s="2918"/>
      <c r="AA467" s="2918"/>
      <c r="AB467" s="2918"/>
      <c r="AC467" s="2897">
        <f t="shared" si="268"/>
        <v>0</v>
      </c>
      <c r="AD467" s="2929"/>
      <c r="AE467" s="2929"/>
      <c r="AF467" s="2929"/>
      <c r="AG467" s="2929"/>
      <c r="AH467" s="2929"/>
      <c r="AI467" s="2929"/>
      <c r="AJ467" s="2929"/>
      <c r="AK467" s="2929"/>
      <c r="AL467" s="2929"/>
      <c r="AM467" s="2929"/>
      <c r="AN467" s="2929"/>
      <c r="AO467" s="2929"/>
      <c r="AP467" s="2929"/>
      <c r="AQ467" s="2929"/>
      <c r="AR467" s="2929"/>
      <c r="AS467" s="2929"/>
      <c r="AT467" s="2949"/>
      <c r="AU467" s="2950"/>
      <c r="AV467" s="454">
        <f t="shared" si="269"/>
        <v>0</v>
      </c>
      <c r="AW467" s="454">
        <f t="shared" si="270"/>
        <v>0</v>
      </c>
      <c r="AX467" s="454">
        <f t="shared" si="271"/>
        <v>0</v>
      </c>
      <c r="AY467" s="2966">
        <f t="shared" si="272"/>
        <v>0</v>
      </c>
      <c r="AZ467" s="2897">
        <f t="shared" si="273"/>
        <v>0</v>
      </c>
      <c r="BA467" s="2897">
        <f t="shared" si="274"/>
        <v>0</v>
      </c>
      <c r="BB467" s="2897">
        <f t="shared" si="275"/>
        <v>0</v>
      </c>
      <c r="BC467" s="2897">
        <f t="shared" si="276"/>
        <v>0</v>
      </c>
      <c r="BD467" s="2897">
        <f t="shared" si="277"/>
        <v>0</v>
      </c>
      <c r="BE467" s="2897">
        <f t="shared" si="278"/>
        <v>0</v>
      </c>
      <c r="BF467" s="2897">
        <f t="shared" si="279"/>
        <v>0</v>
      </c>
      <c r="BG467" s="2897">
        <f t="shared" si="280"/>
        <v>0</v>
      </c>
      <c r="BH467" s="2897">
        <f t="shared" si="281"/>
        <v>0</v>
      </c>
      <c r="BI467" s="2897">
        <f t="shared" si="282"/>
        <v>0</v>
      </c>
      <c r="BJ467" s="2897">
        <f t="shared" si="283"/>
        <v>0</v>
      </c>
      <c r="BK467" s="2897">
        <f t="shared" si="284"/>
        <v>0</v>
      </c>
      <c r="BL467" s="2897">
        <f t="shared" si="285"/>
        <v>0</v>
      </c>
      <c r="BM467" s="2897">
        <f t="shared" si="286"/>
        <v>0</v>
      </c>
      <c r="BN467" s="2897">
        <f t="shared" si="287"/>
        <v>0</v>
      </c>
      <c r="BO467" s="2897">
        <f t="shared" si="288"/>
        <v>0</v>
      </c>
      <c r="BP467" s="2897">
        <f t="shared" si="289"/>
        <v>0</v>
      </c>
      <c r="BQ467" s="2897">
        <f t="shared" si="290"/>
        <v>0</v>
      </c>
      <c r="BR467" s="2897">
        <f t="shared" si="291"/>
        <v>0</v>
      </c>
      <c r="BS467" s="2897">
        <f t="shared" si="292"/>
        <v>0</v>
      </c>
      <c r="BT467" s="2971">
        <f t="shared" si="293"/>
        <v>0</v>
      </c>
    </row>
    <row r="468" spans="1:72">
      <c r="A468" s="2894"/>
      <c r="B468" s="2895"/>
      <c r="C468" s="2895"/>
      <c r="D468" s="2907"/>
      <c r="E468" s="2897">
        <f t="shared" si="265"/>
        <v>0</v>
      </c>
      <c r="F468" s="2898"/>
      <c r="G468" s="2899">
        <f t="shared" si="266"/>
        <v>0</v>
      </c>
      <c r="H468" s="2900">
        <f t="shared" si="267"/>
        <v>0</v>
      </c>
      <c r="I468" s="2918"/>
      <c r="J468" s="2918"/>
      <c r="K468" s="2918"/>
      <c r="L468" s="2918"/>
      <c r="M468" s="2918"/>
      <c r="N468" s="2918"/>
      <c r="O468" s="2918"/>
      <c r="P468" s="2918"/>
      <c r="Q468" s="2918"/>
      <c r="R468" s="2918"/>
      <c r="S468" s="2918"/>
      <c r="T468" s="2918"/>
      <c r="U468" s="2918"/>
      <c r="V468" s="2918"/>
      <c r="W468" s="2918"/>
      <c r="X468" s="2918"/>
      <c r="Y468" s="2918"/>
      <c r="Z468" s="2918"/>
      <c r="AA468" s="2918"/>
      <c r="AB468" s="2918"/>
      <c r="AC468" s="2897">
        <f t="shared" si="268"/>
        <v>0</v>
      </c>
      <c r="AD468" s="2929"/>
      <c r="AE468" s="2929"/>
      <c r="AF468" s="2929"/>
      <c r="AG468" s="2929"/>
      <c r="AH468" s="2929"/>
      <c r="AI468" s="2929"/>
      <c r="AJ468" s="2929"/>
      <c r="AK468" s="2929"/>
      <c r="AL468" s="2929"/>
      <c r="AM468" s="2929"/>
      <c r="AN468" s="2929"/>
      <c r="AO468" s="2929"/>
      <c r="AP468" s="2929"/>
      <c r="AQ468" s="2929"/>
      <c r="AR468" s="2929"/>
      <c r="AS468" s="2929"/>
      <c r="AT468" s="2949"/>
      <c r="AU468" s="2950"/>
      <c r="AV468" s="454">
        <f t="shared" si="269"/>
        <v>0</v>
      </c>
      <c r="AW468" s="454">
        <f t="shared" si="270"/>
        <v>0</v>
      </c>
      <c r="AX468" s="454">
        <f t="shared" si="271"/>
        <v>0</v>
      </c>
      <c r="AY468" s="2966">
        <f t="shared" si="272"/>
        <v>0</v>
      </c>
      <c r="AZ468" s="2897">
        <f t="shared" si="273"/>
        <v>0</v>
      </c>
      <c r="BA468" s="2897">
        <f t="shared" si="274"/>
        <v>0</v>
      </c>
      <c r="BB468" s="2897">
        <f t="shared" si="275"/>
        <v>0</v>
      </c>
      <c r="BC468" s="2897">
        <f t="shared" si="276"/>
        <v>0</v>
      </c>
      <c r="BD468" s="2897">
        <f t="shared" si="277"/>
        <v>0</v>
      </c>
      <c r="BE468" s="2897">
        <f t="shared" si="278"/>
        <v>0</v>
      </c>
      <c r="BF468" s="2897">
        <f t="shared" si="279"/>
        <v>0</v>
      </c>
      <c r="BG468" s="2897">
        <f t="shared" si="280"/>
        <v>0</v>
      </c>
      <c r="BH468" s="2897">
        <f t="shared" si="281"/>
        <v>0</v>
      </c>
      <c r="BI468" s="2897">
        <f t="shared" si="282"/>
        <v>0</v>
      </c>
      <c r="BJ468" s="2897">
        <f t="shared" si="283"/>
        <v>0</v>
      </c>
      <c r="BK468" s="2897">
        <f t="shared" si="284"/>
        <v>0</v>
      </c>
      <c r="BL468" s="2897">
        <f t="shared" si="285"/>
        <v>0</v>
      </c>
      <c r="BM468" s="2897">
        <f t="shared" si="286"/>
        <v>0</v>
      </c>
      <c r="BN468" s="2897">
        <f t="shared" si="287"/>
        <v>0</v>
      </c>
      <c r="BO468" s="2897">
        <f t="shared" si="288"/>
        <v>0</v>
      </c>
      <c r="BP468" s="2897">
        <f t="shared" si="289"/>
        <v>0</v>
      </c>
      <c r="BQ468" s="2897">
        <f t="shared" si="290"/>
        <v>0</v>
      </c>
      <c r="BR468" s="2897">
        <f t="shared" si="291"/>
        <v>0</v>
      </c>
      <c r="BS468" s="2897">
        <f t="shared" si="292"/>
        <v>0</v>
      </c>
      <c r="BT468" s="2971">
        <f t="shared" si="293"/>
        <v>0</v>
      </c>
    </row>
    <row r="469" spans="1:72">
      <c r="A469" s="2894"/>
      <c r="B469" s="2895"/>
      <c r="C469" s="2895"/>
      <c r="D469" s="2907"/>
      <c r="E469" s="2897">
        <f t="shared" si="265"/>
        <v>0</v>
      </c>
      <c r="F469" s="2898"/>
      <c r="G469" s="2899">
        <f t="shared" si="266"/>
        <v>0</v>
      </c>
      <c r="H469" s="2900">
        <f t="shared" si="267"/>
        <v>0</v>
      </c>
      <c r="I469" s="2918"/>
      <c r="J469" s="2918"/>
      <c r="K469" s="2918"/>
      <c r="L469" s="2918"/>
      <c r="M469" s="2918"/>
      <c r="N469" s="2918"/>
      <c r="O469" s="2918"/>
      <c r="P469" s="2918"/>
      <c r="Q469" s="2918"/>
      <c r="R469" s="2918"/>
      <c r="S469" s="2918"/>
      <c r="T469" s="2918"/>
      <c r="U469" s="2918"/>
      <c r="V469" s="2918"/>
      <c r="W469" s="2918"/>
      <c r="X469" s="2918"/>
      <c r="Y469" s="2918"/>
      <c r="Z469" s="2918"/>
      <c r="AA469" s="2918"/>
      <c r="AB469" s="2918"/>
      <c r="AC469" s="2897">
        <f t="shared" si="268"/>
        <v>0</v>
      </c>
      <c r="AD469" s="2929"/>
      <c r="AE469" s="2929"/>
      <c r="AF469" s="2929"/>
      <c r="AG469" s="2929"/>
      <c r="AH469" s="2929"/>
      <c r="AI469" s="2929"/>
      <c r="AJ469" s="2929"/>
      <c r="AK469" s="2929"/>
      <c r="AL469" s="2929"/>
      <c r="AM469" s="2929"/>
      <c r="AN469" s="2929"/>
      <c r="AO469" s="2929"/>
      <c r="AP469" s="2929"/>
      <c r="AQ469" s="2929"/>
      <c r="AR469" s="2929"/>
      <c r="AS469" s="2929"/>
      <c r="AT469" s="2949"/>
      <c r="AU469" s="2950"/>
      <c r="AV469" s="454">
        <f t="shared" si="269"/>
        <v>0</v>
      </c>
      <c r="AW469" s="454">
        <f t="shared" si="270"/>
        <v>0</v>
      </c>
      <c r="AX469" s="454">
        <f t="shared" si="271"/>
        <v>0</v>
      </c>
      <c r="AY469" s="2966">
        <f t="shared" si="272"/>
        <v>0</v>
      </c>
      <c r="AZ469" s="2897">
        <f t="shared" si="273"/>
        <v>0</v>
      </c>
      <c r="BA469" s="2897">
        <f t="shared" si="274"/>
        <v>0</v>
      </c>
      <c r="BB469" s="2897">
        <f t="shared" si="275"/>
        <v>0</v>
      </c>
      <c r="BC469" s="2897">
        <f t="shared" si="276"/>
        <v>0</v>
      </c>
      <c r="BD469" s="2897">
        <f t="shared" si="277"/>
        <v>0</v>
      </c>
      <c r="BE469" s="2897">
        <f t="shared" si="278"/>
        <v>0</v>
      </c>
      <c r="BF469" s="2897">
        <f t="shared" si="279"/>
        <v>0</v>
      </c>
      <c r="BG469" s="2897">
        <f t="shared" si="280"/>
        <v>0</v>
      </c>
      <c r="BH469" s="2897">
        <f t="shared" si="281"/>
        <v>0</v>
      </c>
      <c r="BI469" s="2897">
        <f t="shared" si="282"/>
        <v>0</v>
      </c>
      <c r="BJ469" s="2897">
        <f t="shared" si="283"/>
        <v>0</v>
      </c>
      <c r="BK469" s="2897">
        <f t="shared" si="284"/>
        <v>0</v>
      </c>
      <c r="BL469" s="2897">
        <f t="shared" si="285"/>
        <v>0</v>
      </c>
      <c r="BM469" s="2897">
        <f t="shared" si="286"/>
        <v>0</v>
      </c>
      <c r="BN469" s="2897">
        <f t="shared" si="287"/>
        <v>0</v>
      </c>
      <c r="BO469" s="2897">
        <f t="shared" si="288"/>
        <v>0</v>
      </c>
      <c r="BP469" s="2897">
        <f t="shared" si="289"/>
        <v>0</v>
      </c>
      <c r="BQ469" s="2897">
        <f t="shared" si="290"/>
        <v>0</v>
      </c>
      <c r="BR469" s="2897">
        <f t="shared" si="291"/>
        <v>0</v>
      </c>
      <c r="BS469" s="2897">
        <f t="shared" si="292"/>
        <v>0</v>
      </c>
      <c r="BT469" s="2971">
        <f t="shared" si="293"/>
        <v>0</v>
      </c>
    </row>
    <row r="470" spans="1:72">
      <c r="A470" s="2894"/>
      <c r="B470" s="2895"/>
      <c r="C470" s="2895"/>
      <c r="D470" s="2907"/>
      <c r="E470" s="2897">
        <f t="shared" si="265"/>
        <v>0</v>
      </c>
      <c r="F470" s="2898"/>
      <c r="G470" s="2899">
        <f t="shared" si="266"/>
        <v>0</v>
      </c>
      <c r="H470" s="2900">
        <f t="shared" si="267"/>
        <v>0</v>
      </c>
      <c r="I470" s="2918"/>
      <c r="J470" s="2918"/>
      <c r="K470" s="2918"/>
      <c r="L470" s="2918"/>
      <c r="M470" s="2918"/>
      <c r="N470" s="2918"/>
      <c r="O470" s="2918"/>
      <c r="P470" s="2918"/>
      <c r="Q470" s="2918"/>
      <c r="R470" s="2918"/>
      <c r="S470" s="2918"/>
      <c r="T470" s="2918"/>
      <c r="U470" s="2918"/>
      <c r="V470" s="2918"/>
      <c r="W470" s="2918"/>
      <c r="X470" s="2918"/>
      <c r="Y470" s="2918"/>
      <c r="Z470" s="2918"/>
      <c r="AA470" s="2918"/>
      <c r="AB470" s="2918"/>
      <c r="AC470" s="2897">
        <f t="shared" si="268"/>
        <v>0</v>
      </c>
      <c r="AD470" s="2929"/>
      <c r="AE470" s="2929"/>
      <c r="AF470" s="2929"/>
      <c r="AG470" s="2929"/>
      <c r="AH470" s="2929"/>
      <c r="AI470" s="2929"/>
      <c r="AJ470" s="2929"/>
      <c r="AK470" s="2929"/>
      <c r="AL470" s="2929"/>
      <c r="AM470" s="2929"/>
      <c r="AN470" s="2929"/>
      <c r="AO470" s="2929"/>
      <c r="AP470" s="2929"/>
      <c r="AQ470" s="2929"/>
      <c r="AR470" s="2929"/>
      <c r="AS470" s="2929"/>
      <c r="AT470" s="2949"/>
      <c r="AU470" s="2950"/>
      <c r="AV470" s="454">
        <f t="shared" si="269"/>
        <v>0</v>
      </c>
      <c r="AW470" s="454">
        <f t="shared" si="270"/>
        <v>0</v>
      </c>
      <c r="AX470" s="454">
        <f t="shared" si="271"/>
        <v>0</v>
      </c>
      <c r="AY470" s="2966">
        <f t="shared" si="272"/>
        <v>0</v>
      </c>
      <c r="AZ470" s="2897">
        <f t="shared" si="273"/>
        <v>0</v>
      </c>
      <c r="BA470" s="2897">
        <f t="shared" si="274"/>
        <v>0</v>
      </c>
      <c r="BB470" s="2897">
        <f t="shared" si="275"/>
        <v>0</v>
      </c>
      <c r="BC470" s="2897">
        <f t="shared" si="276"/>
        <v>0</v>
      </c>
      <c r="BD470" s="2897">
        <f t="shared" si="277"/>
        <v>0</v>
      </c>
      <c r="BE470" s="2897">
        <f t="shared" si="278"/>
        <v>0</v>
      </c>
      <c r="BF470" s="2897">
        <f t="shared" si="279"/>
        <v>0</v>
      </c>
      <c r="BG470" s="2897">
        <f t="shared" si="280"/>
        <v>0</v>
      </c>
      <c r="BH470" s="2897">
        <f t="shared" si="281"/>
        <v>0</v>
      </c>
      <c r="BI470" s="2897">
        <f t="shared" si="282"/>
        <v>0</v>
      </c>
      <c r="BJ470" s="2897">
        <f t="shared" si="283"/>
        <v>0</v>
      </c>
      <c r="BK470" s="2897">
        <f t="shared" si="284"/>
        <v>0</v>
      </c>
      <c r="BL470" s="2897">
        <f t="shared" si="285"/>
        <v>0</v>
      </c>
      <c r="BM470" s="2897">
        <f t="shared" si="286"/>
        <v>0</v>
      </c>
      <c r="BN470" s="2897">
        <f t="shared" si="287"/>
        <v>0</v>
      </c>
      <c r="BO470" s="2897">
        <f t="shared" si="288"/>
        <v>0</v>
      </c>
      <c r="BP470" s="2897">
        <f t="shared" si="289"/>
        <v>0</v>
      </c>
      <c r="BQ470" s="2897">
        <f t="shared" si="290"/>
        <v>0</v>
      </c>
      <c r="BR470" s="2897">
        <f t="shared" si="291"/>
        <v>0</v>
      </c>
      <c r="BS470" s="2897">
        <f t="shared" si="292"/>
        <v>0</v>
      </c>
      <c r="BT470" s="2971">
        <f t="shared" si="293"/>
        <v>0</v>
      </c>
    </row>
    <row r="471" spans="1:72">
      <c r="A471" s="2894"/>
      <c r="B471" s="2895"/>
      <c r="C471" s="2895"/>
      <c r="D471" s="2907"/>
      <c r="E471" s="2897">
        <f t="shared" si="265"/>
        <v>0</v>
      </c>
      <c r="F471" s="2898"/>
      <c r="G471" s="2899">
        <f t="shared" si="266"/>
        <v>0</v>
      </c>
      <c r="H471" s="2900">
        <f t="shared" si="267"/>
        <v>0</v>
      </c>
      <c r="I471" s="2918"/>
      <c r="J471" s="2918"/>
      <c r="K471" s="2918"/>
      <c r="L471" s="2918"/>
      <c r="M471" s="2918"/>
      <c r="N471" s="2918"/>
      <c r="O471" s="2918"/>
      <c r="P471" s="2918"/>
      <c r="Q471" s="2918"/>
      <c r="R471" s="2918"/>
      <c r="S471" s="2918"/>
      <c r="T471" s="2918"/>
      <c r="U471" s="2918"/>
      <c r="V471" s="2918"/>
      <c r="W471" s="2918"/>
      <c r="X471" s="2918"/>
      <c r="Y471" s="2918"/>
      <c r="Z471" s="2918"/>
      <c r="AA471" s="2918"/>
      <c r="AB471" s="2918"/>
      <c r="AC471" s="2897">
        <f t="shared" si="268"/>
        <v>0</v>
      </c>
      <c r="AD471" s="2929"/>
      <c r="AE471" s="2929"/>
      <c r="AF471" s="2929"/>
      <c r="AG471" s="2929"/>
      <c r="AH471" s="2929"/>
      <c r="AI471" s="2929"/>
      <c r="AJ471" s="2929"/>
      <c r="AK471" s="2929"/>
      <c r="AL471" s="2929"/>
      <c r="AM471" s="2929"/>
      <c r="AN471" s="2929"/>
      <c r="AO471" s="2929"/>
      <c r="AP471" s="2929"/>
      <c r="AQ471" s="2929"/>
      <c r="AR471" s="2929"/>
      <c r="AS471" s="2929"/>
      <c r="AT471" s="2949"/>
      <c r="AU471" s="2950"/>
      <c r="AV471" s="454">
        <f t="shared" si="269"/>
        <v>0</v>
      </c>
      <c r="AW471" s="454">
        <f t="shared" si="270"/>
        <v>0</v>
      </c>
      <c r="AX471" s="454">
        <f t="shared" si="271"/>
        <v>0</v>
      </c>
      <c r="AY471" s="2966">
        <f t="shared" si="272"/>
        <v>0</v>
      </c>
      <c r="AZ471" s="2897">
        <f t="shared" si="273"/>
        <v>0</v>
      </c>
      <c r="BA471" s="2897">
        <f t="shared" si="274"/>
        <v>0</v>
      </c>
      <c r="BB471" s="2897">
        <f t="shared" si="275"/>
        <v>0</v>
      </c>
      <c r="BC471" s="2897">
        <f t="shared" si="276"/>
        <v>0</v>
      </c>
      <c r="BD471" s="2897">
        <f t="shared" si="277"/>
        <v>0</v>
      </c>
      <c r="BE471" s="2897">
        <f t="shared" si="278"/>
        <v>0</v>
      </c>
      <c r="BF471" s="2897">
        <f t="shared" si="279"/>
        <v>0</v>
      </c>
      <c r="BG471" s="2897">
        <f t="shared" si="280"/>
        <v>0</v>
      </c>
      <c r="BH471" s="2897">
        <f t="shared" si="281"/>
        <v>0</v>
      </c>
      <c r="BI471" s="2897">
        <f t="shared" si="282"/>
        <v>0</v>
      </c>
      <c r="BJ471" s="2897">
        <f t="shared" si="283"/>
        <v>0</v>
      </c>
      <c r="BK471" s="2897">
        <f t="shared" si="284"/>
        <v>0</v>
      </c>
      <c r="BL471" s="2897">
        <f t="shared" si="285"/>
        <v>0</v>
      </c>
      <c r="BM471" s="2897">
        <f t="shared" si="286"/>
        <v>0</v>
      </c>
      <c r="BN471" s="2897">
        <f t="shared" si="287"/>
        <v>0</v>
      </c>
      <c r="BO471" s="2897">
        <f t="shared" si="288"/>
        <v>0</v>
      </c>
      <c r="BP471" s="2897">
        <f t="shared" si="289"/>
        <v>0</v>
      </c>
      <c r="BQ471" s="2897">
        <f t="shared" si="290"/>
        <v>0</v>
      </c>
      <c r="BR471" s="2897">
        <f t="shared" si="291"/>
        <v>0</v>
      </c>
      <c r="BS471" s="2897">
        <f t="shared" si="292"/>
        <v>0</v>
      </c>
      <c r="BT471" s="2971">
        <f t="shared" si="293"/>
        <v>0</v>
      </c>
    </row>
    <row r="472" spans="1:72">
      <c r="A472" s="2894"/>
      <c r="B472" s="2895"/>
      <c r="C472" s="2895"/>
      <c r="D472" s="2907"/>
      <c r="E472" s="2897">
        <f t="shared" si="265"/>
        <v>0</v>
      </c>
      <c r="F472" s="2898"/>
      <c r="G472" s="2899">
        <f t="shared" si="266"/>
        <v>0</v>
      </c>
      <c r="H472" s="2900">
        <f t="shared" si="267"/>
        <v>0</v>
      </c>
      <c r="I472" s="2918"/>
      <c r="J472" s="2918"/>
      <c r="K472" s="2918"/>
      <c r="L472" s="2918"/>
      <c r="M472" s="2918"/>
      <c r="N472" s="2918"/>
      <c r="O472" s="2918"/>
      <c r="P472" s="2918"/>
      <c r="Q472" s="2918"/>
      <c r="R472" s="2918"/>
      <c r="S472" s="2918"/>
      <c r="T472" s="2918"/>
      <c r="U472" s="2918"/>
      <c r="V472" s="2918"/>
      <c r="W472" s="2918"/>
      <c r="X472" s="2918"/>
      <c r="Y472" s="2918"/>
      <c r="Z472" s="2918"/>
      <c r="AA472" s="2918"/>
      <c r="AB472" s="2918"/>
      <c r="AC472" s="2897">
        <f t="shared" si="268"/>
        <v>0</v>
      </c>
      <c r="AD472" s="2929"/>
      <c r="AE472" s="2929"/>
      <c r="AF472" s="2929"/>
      <c r="AG472" s="2929"/>
      <c r="AH472" s="2929"/>
      <c r="AI472" s="2929"/>
      <c r="AJ472" s="2929"/>
      <c r="AK472" s="2929"/>
      <c r="AL472" s="2929"/>
      <c r="AM472" s="2929"/>
      <c r="AN472" s="2929"/>
      <c r="AO472" s="2929"/>
      <c r="AP472" s="2929"/>
      <c r="AQ472" s="2929"/>
      <c r="AR472" s="2929"/>
      <c r="AS472" s="2929"/>
      <c r="AT472" s="2949"/>
      <c r="AU472" s="2950"/>
      <c r="AV472" s="454">
        <f t="shared" si="269"/>
        <v>0</v>
      </c>
      <c r="AW472" s="454">
        <f t="shared" si="270"/>
        <v>0</v>
      </c>
      <c r="AX472" s="454">
        <f t="shared" si="271"/>
        <v>0</v>
      </c>
      <c r="AY472" s="2966">
        <f t="shared" si="272"/>
        <v>0</v>
      </c>
      <c r="AZ472" s="2897">
        <f t="shared" si="273"/>
        <v>0</v>
      </c>
      <c r="BA472" s="2897">
        <f t="shared" si="274"/>
        <v>0</v>
      </c>
      <c r="BB472" s="2897">
        <f t="shared" si="275"/>
        <v>0</v>
      </c>
      <c r="BC472" s="2897">
        <f t="shared" si="276"/>
        <v>0</v>
      </c>
      <c r="BD472" s="2897">
        <f t="shared" si="277"/>
        <v>0</v>
      </c>
      <c r="BE472" s="2897">
        <f t="shared" si="278"/>
        <v>0</v>
      </c>
      <c r="BF472" s="2897">
        <f t="shared" si="279"/>
        <v>0</v>
      </c>
      <c r="BG472" s="2897">
        <f t="shared" si="280"/>
        <v>0</v>
      </c>
      <c r="BH472" s="2897">
        <f t="shared" si="281"/>
        <v>0</v>
      </c>
      <c r="BI472" s="2897">
        <f t="shared" si="282"/>
        <v>0</v>
      </c>
      <c r="BJ472" s="2897">
        <f t="shared" si="283"/>
        <v>0</v>
      </c>
      <c r="BK472" s="2897">
        <f t="shared" si="284"/>
        <v>0</v>
      </c>
      <c r="BL472" s="2897">
        <f t="shared" si="285"/>
        <v>0</v>
      </c>
      <c r="BM472" s="2897">
        <f t="shared" si="286"/>
        <v>0</v>
      </c>
      <c r="BN472" s="2897">
        <f t="shared" si="287"/>
        <v>0</v>
      </c>
      <c r="BO472" s="2897">
        <f t="shared" si="288"/>
        <v>0</v>
      </c>
      <c r="BP472" s="2897">
        <f t="shared" si="289"/>
        <v>0</v>
      </c>
      <c r="BQ472" s="2897">
        <f t="shared" si="290"/>
        <v>0</v>
      </c>
      <c r="BR472" s="2897">
        <f t="shared" si="291"/>
        <v>0</v>
      </c>
      <c r="BS472" s="2897">
        <f t="shared" si="292"/>
        <v>0</v>
      </c>
      <c r="BT472" s="2971">
        <f t="shared" si="293"/>
        <v>0</v>
      </c>
    </row>
    <row r="473" spans="1:72">
      <c r="A473" s="2894"/>
      <c r="B473" s="2895"/>
      <c r="C473" s="2895"/>
      <c r="D473" s="2907"/>
      <c r="E473" s="2897">
        <f t="shared" si="265"/>
        <v>0</v>
      </c>
      <c r="F473" s="2898"/>
      <c r="G473" s="2899">
        <f t="shared" si="266"/>
        <v>0</v>
      </c>
      <c r="H473" s="2900">
        <f t="shared" si="267"/>
        <v>0</v>
      </c>
      <c r="I473" s="2918"/>
      <c r="J473" s="2918"/>
      <c r="K473" s="2918"/>
      <c r="L473" s="2918"/>
      <c r="M473" s="2918"/>
      <c r="N473" s="2918"/>
      <c r="O473" s="2918"/>
      <c r="P473" s="2918"/>
      <c r="Q473" s="2918"/>
      <c r="R473" s="2918"/>
      <c r="S473" s="2918"/>
      <c r="T473" s="2918"/>
      <c r="U473" s="2918"/>
      <c r="V473" s="2918"/>
      <c r="W473" s="2918"/>
      <c r="X473" s="2918"/>
      <c r="Y473" s="2918"/>
      <c r="Z473" s="2918"/>
      <c r="AA473" s="2918"/>
      <c r="AB473" s="2918"/>
      <c r="AC473" s="2897">
        <f t="shared" si="268"/>
        <v>0</v>
      </c>
      <c r="AD473" s="2929"/>
      <c r="AE473" s="2929"/>
      <c r="AF473" s="2929"/>
      <c r="AG473" s="2929"/>
      <c r="AH473" s="2929"/>
      <c r="AI473" s="2929"/>
      <c r="AJ473" s="2929"/>
      <c r="AK473" s="2929"/>
      <c r="AL473" s="2929"/>
      <c r="AM473" s="2929"/>
      <c r="AN473" s="2929"/>
      <c r="AO473" s="2929"/>
      <c r="AP473" s="2929"/>
      <c r="AQ473" s="2929"/>
      <c r="AR473" s="2929"/>
      <c r="AS473" s="2929"/>
      <c r="AT473" s="2949"/>
      <c r="AU473" s="2950"/>
      <c r="AV473" s="454">
        <f t="shared" si="269"/>
        <v>0</v>
      </c>
      <c r="AW473" s="454">
        <f t="shared" si="270"/>
        <v>0</v>
      </c>
      <c r="AX473" s="454">
        <f t="shared" si="271"/>
        <v>0</v>
      </c>
      <c r="AY473" s="2966">
        <f t="shared" si="272"/>
        <v>0</v>
      </c>
      <c r="AZ473" s="2897">
        <f t="shared" si="273"/>
        <v>0</v>
      </c>
      <c r="BA473" s="2897">
        <f t="shared" si="274"/>
        <v>0</v>
      </c>
      <c r="BB473" s="2897">
        <f t="shared" si="275"/>
        <v>0</v>
      </c>
      <c r="BC473" s="2897">
        <f t="shared" si="276"/>
        <v>0</v>
      </c>
      <c r="BD473" s="2897">
        <f t="shared" si="277"/>
        <v>0</v>
      </c>
      <c r="BE473" s="2897">
        <f t="shared" si="278"/>
        <v>0</v>
      </c>
      <c r="BF473" s="2897">
        <f t="shared" si="279"/>
        <v>0</v>
      </c>
      <c r="BG473" s="2897">
        <f t="shared" si="280"/>
        <v>0</v>
      </c>
      <c r="BH473" s="2897">
        <f t="shared" si="281"/>
        <v>0</v>
      </c>
      <c r="BI473" s="2897">
        <f t="shared" si="282"/>
        <v>0</v>
      </c>
      <c r="BJ473" s="2897">
        <f t="shared" si="283"/>
        <v>0</v>
      </c>
      <c r="BK473" s="2897">
        <f t="shared" si="284"/>
        <v>0</v>
      </c>
      <c r="BL473" s="2897">
        <f t="shared" si="285"/>
        <v>0</v>
      </c>
      <c r="BM473" s="2897">
        <f t="shared" si="286"/>
        <v>0</v>
      </c>
      <c r="BN473" s="2897">
        <f t="shared" si="287"/>
        <v>0</v>
      </c>
      <c r="BO473" s="2897">
        <f t="shared" si="288"/>
        <v>0</v>
      </c>
      <c r="BP473" s="2897">
        <f t="shared" si="289"/>
        <v>0</v>
      </c>
      <c r="BQ473" s="2897">
        <f t="shared" si="290"/>
        <v>0</v>
      </c>
      <c r="BR473" s="2897">
        <f t="shared" si="291"/>
        <v>0</v>
      </c>
      <c r="BS473" s="2897">
        <f t="shared" si="292"/>
        <v>0</v>
      </c>
      <c r="BT473" s="2971">
        <f t="shared" si="293"/>
        <v>0</v>
      </c>
    </row>
    <row r="474" spans="1:72">
      <c r="A474" s="2894"/>
      <c r="B474" s="2895"/>
      <c r="C474" s="2895"/>
      <c r="D474" s="2907"/>
      <c r="E474" s="2897">
        <f t="shared" si="265"/>
        <v>0</v>
      </c>
      <c r="F474" s="2898"/>
      <c r="G474" s="2899">
        <f t="shared" si="266"/>
        <v>0</v>
      </c>
      <c r="H474" s="2900">
        <f t="shared" si="267"/>
        <v>0</v>
      </c>
      <c r="I474" s="2918"/>
      <c r="J474" s="2918"/>
      <c r="K474" s="2918"/>
      <c r="L474" s="2918"/>
      <c r="M474" s="2918"/>
      <c r="N474" s="2918"/>
      <c r="O474" s="2918"/>
      <c r="P474" s="2918"/>
      <c r="Q474" s="2918"/>
      <c r="R474" s="2918"/>
      <c r="S474" s="2918"/>
      <c r="T474" s="2918"/>
      <c r="U474" s="2918"/>
      <c r="V474" s="2918"/>
      <c r="W474" s="2918"/>
      <c r="X474" s="2918"/>
      <c r="Y474" s="2918"/>
      <c r="Z474" s="2918"/>
      <c r="AA474" s="2918"/>
      <c r="AB474" s="2918"/>
      <c r="AC474" s="2897">
        <f t="shared" si="268"/>
        <v>0</v>
      </c>
      <c r="AD474" s="2929"/>
      <c r="AE474" s="2929"/>
      <c r="AF474" s="2929"/>
      <c r="AG474" s="2929"/>
      <c r="AH474" s="2929"/>
      <c r="AI474" s="2929"/>
      <c r="AJ474" s="2929"/>
      <c r="AK474" s="2929"/>
      <c r="AL474" s="2929"/>
      <c r="AM474" s="2929"/>
      <c r="AN474" s="2929"/>
      <c r="AO474" s="2929"/>
      <c r="AP474" s="2929"/>
      <c r="AQ474" s="2929"/>
      <c r="AR474" s="2929"/>
      <c r="AS474" s="2929"/>
      <c r="AT474" s="2949"/>
      <c r="AU474" s="2950"/>
      <c r="AV474" s="454">
        <f t="shared" si="269"/>
        <v>0</v>
      </c>
      <c r="AW474" s="454">
        <f t="shared" si="270"/>
        <v>0</v>
      </c>
      <c r="AX474" s="454">
        <f t="shared" si="271"/>
        <v>0</v>
      </c>
      <c r="AY474" s="2966">
        <f t="shared" si="272"/>
        <v>0</v>
      </c>
      <c r="AZ474" s="2897">
        <f t="shared" si="273"/>
        <v>0</v>
      </c>
      <c r="BA474" s="2897">
        <f t="shared" si="274"/>
        <v>0</v>
      </c>
      <c r="BB474" s="2897">
        <f t="shared" si="275"/>
        <v>0</v>
      </c>
      <c r="BC474" s="2897">
        <f t="shared" si="276"/>
        <v>0</v>
      </c>
      <c r="BD474" s="2897">
        <f t="shared" si="277"/>
        <v>0</v>
      </c>
      <c r="BE474" s="2897">
        <f t="shared" si="278"/>
        <v>0</v>
      </c>
      <c r="BF474" s="2897">
        <f t="shared" si="279"/>
        <v>0</v>
      </c>
      <c r="BG474" s="2897">
        <f t="shared" si="280"/>
        <v>0</v>
      </c>
      <c r="BH474" s="2897">
        <f t="shared" si="281"/>
        <v>0</v>
      </c>
      <c r="BI474" s="2897">
        <f t="shared" si="282"/>
        <v>0</v>
      </c>
      <c r="BJ474" s="2897">
        <f t="shared" si="283"/>
        <v>0</v>
      </c>
      <c r="BK474" s="2897">
        <f t="shared" si="284"/>
        <v>0</v>
      </c>
      <c r="BL474" s="2897">
        <f t="shared" si="285"/>
        <v>0</v>
      </c>
      <c r="BM474" s="2897">
        <f t="shared" si="286"/>
        <v>0</v>
      </c>
      <c r="BN474" s="2897">
        <f t="shared" si="287"/>
        <v>0</v>
      </c>
      <c r="BO474" s="2897">
        <f t="shared" si="288"/>
        <v>0</v>
      </c>
      <c r="BP474" s="2897">
        <f t="shared" si="289"/>
        <v>0</v>
      </c>
      <c r="BQ474" s="2897">
        <f t="shared" si="290"/>
        <v>0</v>
      </c>
      <c r="BR474" s="2897">
        <f t="shared" si="291"/>
        <v>0</v>
      </c>
      <c r="BS474" s="2897">
        <f t="shared" si="292"/>
        <v>0</v>
      </c>
      <c r="BT474" s="2971">
        <f t="shared" si="293"/>
        <v>0</v>
      </c>
    </row>
    <row r="475" spans="1:72">
      <c r="A475" s="2894"/>
      <c r="B475" s="2895"/>
      <c r="C475" s="2895"/>
      <c r="D475" s="2907"/>
      <c r="E475" s="2897">
        <f t="shared" si="265"/>
        <v>0</v>
      </c>
      <c r="F475" s="2898"/>
      <c r="G475" s="2899">
        <f t="shared" si="266"/>
        <v>0</v>
      </c>
      <c r="H475" s="2900">
        <f t="shared" si="267"/>
        <v>0</v>
      </c>
      <c r="I475" s="2918"/>
      <c r="J475" s="2918"/>
      <c r="K475" s="2918"/>
      <c r="L475" s="2918"/>
      <c r="M475" s="2918"/>
      <c r="N475" s="2918"/>
      <c r="O475" s="2918"/>
      <c r="P475" s="2918"/>
      <c r="Q475" s="2918"/>
      <c r="R475" s="2918"/>
      <c r="S475" s="2918"/>
      <c r="T475" s="2918"/>
      <c r="U475" s="2918"/>
      <c r="V475" s="2918"/>
      <c r="W475" s="2918"/>
      <c r="X475" s="2918"/>
      <c r="Y475" s="2918"/>
      <c r="Z475" s="2918"/>
      <c r="AA475" s="2918"/>
      <c r="AB475" s="2918"/>
      <c r="AC475" s="2897">
        <f t="shared" si="268"/>
        <v>0</v>
      </c>
      <c r="AD475" s="2929"/>
      <c r="AE475" s="2929"/>
      <c r="AF475" s="2929"/>
      <c r="AG475" s="2929"/>
      <c r="AH475" s="2929"/>
      <c r="AI475" s="2929"/>
      <c r="AJ475" s="2929"/>
      <c r="AK475" s="2929"/>
      <c r="AL475" s="2929"/>
      <c r="AM475" s="2929"/>
      <c r="AN475" s="2929"/>
      <c r="AO475" s="2929"/>
      <c r="AP475" s="2929"/>
      <c r="AQ475" s="2929"/>
      <c r="AR475" s="2929"/>
      <c r="AS475" s="2929"/>
      <c r="AT475" s="2949"/>
      <c r="AU475" s="2950"/>
      <c r="AV475" s="454">
        <f t="shared" si="269"/>
        <v>0</v>
      </c>
      <c r="AW475" s="454">
        <f t="shared" si="270"/>
        <v>0</v>
      </c>
      <c r="AX475" s="454">
        <f t="shared" si="271"/>
        <v>0</v>
      </c>
      <c r="AY475" s="2966">
        <f t="shared" si="272"/>
        <v>0</v>
      </c>
      <c r="AZ475" s="2897">
        <f t="shared" si="273"/>
        <v>0</v>
      </c>
      <c r="BA475" s="2897">
        <f t="shared" si="274"/>
        <v>0</v>
      </c>
      <c r="BB475" s="2897">
        <f t="shared" si="275"/>
        <v>0</v>
      </c>
      <c r="BC475" s="2897">
        <f t="shared" si="276"/>
        <v>0</v>
      </c>
      <c r="BD475" s="2897">
        <f t="shared" si="277"/>
        <v>0</v>
      </c>
      <c r="BE475" s="2897">
        <f t="shared" si="278"/>
        <v>0</v>
      </c>
      <c r="BF475" s="2897">
        <f t="shared" si="279"/>
        <v>0</v>
      </c>
      <c r="BG475" s="2897">
        <f t="shared" si="280"/>
        <v>0</v>
      </c>
      <c r="BH475" s="2897">
        <f t="shared" si="281"/>
        <v>0</v>
      </c>
      <c r="BI475" s="2897">
        <f t="shared" si="282"/>
        <v>0</v>
      </c>
      <c r="BJ475" s="2897">
        <f t="shared" si="283"/>
        <v>0</v>
      </c>
      <c r="BK475" s="2897">
        <f t="shared" si="284"/>
        <v>0</v>
      </c>
      <c r="BL475" s="2897">
        <f t="shared" si="285"/>
        <v>0</v>
      </c>
      <c r="BM475" s="2897">
        <f t="shared" si="286"/>
        <v>0</v>
      </c>
      <c r="BN475" s="2897">
        <f t="shared" si="287"/>
        <v>0</v>
      </c>
      <c r="BO475" s="2897">
        <f t="shared" si="288"/>
        <v>0</v>
      </c>
      <c r="BP475" s="2897">
        <f t="shared" si="289"/>
        <v>0</v>
      </c>
      <c r="BQ475" s="2897">
        <f t="shared" si="290"/>
        <v>0</v>
      </c>
      <c r="BR475" s="2897">
        <f t="shared" si="291"/>
        <v>0</v>
      </c>
      <c r="BS475" s="2897">
        <f t="shared" si="292"/>
        <v>0</v>
      </c>
      <c r="BT475" s="2971">
        <f t="shared" si="293"/>
        <v>0</v>
      </c>
    </row>
    <row r="476" spans="1:72">
      <c r="A476" s="2894"/>
      <c r="B476" s="2895"/>
      <c r="C476" s="2895"/>
      <c r="D476" s="2907"/>
      <c r="E476" s="2897">
        <f t="shared" si="265"/>
        <v>0</v>
      </c>
      <c r="F476" s="2898"/>
      <c r="G476" s="2899">
        <f t="shared" si="266"/>
        <v>0</v>
      </c>
      <c r="H476" s="2900">
        <f t="shared" si="267"/>
        <v>0</v>
      </c>
      <c r="I476" s="2918"/>
      <c r="J476" s="2918"/>
      <c r="K476" s="2918"/>
      <c r="L476" s="2918"/>
      <c r="M476" s="2918"/>
      <c r="N476" s="2918"/>
      <c r="O476" s="2918"/>
      <c r="P476" s="2918"/>
      <c r="Q476" s="2918"/>
      <c r="R476" s="2918"/>
      <c r="S476" s="2918"/>
      <c r="T476" s="2918"/>
      <c r="U476" s="2918"/>
      <c r="V476" s="2918"/>
      <c r="W476" s="2918"/>
      <c r="X476" s="2918"/>
      <c r="Y476" s="2918"/>
      <c r="Z476" s="2918"/>
      <c r="AA476" s="2918"/>
      <c r="AB476" s="2918"/>
      <c r="AC476" s="2897">
        <f t="shared" si="268"/>
        <v>0</v>
      </c>
      <c r="AD476" s="2929"/>
      <c r="AE476" s="2929"/>
      <c r="AF476" s="2929"/>
      <c r="AG476" s="2929"/>
      <c r="AH476" s="2929"/>
      <c r="AI476" s="2929"/>
      <c r="AJ476" s="2929"/>
      <c r="AK476" s="2929"/>
      <c r="AL476" s="2929"/>
      <c r="AM476" s="2929"/>
      <c r="AN476" s="2929"/>
      <c r="AO476" s="2929"/>
      <c r="AP476" s="2929"/>
      <c r="AQ476" s="2929"/>
      <c r="AR476" s="2929"/>
      <c r="AS476" s="2929"/>
      <c r="AT476" s="2949"/>
      <c r="AU476" s="2950"/>
      <c r="AV476" s="454">
        <f t="shared" si="269"/>
        <v>0</v>
      </c>
      <c r="AW476" s="454">
        <f t="shared" si="270"/>
        <v>0</v>
      </c>
      <c r="AX476" s="454">
        <f t="shared" si="271"/>
        <v>0</v>
      </c>
      <c r="AY476" s="2966">
        <f t="shared" si="272"/>
        <v>0</v>
      </c>
      <c r="AZ476" s="2897">
        <f t="shared" si="273"/>
        <v>0</v>
      </c>
      <c r="BA476" s="2897">
        <f t="shared" si="274"/>
        <v>0</v>
      </c>
      <c r="BB476" s="2897">
        <f t="shared" si="275"/>
        <v>0</v>
      </c>
      <c r="BC476" s="2897">
        <f t="shared" si="276"/>
        <v>0</v>
      </c>
      <c r="BD476" s="2897">
        <f t="shared" si="277"/>
        <v>0</v>
      </c>
      <c r="BE476" s="2897">
        <f t="shared" si="278"/>
        <v>0</v>
      </c>
      <c r="BF476" s="2897">
        <f t="shared" si="279"/>
        <v>0</v>
      </c>
      <c r="BG476" s="2897">
        <f t="shared" si="280"/>
        <v>0</v>
      </c>
      <c r="BH476" s="2897">
        <f t="shared" si="281"/>
        <v>0</v>
      </c>
      <c r="BI476" s="2897">
        <f t="shared" si="282"/>
        <v>0</v>
      </c>
      <c r="BJ476" s="2897">
        <f t="shared" si="283"/>
        <v>0</v>
      </c>
      <c r="BK476" s="2897">
        <f t="shared" si="284"/>
        <v>0</v>
      </c>
      <c r="BL476" s="2897">
        <f t="shared" si="285"/>
        <v>0</v>
      </c>
      <c r="BM476" s="2897">
        <f t="shared" si="286"/>
        <v>0</v>
      </c>
      <c r="BN476" s="2897">
        <f t="shared" si="287"/>
        <v>0</v>
      </c>
      <c r="BO476" s="2897">
        <f t="shared" si="288"/>
        <v>0</v>
      </c>
      <c r="BP476" s="2897">
        <f t="shared" si="289"/>
        <v>0</v>
      </c>
      <c r="BQ476" s="2897">
        <f t="shared" si="290"/>
        <v>0</v>
      </c>
      <c r="BR476" s="2897">
        <f t="shared" si="291"/>
        <v>0</v>
      </c>
      <c r="BS476" s="2897">
        <f t="shared" si="292"/>
        <v>0</v>
      </c>
      <c r="BT476" s="2971">
        <f t="shared" si="293"/>
        <v>0</v>
      </c>
    </row>
    <row r="477" spans="1:72">
      <c r="A477" s="2894"/>
      <c r="B477" s="2895"/>
      <c r="C477" s="2895"/>
      <c r="D477" s="2907"/>
      <c r="E477" s="2897">
        <f t="shared" si="265"/>
        <v>0</v>
      </c>
      <c r="F477" s="2898"/>
      <c r="G477" s="2899">
        <f t="shared" si="266"/>
        <v>0</v>
      </c>
      <c r="H477" s="2900">
        <f t="shared" si="267"/>
        <v>0</v>
      </c>
      <c r="I477" s="2918"/>
      <c r="J477" s="2918"/>
      <c r="K477" s="2918"/>
      <c r="L477" s="2918"/>
      <c r="M477" s="2918"/>
      <c r="N477" s="2918"/>
      <c r="O477" s="2918"/>
      <c r="P477" s="2918"/>
      <c r="Q477" s="2918"/>
      <c r="R477" s="2918"/>
      <c r="S477" s="2918"/>
      <c r="T477" s="2918"/>
      <c r="U477" s="2918"/>
      <c r="V477" s="2918"/>
      <c r="W477" s="2918"/>
      <c r="X477" s="2918"/>
      <c r="Y477" s="2918"/>
      <c r="Z477" s="2918"/>
      <c r="AA477" s="2918"/>
      <c r="AB477" s="2918"/>
      <c r="AC477" s="2897">
        <f t="shared" si="268"/>
        <v>0</v>
      </c>
      <c r="AD477" s="2929"/>
      <c r="AE477" s="2929"/>
      <c r="AF477" s="2929"/>
      <c r="AG477" s="2929"/>
      <c r="AH477" s="2929"/>
      <c r="AI477" s="2929"/>
      <c r="AJ477" s="2929"/>
      <c r="AK477" s="2929"/>
      <c r="AL477" s="2929"/>
      <c r="AM477" s="2929"/>
      <c r="AN477" s="2929"/>
      <c r="AO477" s="2929"/>
      <c r="AP477" s="2929"/>
      <c r="AQ477" s="2929"/>
      <c r="AR477" s="2929"/>
      <c r="AS477" s="2929"/>
      <c r="AT477" s="2949"/>
      <c r="AU477" s="2950"/>
      <c r="AV477" s="454">
        <f t="shared" si="269"/>
        <v>0</v>
      </c>
      <c r="AW477" s="454">
        <f t="shared" si="270"/>
        <v>0</v>
      </c>
      <c r="AX477" s="454">
        <f t="shared" si="271"/>
        <v>0</v>
      </c>
      <c r="AY477" s="2966">
        <f t="shared" si="272"/>
        <v>0</v>
      </c>
      <c r="AZ477" s="2897">
        <f t="shared" si="273"/>
        <v>0</v>
      </c>
      <c r="BA477" s="2897">
        <f t="shared" si="274"/>
        <v>0</v>
      </c>
      <c r="BB477" s="2897">
        <f t="shared" si="275"/>
        <v>0</v>
      </c>
      <c r="BC477" s="2897">
        <f t="shared" si="276"/>
        <v>0</v>
      </c>
      <c r="BD477" s="2897">
        <f t="shared" si="277"/>
        <v>0</v>
      </c>
      <c r="BE477" s="2897">
        <f t="shared" si="278"/>
        <v>0</v>
      </c>
      <c r="BF477" s="2897">
        <f t="shared" si="279"/>
        <v>0</v>
      </c>
      <c r="BG477" s="2897">
        <f t="shared" si="280"/>
        <v>0</v>
      </c>
      <c r="BH477" s="2897">
        <f t="shared" si="281"/>
        <v>0</v>
      </c>
      <c r="BI477" s="2897">
        <f t="shared" si="282"/>
        <v>0</v>
      </c>
      <c r="BJ477" s="2897">
        <f t="shared" si="283"/>
        <v>0</v>
      </c>
      <c r="BK477" s="2897">
        <f t="shared" si="284"/>
        <v>0</v>
      </c>
      <c r="BL477" s="2897">
        <f t="shared" si="285"/>
        <v>0</v>
      </c>
      <c r="BM477" s="2897">
        <f t="shared" si="286"/>
        <v>0</v>
      </c>
      <c r="BN477" s="2897">
        <f t="shared" si="287"/>
        <v>0</v>
      </c>
      <c r="BO477" s="2897">
        <f t="shared" si="288"/>
        <v>0</v>
      </c>
      <c r="BP477" s="2897">
        <f t="shared" si="289"/>
        <v>0</v>
      </c>
      <c r="BQ477" s="2897">
        <f t="shared" si="290"/>
        <v>0</v>
      </c>
      <c r="BR477" s="2897">
        <f t="shared" si="291"/>
        <v>0</v>
      </c>
      <c r="BS477" s="2897">
        <f t="shared" si="292"/>
        <v>0</v>
      </c>
      <c r="BT477" s="2971">
        <f t="shared" si="293"/>
        <v>0</v>
      </c>
    </row>
    <row r="478" spans="1:72">
      <c r="A478" s="2894"/>
      <c r="B478" s="2894"/>
      <c r="C478" s="2894"/>
      <c r="D478" s="2907"/>
      <c r="E478" s="2897">
        <f t="shared" si="265"/>
        <v>0</v>
      </c>
      <c r="F478" s="2972"/>
      <c r="G478" s="2899">
        <f t="shared" ref="G478:G509" si="294">H478+AC478+AT478</f>
        <v>0</v>
      </c>
      <c r="H478" s="2900">
        <f t="shared" ref="H478:H509" si="295">SUMIF(I$12:AB$12,"总值",I478:AB478)</f>
        <v>0</v>
      </c>
      <c r="I478" s="2973"/>
      <c r="J478" s="2973"/>
      <c r="K478" s="2918"/>
      <c r="L478" s="2918"/>
      <c r="M478" s="2918"/>
      <c r="N478" s="2918"/>
      <c r="O478" s="2918"/>
      <c r="P478" s="2918"/>
      <c r="Q478" s="2918"/>
      <c r="R478" s="2918"/>
      <c r="S478" s="2918"/>
      <c r="T478" s="2918"/>
      <c r="U478" s="2918"/>
      <c r="V478" s="2918"/>
      <c r="W478" s="2918"/>
      <c r="X478" s="2918"/>
      <c r="Y478" s="2918"/>
      <c r="Z478" s="2918"/>
      <c r="AA478" s="2918"/>
      <c r="AB478" s="2918"/>
      <c r="AC478" s="2897">
        <f t="shared" ref="AC478:AC509" si="296">SUMIF(AD$12:AS$12,"总值",AD478:AS478)</f>
        <v>0</v>
      </c>
      <c r="AD478" s="2929"/>
      <c r="AE478" s="2929"/>
      <c r="AF478" s="2929"/>
      <c r="AG478" s="2929"/>
      <c r="AH478" s="2929"/>
      <c r="AI478" s="2929"/>
      <c r="AJ478" s="2929"/>
      <c r="AK478" s="2929"/>
      <c r="AL478" s="2929"/>
      <c r="AM478" s="2929"/>
      <c r="AN478" s="2929"/>
      <c r="AO478" s="2929"/>
      <c r="AP478" s="2929"/>
      <c r="AQ478" s="2929"/>
      <c r="AR478" s="2929"/>
      <c r="AS478" s="2929"/>
      <c r="AT478" s="2929"/>
      <c r="AU478" s="2974"/>
      <c r="AV478" s="454">
        <f t="shared" si="269"/>
        <v>0</v>
      </c>
      <c r="AW478" s="454">
        <f t="shared" si="270"/>
        <v>0</v>
      </c>
      <c r="AX478" s="454">
        <f t="shared" si="271"/>
        <v>0</v>
      </c>
      <c r="AY478" s="2966">
        <f t="shared" ref="AY478:AY509" si="297">ROUND($AY$6*AZ478/$AZ$5,2)</f>
        <v>0</v>
      </c>
      <c r="AZ478" s="2897">
        <f t="shared" ref="AZ478:AZ509" si="298">BA478+BL478</f>
        <v>0</v>
      </c>
      <c r="BA478" s="2897">
        <f t="shared" ref="BA478:BA509" si="299">SUM(BB478:BK478)</f>
        <v>0</v>
      </c>
      <c r="BB478" s="2897">
        <f t="shared" ref="BB478:BB509" si="300">IF($D478="是",I478-J478,0)</f>
        <v>0</v>
      </c>
      <c r="BC478" s="2897">
        <f t="shared" ref="BC478:BC509" si="301">IF($D478="是",K478-L478,0)</f>
        <v>0</v>
      </c>
      <c r="BD478" s="2897">
        <f t="shared" ref="BD478:BD509" si="302">IF($D478="是",M478-N478,0)</f>
        <v>0</v>
      </c>
      <c r="BE478" s="2897">
        <f t="shared" ref="BE478:BE509" si="303">IF($D478="是",O478-P478,0)</f>
        <v>0</v>
      </c>
      <c r="BF478" s="2897">
        <f t="shared" ref="BF478:BF509" si="304">IF($D478="是",Q478-R478,0)</f>
        <v>0</v>
      </c>
      <c r="BG478" s="2897">
        <f t="shared" ref="BG478:BG509" si="305">IF($D478="是",S478-T478,0)</f>
        <v>0</v>
      </c>
      <c r="BH478" s="2897">
        <f t="shared" ref="BH478:BH509" si="306">IF($D478="是",U478-V478,0)</f>
        <v>0</v>
      </c>
      <c r="BI478" s="2897">
        <f t="shared" ref="BI478:BI509" si="307">IF($D478="是",W478-X478,0)</f>
        <v>0</v>
      </c>
      <c r="BJ478" s="2897">
        <f t="shared" ref="BJ478:BJ509" si="308">IF($D478="是",Y478-Z478,0)</f>
        <v>0</v>
      </c>
      <c r="BK478" s="2897">
        <f t="shared" ref="BK478:BK509" si="309">IF($D478="是",AA478-AB478,0)</f>
        <v>0</v>
      </c>
      <c r="BL478" s="2897">
        <f t="shared" ref="BL478:BL509" si="310">SUM(BM478:BT478)</f>
        <v>0</v>
      </c>
      <c r="BM478" s="2897">
        <f t="shared" ref="BM478:BM509" si="311">IF($D478="是",AD478-AE478,0)</f>
        <v>0</v>
      </c>
      <c r="BN478" s="2897">
        <f t="shared" ref="BN478:BN509" si="312">IF($D478="是",AF478-AG478,0)</f>
        <v>0</v>
      </c>
      <c r="BO478" s="2897">
        <f t="shared" ref="BO478:BO509" si="313">IF($D478="是",AH478-AI478,0)</f>
        <v>0</v>
      </c>
      <c r="BP478" s="2897">
        <f t="shared" ref="BP478:BP509" si="314">IF($D478="是",AJ478-AK478,0)</f>
        <v>0</v>
      </c>
      <c r="BQ478" s="2897">
        <f t="shared" ref="BQ478:BQ509" si="315">IF($D478="是",AL478-AM478,0)</f>
        <v>0</v>
      </c>
      <c r="BR478" s="2897">
        <f t="shared" ref="BR478:BR509" si="316">IF($D478="是",AN478-AO478,0)</f>
        <v>0</v>
      </c>
      <c r="BS478" s="2897">
        <f t="shared" ref="BS478:BS509" si="317">IF($D478="是",AP478-AQ478,0)</f>
        <v>0</v>
      </c>
      <c r="BT478" s="2971">
        <f t="shared" ref="BT478:BT509" si="318">IF($D478="是",AR478-AS478,0)</f>
        <v>0</v>
      </c>
    </row>
    <row r="479" spans="1:72">
      <c r="A479" s="2894"/>
      <c r="B479" s="2894"/>
      <c r="C479" s="2894"/>
      <c r="D479" s="2907"/>
      <c r="E479" s="2897">
        <f t="shared" si="265"/>
        <v>0</v>
      </c>
      <c r="F479" s="2972"/>
      <c r="G479" s="2899">
        <f t="shared" si="294"/>
        <v>0</v>
      </c>
      <c r="H479" s="2900">
        <f t="shared" si="295"/>
        <v>0</v>
      </c>
      <c r="I479" s="2918"/>
      <c r="J479" s="2918"/>
      <c r="K479" s="2918"/>
      <c r="L479" s="2918"/>
      <c r="M479" s="2918"/>
      <c r="N479" s="2918"/>
      <c r="O479" s="2918"/>
      <c r="P479" s="2918"/>
      <c r="Q479" s="2918"/>
      <c r="R479" s="2918"/>
      <c r="S479" s="2918"/>
      <c r="T479" s="2918"/>
      <c r="U479" s="2918"/>
      <c r="V479" s="2918"/>
      <c r="W479" s="2918"/>
      <c r="X479" s="2918"/>
      <c r="Y479" s="2918"/>
      <c r="Z479" s="2918"/>
      <c r="AA479" s="2918"/>
      <c r="AB479" s="2918"/>
      <c r="AC479" s="2897">
        <f t="shared" si="296"/>
        <v>0</v>
      </c>
      <c r="AD479" s="2929"/>
      <c r="AE479" s="2929"/>
      <c r="AF479" s="2929"/>
      <c r="AG479" s="2929"/>
      <c r="AH479" s="2929"/>
      <c r="AI479" s="2929"/>
      <c r="AJ479" s="2929"/>
      <c r="AK479" s="2929"/>
      <c r="AL479" s="2929"/>
      <c r="AM479" s="2929"/>
      <c r="AN479" s="2929"/>
      <c r="AO479" s="2929"/>
      <c r="AP479" s="2929"/>
      <c r="AQ479" s="2929"/>
      <c r="AR479" s="2929"/>
      <c r="AS479" s="2929"/>
      <c r="AT479" s="2929"/>
      <c r="AU479" s="2974"/>
      <c r="AV479" s="454">
        <f t="shared" si="269"/>
        <v>0</v>
      </c>
      <c r="AW479" s="454">
        <f t="shared" si="270"/>
        <v>0</v>
      </c>
      <c r="AX479" s="454">
        <f t="shared" si="271"/>
        <v>0</v>
      </c>
      <c r="AY479" s="2966">
        <f t="shared" si="297"/>
        <v>0</v>
      </c>
      <c r="AZ479" s="2897">
        <f t="shared" si="298"/>
        <v>0</v>
      </c>
      <c r="BA479" s="2897">
        <f t="shared" si="299"/>
        <v>0</v>
      </c>
      <c r="BB479" s="2897">
        <f t="shared" si="300"/>
        <v>0</v>
      </c>
      <c r="BC479" s="2897">
        <f t="shared" si="301"/>
        <v>0</v>
      </c>
      <c r="BD479" s="2897">
        <f t="shared" si="302"/>
        <v>0</v>
      </c>
      <c r="BE479" s="2897">
        <f t="shared" si="303"/>
        <v>0</v>
      </c>
      <c r="BF479" s="2897">
        <f t="shared" si="304"/>
        <v>0</v>
      </c>
      <c r="BG479" s="2897">
        <f t="shared" si="305"/>
        <v>0</v>
      </c>
      <c r="BH479" s="2897">
        <f t="shared" si="306"/>
        <v>0</v>
      </c>
      <c r="BI479" s="2897">
        <f t="shared" si="307"/>
        <v>0</v>
      </c>
      <c r="BJ479" s="2897">
        <f t="shared" si="308"/>
        <v>0</v>
      </c>
      <c r="BK479" s="2897">
        <f t="shared" si="309"/>
        <v>0</v>
      </c>
      <c r="BL479" s="2897">
        <f t="shared" si="310"/>
        <v>0</v>
      </c>
      <c r="BM479" s="2897">
        <f t="shared" si="311"/>
        <v>0</v>
      </c>
      <c r="BN479" s="2897">
        <f t="shared" si="312"/>
        <v>0</v>
      </c>
      <c r="BO479" s="2897">
        <f t="shared" si="313"/>
        <v>0</v>
      </c>
      <c r="BP479" s="2897">
        <f t="shared" si="314"/>
        <v>0</v>
      </c>
      <c r="BQ479" s="2897">
        <f t="shared" si="315"/>
        <v>0</v>
      </c>
      <c r="BR479" s="2897">
        <f t="shared" si="316"/>
        <v>0</v>
      </c>
      <c r="BS479" s="2897">
        <f t="shared" si="317"/>
        <v>0</v>
      </c>
      <c r="BT479" s="2971">
        <f t="shared" si="318"/>
        <v>0</v>
      </c>
    </row>
    <row r="480" spans="1:72">
      <c r="A480" s="2894"/>
      <c r="B480" s="2894"/>
      <c r="C480" s="2894"/>
      <c r="D480" s="2907"/>
      <c r="E480" s="2897">
        <f t="shared" si="265"/>
        <v>0</v>
      </c>
      <c r="F480" s="2972"/>
      <c r="G480" s="2899">
        <f t="shared" si="294"/>
        <v>0</v>
      </c>
      <c r="H480" s="2900">
        <f t="shared" si="295"/>
        <v>0</v>
      </c>
      <c r="I480" s="2918"/>
      <c r="J480" s="2918"/>
      <c r="K480" s="2918"/>
      <c r="L480" s="2918"/>
      <c r="M480" s="2918"/>
      <c r="N480" s="2918"/>
      <c r="O480" s="2918"/>
      <c r="P480" s="2918"/>
      <c r="Q480" s="2918"/>
      <c r="R480" s="2918"/>
      <c r="S480" s="2918"/>
      <c r="T480" s="2918"/>
      <c r="U480" s="2918"/>
      <c r="V480" s="2918"/>
      <c r="W480" s="2918"/>
      <c r="X480" s="2918"/>
      <c r="Y480" s="2918"/>
      <c r="Z480" s="2918"/>
      <c r="AA480" s="2918"/>
      <c r="AB480" s="2918"/>
      <c r="AC480" s="2897">
        <f t="shared" si="296"/>
        <v>0</v>
      </c>
      <c r="AD480" s="2929"/>
      <c r="AE480" s="2929"/>
      <c r="AF480" s="2929"/>
      <c r="AG480" s="2929"/>
      <c r="AH480" s="2929"/>
      <c r="AI480" s="2929"/>
      <c r="AJ480" s="2929"/>
      <c r="AK480" s="2929"/>
      <c r="AL480" s="2929"/>
      <c r="AM480" s="2929"/>
      <c r="AN480" s="2929"/>
      <c r="AO480" s="2929"/>
      <c r="AP480" s="2929"/>
      <c r="AQ480" s="2929"/>
      <c r="AR480" s="2929"/>
      <c r="AS480" s="2929"/>
      <c r="AT480" s="2929"/>
      <c r="AU480" s="2974"/>
      <c r="AV480" s="454">
        <f t="shared" si="269"/>
        <v>0</v>
      </c>
      <c r="AW480" s="454">
        <f t="shared" si="270"/>
        <v>0</v>
      </c>
      <c r="AX480" s="454">
        <f t="shared" si="271"/>
        <v>0</v>
      </c>
      <c r="AY480" s="2966">
        <f t="shared" si="297"/>
        <v>0</v>
      </c>
      <c r="AZ480" s="2897">
        <f t="shared" si="298"/>
        <v>0</v>
      </c>
      <c r="BA480" s="2897">
        <f t="shared" si="299"/>
        <v>0</v>
      </c>
      <c r="BB480" s="2897">
        <f t="shared" si="300"/>
        <v>0</v>
      </c>
      <c r="BC480" s="2897">
        <f t="shared" si="301"/>
        <v>0</v>
      </c>
      <c r="BD480" s="2897">
        <f t="shared" si="302"/>
        <v>0</v>
      </c>
      <c r="BE480" s="2897">
        <f t="shared" si="303"/>
        <v>0</v>
      </c>
      <c r="BF480" s="2897">
        <f t="shared" si="304"/>
        <v>0</v>
      </c>
      <c r="BG480" s="2897">
        <f t="shared" si="305"/>
        <v>0</v>
      </c>
      <c r="BH480" s="2897">
        <f t="shared" si="306"/>
        <v>0</v>
      </c>
      <c r="BI480" s="2897">
        <f t="shared" si="307"/>
        <v>0</v>
      </c>
      <c r="BJ480" s="2897">
        <f t="shared" si="308"/>
        <v>0</v>
      </c>
      <c r="BK480" s="2897">
        <f t="shared" si="309"/>
        <v>0</v>
      </c>
      <c r="BL480" s="2897">
        <f t="shared" si="310"/>
        <v>0</v>
      </c>
      <c r="BM480" s="2897">
        <f t="shared" si="311"/>
        <v>0</v>
      </c>
      <c r="BN480" s="2897">
        <f t="shared" si="312"/>
        <v>0</v>
      </c>
      <c r="BO480" s="2897">
        <f t="shared" si="313"/>
        <v>0</v>
      </c>
      <c r="BP480" s="2897">
        <f t="shared" si="314"/>
        <v>0</v>
      </c>
      <c r="BQ480" s="2897">
        <f t="shared" si="315"/>
        <v>0</v>
      </c>
      <c r="BR480" s="2897">
        <f t="shared" si="316"/>
        <v>0</v>
      </c>
      <c r="BS480" s="2897">
        <f t="shared" si="317"/>
        <v>0</v>
      </c>
      <c r="BT480" s="2971">
        <f t="shared" si="318"/>
        <v>0</v>
      </c>
    </row>
    <row r="481" spans="1:72">
      <c r="A481" s="2894"/>
      <c r="B481" s="2904"/>
      <c r="C481" s="2902"/>
      <c r="D481" s="2903"/>
      <c r="E481" s="2897">
        <f t="shared" ref="E481:E504" si="319">IF($C$3="是",ROUND($A$3*G481/$B$3,2),ROUND($A$3*(G481-AT481)/$B$3,2))</f>
        <v>0</v>
      </c>
      <c r="F481" s="2898"/>
      <c r="G481" s="2899">
        <f t="shared" si="294"/>
        <v>0</v>
      </c>
      <c r="H481" s="2900">
        <f t="shared" si="295"/>
        <v>0</v>
      </c>
      <c r="I481" s="2906"/>
      <c r="J481" s="2918"/>
      <c r="K481" s="2906"/>
      <c r="L481" s="2918"/>
      <c r="M481" s="2918"/>
      <c r="N481" s="2918"/>
      <c r="O481" s="2918"/>
      <c r="P481" s="2918"/>
      <c r="Q481" s="2918"/>
      <c r="R481" s="2918"/>
      <c r="S481" s="2918"/>
      <c r="T481" s="2918"/>
      <c r="U481" s="2918"/>
      <c r="V481" s="2918"/>
      <c r="W481" s="2918"/>
      <c r="X481" s="2918"/>
      <c r="Y481" s="2918"/>
      <c r="Z481" s="2918"/>
      <c r="AA481" s="2918"/>
      <c r="AB481" s="2918"/>
      <c r="AC481" s="2897">
        <f t="shared" si="296"/>
        <v>0</v>
      </c>
      <c r="AD481" s="2929"/>
      <c r="AE481" s="2929"/>
      <c r="AF481" s="2930"/>
      <c r="AG481" s="2929"/>
      <c r="AH481" s="2929"/>
      <c r="AI481" s="2929"/>
      <c r="AJ481" s="2929"/>
      <c r="AK481" s="2929"/>
      <c r="AL481" s="2929"/>
      <c r="AM481" s="2929"/>
      <c r="AN481" s="2919"/>
      <c r="AO481" s="2929"/>
      <c r="AP481" s="2929"/>
      <c r="AQ481" s="2929"/>
      <c r="AR481" s="2929"/>
      <c r="AS481" s="2929"/>
      <c r="AT481" s="2949"/>
      <c r="AU481" s="2950"/>
      <c r="AV481" s="454">
        <f t="shared" ref="AV481:AV505" si="320">A481</f>
        <v>0</v>
      </c>
      <c r="AW481" s="454">
        <f t="shared" ref="AW481:AW505" si="321">B481</f>
        <v>0</v>
      </c>
      <c r="AX481" s="454">
        <f t="shared" ref="AX481:AX505" si="322">C481</f>
        <v>0</v>
      </c>
      <c r="AY481" s="2966">
        <f t="shared" si="297"/>
        <v>0</v>
      </c>
      <c r="AZ481" s="2897">
        <f t="shared" si="298"/>
        <v>0</v>
      </c>
      <c r="BA481" s="2897">
        <f t="shared" si="299"/>
        <v>0</v>
      </c>
      <c r="BB481" s="2897">
        <f t="shared" si="300"/>
        <v>0</v>
      </c>
      <c r="BC481" s="2897">
        <f t="shared" si="301"/>
        <v>0</v>
      </c>
      <c r="BD481" s="2897">
        <f t="shared" si="302"/>
        <v>0</v>
      </c>
      <c r="BE481" s="2897">
        <f t="shared" si="303"/>
        <v>0</v>
      </c>
      <c r="BF481" s="2897">
        <f t="shared" si="304"/>
        <v>0</v>
      </c>
      <c r="BG481" s="2897">
        <f t="shared" si="305"/>
        <v>0</v>
      </c>
      <c r="BH481" s="2897">
        <f t="shared" si="306"/>
        <v>0</v>
      </c>
      <c r="BI481" s="2897">
        <f t="shared" si="307"/>
        <v>0</v>
      </c>
      <c r="BJ481" s="2897">
        <f t="shared" si="308"/>
        <v>0</v>
      </c>
      <c r="BK481" s="2897">
        <f t="shared" si="309"/>
        <v>0</v>
      </c>
      <c r="BL481" s="2897">
        <f t="shared" si="310"/>
        <v>0</v>
      </c>
      <c r="BM481" s="2897">
        <f t="shared" si="311"/>
        <v>0</v>
      </c>
      <c r="BN481" s="2897">
        <f t="shared" si="312"/>
        <v>0</v>
      </c>
      <c r="BO481" s="2897">
        <f t="shared" si="313"/>
        <v>0</v>
      </c>
      <c r="BP481" s="2897">
        <f t="shared" si="314"/>
        <v>0</v>
      </c>
      <c r="BQ481" s="2897">
        <f t="shared" si="315"/>
        <v>0</v>
      </c>
      <c r="BR481" s="2897">
        <f t="shared" si="316"/>
        <v>0</v>
      </c>
      <c r="BS481" s="2897">
        <f t="shared" si="317"/>
        <v>0</v>
      </c>
      <c r="BT481" s="2971">
        <f t="shared" si="318"/>
        <v>0</v>
      </c>
    </row>
    <row r="482" spans="1:72">
      <c r="A482" s="2894"/>
      <c r="B482" s="2904"/>
      <c r="C482" s="2902"/>
      <c r="D482" s="2903"/>
      <c r="E482" s="2897">
        <f t="shared" si="319"/>
        <v>0</v>
      </c>
      <c r="F482" s="2898"/>
      <c r="G482" s="2899">
        <f t="shared" si="294"/>
        <v>0</v>
      </c>
      <c r="H482" s="2900">
        <f t="shared" si="295"/>
        <v>0</v>
      </c>
      <c r="I482" s="2906"/>
      <c r="J482" s="2918"/>
      <c r="K482" s="2906"/>
      <c r="L482" s="2918"/>
      <c r="M482" s="2919"/>
      <c r="N482" s="2918"/>
      <c r="O482" s="2918"/>
      <c r="P482" s="2918"/>
      <c r="Q482" s="2918"/>
      <c r="R482" s="2918"/>
      <c r="S482" s="2918"/>
      <c r="T482" s="2918"/>
      <c r="U482" s="2918"/>
      <c r="V482" s="2918"/>
      <c r="W482" s="2918"/>
      <c r="X482" s="2918"/>
      <c r="Y482" s="2918"/>
      <c r="Z482" s="2918"/>
      <c r="AA482" s="2918"/>
      <c r="AB482" s="2918"/>
      <c r="AC482" s="2897">
        <f t="shared" si="296"/>
        <v>0</v>
      </c>
      <c r="AD482" s="2919"/>
      <c r="AE482" s="2929"/>
      <c r="AF482" s="2930"/>
      <c r="AG482" s="2929"/>
      <c r="AH482" s="2929"/>
      <c r="AI482" s="2929"/>
      <c r="AJ482" s="2929"/>
      <c r="AK482" s="2929"/>
      <c r="AL482" s="2919"/>
      <c r="AM482" s="2929"/>
      <c r="AN482" s="2919"/>
      <c r="AO482" s="2929"/>
      <c r="AP482" s="2929"/>
      <c r="AQ482" s="2929"/>
      <c r="AR482" s="2929"/>
      <c r="AS482" s="2929"/>
      <c r="AT482" s="2949"/>
      <c r="AU482" s="2950"/>
      <c r="AV482" s="454">
        <f t="shared" si="320"/>
        <v>0</v>
      </c>
      <c r="AW482" s="454">
        <f t="shared" si="321"/>
        <v>0</v>
      </c>
      <c r="AX482" s="454">
        <f t="shared" si="322"/>
        <v>0</v>
      </c>
      <c r="AY482" s="2966">
        <f t="shared" si="297"/>
        <v>0</v>
      </c>
      <c r="AZ482" s="2897">
        <f t="shared" si="298"/>
        <v>0</v>
      </c>
      <c r="BA482" s="2897">
        <f t="shared" si="299"/>
        <v>0</v>
      </c>
      <c r="BB482" s="2897">
        <f t="shared" si="300"/>
        <v>0</v>
      </c>
      <c r="BC482" s="2897">
        <f t="shared" si="301"/>
        <v>0</v>
      </c>
      <c r="BD482" s="2897">
        <f t="shared" si="302"/>
        <v>0</v>
      </c>
      <c r="BE482" s="2897">
        <f t="shared" si="303"/>
        <v>0</v>
      </c>
      <c r="BF482" s="2897">
        <f t="shared" si="304"/>
        <v>0</v>
      </c>
      <c r="BG482" s="2897">
        <f t="shared" si="305"/>
        <v>0</v>
      </c>
      <c r="BH482" s="2897">
        <f t="shared" si="306"/>
        <v>0</v>
      </c>
      <c r="BI482" s="2897">
        <f t="shared" si="307"/>
        <v>0</v>
      </c>
      <c r="BJ482" s="2897">
        <f t="shared" si="308"/>
        <v>0</v>
      </c>
      <c r="BK482" s="2897">
        <f t="shared" si="309"/>
        <v>0</v>
      </c>
      <c r="BL482" s="2897">
        <f t="shared" si="310"/>
        <v>0</v>
      </c>
      <c r="BM482" s="2897">
        <f t="shared" si="311"/>
        <v>0</v>
      </c>
      <c r="BN482" s="2897">
        <f t="shared" si="312"/>
        <v>0</v>
      </c>
      <c r="BO482" s="2897">
        <f t="shared" si="313"/>
        <v>0</v>
      </c>
      <c r="BP482" s="2897">
        <f t="shared" si="314"/>
        <v>0</v>
      </c>
      <c r="BQ482" s="2897">
        <f t="shared" si="315"/>
        <v>0</v>
      </c>
      <c r="BR482" s="2897">
        <f t="shared" si="316"/>
        <v>0</v>
      </c>
      <c r="BS482" s="2897">
        <f t="shared" si="317"/>
        <v>0</v>
      </c>
      <c r="BT482" s="2971">
        <f t="shared" si="318"/>
        <v>0</v>
      </c>
    </row>
    <row r="483" spans="1:72">
      <c r="A483" s="2894"/>
      <c r="B483" s="2904"/>
      <c r="C483" s="2902"/>
      <c r="D483" s="2903"/>
      <c r="E483" s="2897">
        <f t="shared" si="319"/>
        <v>0</v>
      </c>
      <c r="F483" s="2898"/>
      <c r="G483" s="2899">
        <f t="shared" si="294"/>
        <v>0</v>
      </c>
      <c r="H483" s="2900">
        <f t="shared" si="295"/>
        <v>0</v>
      </c>
      <c r="I483" s="2906"/>
      <c r="J483" s="2918"/>
      <c r="K483" s="2906"/>
      <c r="L483" s="2918"/>
      <c r="M483" s="2919"/>
      <c r="N483" s="2918"/>
      <c r="O483" s="2918"/>
      <c r="P483" s="2918"/>
      <c r="Q483" s="2918"/>
      <c r="R483" s="2918"/>
      <c r="S483" s="2918"/>
      <c r="T483" s="2918"/>
      <c r="U483" s="2918"/>
      <c r="V483" s="2918"/>
      <c r="W483" s="2918"/>
      <c r="X483" s="2918"/>
      <c r="Y483" s="2918"/>
      <c r="Z483" s="2918"/>
      <c r="AA483" s="2918"/>
      <c r="AB483" s="2918"/>
      <c r="AC483" s="2897">
        <f t="shared" si="296"/>
        <v>0</v>
      </c>
      <c r="AD483" s="2929"/>
      <c r="AE483" s="2929"/>
      <c r="AF483" s="2930"/>
      <c r="AG483" s="2929"/>
      <c r="AH483" s="2929"/>
      <c r="AI483" s="2929"/>
      <c r="AJ483" s="2929"/>
      <c r="AK483" s="2929"/>
      <c r="AL483" s="2919"/>
      <c r="AM483" s="2929"/>
      <c r="AN483" s="2919"/>
      <c r="AO483" s="2929"/>
      <c r="AP483" s="2929"/>
      <c r="AQ483" s="2929"/>
      <c r="AR483" s="2929"/>
      <c r="AS483" s="2929"/>
      <c r="AT483" s="2949"/>
      <c r="AU483" s="2950"/>
      <c r="AV483" s="454">
        <f t="shared" si="320"/>
        <v>0</v>
      </c>
      <c r="AW483" s="454">
        <f t="shared" si="321"/>
        <v>0</v>
      </c>
      <c r="AX483" s="454">
        <f t="shared" si="322"/>
        <v>0</v>
      </c>
      <c r="AY483" s="2966">
        <f t="shared" si="297"/>
        <v>0</v>
      </c>
      <c r="AZ483" s="2897">
        <f t="shared" si="298"/>
        <v>0</v>
      </c>
      <c r="BA483" s="2897">
        <f t="shared" si="299"/>
        <v>0</v>
      </c>
      <c r="BB483" s="2897">
        <f t="shared" si="300"/>
        <v>0</v>
      </c>
      <c r="BC483" s="2897">
        <f t="shared" si="301"/>
        <v>0</v>
      </c>
      <c r="BD483" s="2897">
        <f t="shared" si="302"/>
        <v>0</v>
      </c>
      <c r="BE483" s="2897">
        <f t="shared" si="303"/>
        <v>0</v>
      </c>
      <c r="BF483" s="2897">
        <f t="shared" si="304"/>
        <v>0</v>
      </c>
      <c r="BG483" s="2897">
        <f t="shared" si="305"/>
        <v>0</v>
      </c>
      <c r="BH483" s="2897">
        <f t="shared" si="306"/>
        <v>0</v>
      </c>
      <c r="BI483" s="2897">
        <f t="shared" si="307"/>
        <v>0</v>
      </c>
      <c r="BJ483" s="2897">
        <f t="shared" si="308"/>
        <v>0</v>
      </c>
      <c r="BK483" s="2897">
        <f t="shared" si="309"/>
        <v>0</v>
      </c>
      <c r="BL483" s="2897">
        <f t="shared" si="310"/>
        <v>0</v>
      </c>
      <c r="BM483" s="2897">
        <f t="shared" si="311"/>
        <v>0</v>
      </c>
      <c r="BN483" s="2897">
        <f t="shared" si="312"/>
        <v>0</v>
      </c>
      <c r="BO483" s="2897">
        <f t="shared" si="313"/>
        <v>0</v>
      </c>
      <c r="BP483" s="2897">
        <f t="shared" si="314"/>
        <v>0</v>
      </c>
      <c r="BQ483" s="2897">
        <f t="shared" si="315"/>
        <v>0</v>
      </c>
      <c r="BR483" s="2897">
        <f t="shared" si="316"/>
        <v>0</v>
      </c>
      <c r="BS483" s="2897">
        <f t="shared" si="317"/>
        <v>0</v>
      </c>
      <c r="BT483" s="2971">
        <f t="shared" si="318"/>
        <v>0</v>
      </c>
    </row>
    <row r="484" spans="1:72">
      <c r="A484" s="2894"/>
      <c r="B484" s="2904"/>
      <c r="C484" s="2902"/>
      <c r="D484" s="2903"/>
      <c r="E484" s="2897">
        <f t="shared" si="319"/>
        <v>0</v>
      </c>
      <c r="F484" s="2898"/>
      <c r="G484" s="2899">
        <f t="shared" si="294"/>
        <v>0</v>
      </c>
      <c r="H484" s="2900">
        <f t="shared" si="295"/>
        <v>0</v>
      </c>
      <c r="I484" s="2906"/>
      <c r="J484" s="2918"/>
      <c r="K484" s="2906"/>
      <c r="L484" s="2918"/>
      <c r="M484" s="2918"/>
      <c r="N484" s="2918"/>
      <c r="O484" s="2919"/>
      <c r="P484" s="2918"/>
      <c r="Q484" s="2918"/>
      <c r="R484" s="2918"/>
      <c r="S484" s="2918"/>
      <c r="T484" s="2918"/>
      <c r="U484" s="2918"/>
      <c r="V484" s="2918"/>
      <c r="W484" s="2918"/>
      <c r="X484" s="2918"/>
      <c r="Y484" s="2918"/>
      <c r="Z484" s="2918"/>
      <c r="AA484" s="2918"/>
      <c r="AB484" s="2918"/>
      <c r="AC484" s="2897">
        <f t="shared" si="296"/>
        <v>0</v>
      </c>
      <c r="AD484" s="2929"/>
      <c r="AE484" s="2929"/>
      <c r="AF484" s="2930"/>
      <c r="AG484" s="2929"/>
      <c r="AH484" s="2929"/>
      <c r="AI484" s="2929"/>
      <c r="AJ484" s="2929"/>
      <c r="AK484" s="2929"/>
      <c r="AL484" s="2929"/>
      <c r="AM484" s="2929"/>
      <c r="AN484" s="2919"/>
      <c r="AO484" s="2929"/>
      <c r="AP484" s="2929"/>
      <c r="AQ484" s="2929"/>
      <c r="AR484" s="2929"/>
      <c r="AS484" s="2929"/>
      <c r="AT484" s="2949"/>
      <c r="AU484" s="2950"/>
      <c r="AV484" s="454">
        <f t="shared" si="320"/>
        <v>0</v>
      </c>
      <c r="AW484" s="454">
        <f t="shared" si="321"/>
        <v>0</v>
      </c>
      <c r="AX484" s="454">
        <f t="shared" si="322"/>
        <v>0</v>
      </c>
      <c r="AY484" s="2966">
        <f t="shared" si="297"/>
        <v>0</v>
      </c>
      <c r="AZ484" s="2897">
        <f t="shared" si="298"/>
        <v>0</v>
      </c>
      <c r="BA484" s="2897">
        <f t="shared" si="299"/>
        <v>0</v>
      </c>
      <c r="BB484" s="2897">
        <f t="shared" si="300"/>
        <v>0</v>
      </c>
      <c r="BC484" s="2897">
        <f t="shared" si="301"/>
        <v>0</v>
      </c>
      <c r="BD484" s="2897">
        <f t="shared" si="302"/>
        <v>0</v>
      </c>
      <c r="BE484" s="2897">
        <f t="shared" si="303"/>
        <v>0</v>
      </c>
      <c r="BF484" s="2897">
        <f t="shared" si="304"/>
        <v>0</v>
      </c>
      <c r="BG484" s="2897">
        <f t="shared" si="305"/>
        <v>0</v>
      </c>
      <c r="BH484" s="2897">
        <f t="shared" si="306"/>
        <v>0</v>
      </c>
      <c r="BI484" s="2897">
        <f t="shared" si="307"/>
        <v>0</v>
      </c>
      <c r="BJ484" s="2897">
        <f t="shared" si="308"/>
        <v>0</v>
      </c>
      <c r="BK484" s="2897">
        <f t="shared" si="309"/>
        <v>0</v>
      </c>
      <c r="BL484" s="2897">
        <f t="shared" si="310"/>
        <v>0</v>
      </c>
      <c r="BM484" s="2897">
        <f t="shared" si="311"/>
        <v>0</v>
      </c>
      <c r="BN484" s="2897">
        <f t="shared" si="312"/>
        <v>0</v>
      </c>
      <c r="BO484" s="2897">
        <f t="shared" si="313"/>
        <v>0</v>
      </c>
      <c r="BP484" s="2897">
        <f t="shared" si="314"/>
        <v>0</v>
      </c>
      <c r="BQ484" s="2897">
        <f t="shared" si="315"/>
        <v>0</v>
      </c>
      <c r="BR484" s="2897">
        <f t="shared" si="316"/>
        <v>0</v>
      </c>
      <c r="BS484" s="2897">
        <f t="shared" si="317"/>
        <v>0</v>
      </c>
      <c r="BT484" s="2971">
        <f t="shared" si="318"/>
        <v>0</v>
      </c>
    </row>
    <row r="485" spans="1:72">
      <c r="A485" s="2894"/>
      <c r="B485" s="2904"/>
      <c r="C485" s="2902"/>
      <c r="D485" s="2903"/>
      <c r="E485" s="2897">
        <f t="shared" si="319"/>
        <v>0</v>
      </c>
      <c r="F485" s="2898"/>
      <c r="G485" s="2899">
        <f t="shared" si="294"/>
        <v>0</v>
      </c>
      <c r="H485" s="2900">
        <f t="shared" si="295"/>
        <v>0</v>
      </c>
      <c r="I485" s="2906"/>
      <c r="J485" s="2918"/>
      <c r="K485" s="2906"/>
      <c r="L485" s="2918"/>
      <c r="M485" s="2918"/>
      <c r="N485" s="2918"/>
      <c r="O485" s="2918"/>
      <c r="P485" s="2918"/>
      <c r="Q485" s="2918"/>
      <c r="R485" s="2918"/>
      <c r="S485" s="2918"/>
      <c r="T485" s="2918"/>
      <c r="U485" s="2918"/>
      <c r="V485" s="2918"/>
      <c r="W485" s="2918"/>
      <c r="X485" s="2918"/>
      <c r="Y485" s="2918"/>
      <c r="Z485" s="2918"/>
      <c r="AA485" s="2918"/>
      <c r="AB485" s="2918"/>
      <c r="AC485" s="2897">
        <f t="shared" si="296"/>
        <v>0</v>
      </c>
      <c r="AD485" s="2929"/>
      <c r="AE485" s="2929"/>
      <c r="AF485" s="2930"/>
      <c r="AG485" s="2929"/>
      <c r="AH485" s="2929"/>
      <c r="AI485" s="2929"/>
      <c r="AJ485" s="2929"/>
      <c r="AK485" s="2929"/>
      <c r="AL485" s="2929"/>
      <c r="AM485" s="2929"/>
      <c r="AN485" s="2929"/>
      <c r="AO485" s="2929"/>
      <c r="AP485" s="2929"/>
      <c r="AQ485" s="2929"/>
      <c r="AR485" s="2929"/>
      <c r="AS485" s="2929"/>
      <c r="AT485" s="2949"/>
      <c r="AU485" s="2950"/>
      <c r="AV485" s="454">
        <f t="shared" si="320"/>
        <v>0</v>
      </c>
      <c r="AW485" s="454">
        <f t="shared" si="321"/>
        <v>0</v>
      </c>
      <c r="AX485" s="454">
        <f t="shared" si="322"/>
        <v>0</v>
      </c>
      <c r="AY485" s="2966">
        <f t="shared" si="297"/>
        <v>0</v>
      </c>
      <c r="AZ485" s="2897">
        <f t="shared" si="298"/>
        <v>0</v>
      </c>
      <c r="BA485" s="2897">
        <f t="shared" si="299"/>
        <v>0</v>
      </c>
      <c r="BB485" s="2897">
        <f t="shared" si="300"/>
        <v>0</v>
      </c>
      <c r="BC485" s="2897">
        <f t="shared" si="301"/>
        <v>0</v>
      </c>
      <c r="BD485" s="2897">
        <f t="shared" si="302"/>
        <v>0</v>
      </c>
      <c r="BE485" s="2897">
        <f t="shared" si="303"/>
        <v>0</v>
      </c>
      <c r="BF485" s="2897">
        <f t="shared" si="304"/>
        <v>0</v>
      </c>
      <c r="BG485" s="2897">
        <f t="shared" si="305"/>
        <v>0</v>
      </c>
      <c r="BH485" s="2897">
        <f t="shared" si="306"/>
        <v>0</v>
      </c>
      <c r="BI485" s="2897">
        <f t="shared" si="307"/>
        <v>0</v>
      </c>
      <c r="BJ485" s="2897">
        <f t="shared" si="308"/>
        <v>0</v>
      </c>
      <c r="BK485" s="2897">
        <f t="shared" si="309"/>
        <v>0</v>
      </c>
      <c r="BL485" s="2897">
        <f t="shared" si="310"/>
        <v>0</v>
      </c>
      <c r="BM485" s="2897">
        <f t="shared" si="311"/>
        <v>0</v>
      </c>
      <c r="BN485" s="2897">
        <f t="shared" si="312"/>
        <v>0</v>
      </c>
      <c r="BO485" s="2897">
        <f t="shared" si="313"/>
        <v>0</v>
      </c>
      <c r="BP485" s="2897">
        <f t="shared" si="314"/>
        <v>0</v>
      </c>
      <c r="BQ485" s="2897">
        <f t="shared" si="315"/>
        <v>0</v>
      </c>
      <c r="BR485" s="2897">
        <f t="shared" si="316"/>
        <v>0</v>
      </c>
      <c r="BS485" s="2897">
        <f t="shared" si="317"/>
        <v>0</v>
      </c>
      <c r="BT485" s="2971">
        <f t="shared" si="318"/>
        <v>0</v>
      </c>
    </row>
    <row r="486" spans="1:72">
      <c r="A486" s="2894"/>
      <c r="B486" s="2904"/>
      <c r="C486" s="2902"/>
      <c r="D486" s="2903"/>
      <c r="E486" s="2897">
        <f t="shared" si="319"/>
        <v>0</v>
      </c>
      <c r="F486" s="2898"/>
      <c r="G486" s="2899">
        <f t="shared" si="294"/>
        <v>0</v>
      </c>
      <c r="H486" s="2900">
        <f t="shared" si="295"/>
        <v>0</v>
      </c>
      <c r="I486" s="2906"/>
      <c r="J486" s="2918"/>
      <c r="K486" s="2906"/>
      <c r="L486" s="2918"/>
      <c r="M486" s="2918"/>
      <c r="N486" s="2918"/>
      <c r="O486" s="2918"/>
      <c r="P486" s="2918"/>
      <c r="Q486" s="2918"/>
      <c r="R486" s="2918"/>
      <c r="S486" s="2918"/>
      <c r="T486" s="2918"/>
      <c r="U486" s="2918"/>
      <c r="V486" s="2918"/>
      <c r="W486" s="2918"/>
      <c r="X486" s="2918"/>
      <c r="Y486" s="2918"/>
      <c r="Z486" s="2918"/>
      <c r="AA486" s="2918"/>
      <c r="AB486" s="2918"/>
      <c r="AC486" s="2897">
        <f t="shared" si="296"/>
        <v>0</v>
      </c>
      <c r="AD486" s="2929"/>
      <c r="AE486" s="2929"/>
      <c r="AF486" s="2930"/>
      <c r="AG486" s="2929"/>
      <c r="AH486" s="2929"/>
      <c r="AI486" s="2929"/>
      <c r="AJ486" s="2929"/>
      <c r="AK486" s="2929"/>
      <c r="AL486" s="2929"/>
      <c r="AM486" s="2929"/>
      <c r="AN486" s="2929"/>
      <c r="AO486" s="2929"/>
      <c r="AP486" s="2929"/>
      <c r="AQ486" s="2929"/>
      <c r="AR486" s="2929"/>
      <c r="AS486" s="2929"/>
      <c r="AT486" s="2949"/>
      <c r="AU486" s="2950"/>
      <c r="AV486" s="454">
        <f t="shared" si="320"/>
        <v>0</v>
      </c>
      <c r="AW486" s="454">
        <f t="shared" si="321"/>
        <v>0</v>
      </c>
      <c r="AX486" s="454">
        <f t="shared" si="322"/>
        <v>0</v>
      </c>
      <c r="AY486" s="2966">
        <f t="shared" si="297"/>
        <v>0</v>
      </c>
      <c r="AZ486" s="2897">
        <f t="shared" si="298"/>
        <v>0</v>
      </c>
      <c r="BA486" s="2897">
        <f t="shared" si="299"/>
        <v>0</v>
      </c>
      <c r="BB486" s="2897">
        <f t="shared" si="300"/>
        <v>0</v>
      </c>
      <c r="BC486" s="2897">
        <f t="shared" si="301"/>
        <v>0</v>
      </c>
      <c r="BD486" s="2897">
        <f t="shared" si="302"/>
        <v>0</v>
      </c>
      <c r="BE486" s="2897">
        <f t="shared" si="303"/>
        <v>0</v>
      </c>
      <c r="BF486" s="2897">
        <f t="shared" si="304"/>
        <v>0</v>
      </c>
      <c r="BG486" s="2897">
        <f t="shared" si="305"/>
        <v>0</v>
      </c>
      <c r="BH486" s="2897">
        <f t="shared" si="306"/>
        <v>0</v>
      </c>
      <c r="BI486" s="2897">
        <f t="shared" si="307"/>
        <v>0</v>
      </c>
      <c r="BJ486" s="2897">
        <f t="shared" si="308"/>
        <v>0</v>
      </c>
      <c r="BK486" s="2897">
        <f t="shared" si="309"/>
        <v>0</v>
      </c>
      <c r="BL486" s="2897">
        <f t="shared" si="310"/>
        <v>0</v>
      </c>
      <c r="BM486" s="2897">
        <f t="shared" si="311"/>
        <v>0</v>
      </c>
      <c r="BN486" s="2897">
        <f t="shared" si="312"/>
        <v>0</v>
      </c>
      <c r="BO486" s="2897">
        <f t="shared" si="313"/>
        <v>0</v>
      </c>
      <c r="BP486" s="2897">
        <f t="shared" si="314"/>
        <v>0</v>
      </c>
      <c r="BQ486" s="2897">
        <f t="shared" si="315"/>
        <v>0</v>
      </c>
      <c r="BR486" s="2897">
        <f t="shared" si="316"/>
        <v>0</v>
      </c>
      <c r="BS486" s="2897">
        <f t="shared" si="317"/>
        <v>0</v>
      </c>
      <c r="BT486" s="2971">
        <f t="shared" si="318"/>
        <v>0</v>
      </c>
    </row>
    <row r="487" spans="1:72">
      <c r="A487" s="2894"/>
      <c r="B487" s="2904"/>
      <c r="C487" s="2902"/>
      <c r="D487" s="2903"/>
      <c r="E487" s="2897">
        <f t="shared" si="319"/>
        <v>0</v>
      </c>
      <c r="F487" s="2898"/>
      <c r="G487" s="2899">
        <f t="shared" si="294"/>
        <v>0</v>
      </c>
      <c r="H487" s="2900">
        <f t="shared" si="295"/>
        <v>0</v>
      </c>
      <c r="I487" s="2906"/>
      <c r="J487" s="2918"/>
      <c r="K487" s="2906"/>
      <c r="L487" s="2918"/>
      <c r="M487" s="2918"/>
      <c r="N487" s="2918"/>
      <c r="O487" s="2918"/>
      <c r="P487" s="2918"/>
      <c r="Q487" s="2918"/>
      <c r="R487" s="2918"/>
      <c r="S487" s="2918"/>
      <c r="T487" s="2918"/>
      <c r="U487" s="2918"/>
      <c r="V487" s="2918"/>
      <c r="W487" s="2918"/>
      <c r="X487" s="2918"/>
      <c r="Y487" s="2918"/>
      <c r="Z487" s="2918"/>
      <c r="AA487" s="2918"/>
      <c r="AB487" s="2918"/>
      <c r="AC487" s="2897">
        <f t="shared" si="296"/>
        <v>0</v>
      </c>
      <c r="AD487" s="2929"/>
      <c r="AE487" s="2929"/>
      <c r="AF487" s="2930"/>
      <c r="AG487" s="2929"/>
      <c r="AH487" s="2929"/>
      <c r="AI487" s="2929"/>
      <c r="AJ487" s="2929"/>
      <c r="AK487" s="2929"/>
      <c r="AL487" s="2929"/>
      <c r="AM487" s="2929"/>
      <c r="AN487" s="2929"/>
      <c r="AO487" s="2929"/>
      <c r="AP487" s="2929"/>
      <c r="AQ487" s="2929"/>
      <c r="AR487" s="2929"/>
      <c r="AS487" s="2929"/>
      <c r="AT487" s="2949"/>
      <c r="AU487" s="2950"/>
      <c r="AV487" s="454">
        <f t="shared" si="320"/>
        <v>0</v>
      </c>
      <c r="AW487" s="454">
        <f t="shared" si="321"/>
        <v>0</v>
      </c>
      <c r="AX487" s="454">
        <f t="shared" si="322"/>
        <v>0</v>
      </c>
      <c r="AY487" s="2966">
        <f t="shared" si="297"/>
        <v>0</v>
      </c>
      <c r="AZ487" s="2897">
        <f t="shared" si="298"/>
        <v>0</v>
      </c>
      <c r="BA487" s="2897">
        <f t="shared" si="299"/>
        <v>0</v>
      </c>
      <c r="BB487" s="2897">
        <f t="shared" si="300"/>
        <v>0</v>
      </c>
      <c r="BC487" s="2897">
        <f t="shared" si="301"/>
        <v>0</v>
      </c>
      <c r="BD487" s="2897">
        <f t="shared" si="302"/>
        <v>0</v>
      </c>
      <c r="BE487" s="2897">
        <f t="shared" si="303"/>
        <v>0</v>
      </c>
      <c r="BF487" s="2897">
        <f t="shared" si="304"/>
        <v>0</v>
      </c>
      <c r="BG487" s="2897">
        <f t="shared" si="305"/>
        <v>0</v>
      </c>
      <c r="BH487" s="2897">
        <f t="shared" si="306"/>
        <v>0</v>
      </c>
      <c r="BI487" s="2897">
        <f t="shared" si="307"/>
        <v>0</v>
      </c>
      <c r="BJ487" s="2897">
        <f t="shared" si="308"/>
        <v>0</v>
      </c>
      <c r="BK487" s="2897">
        <f t="shared" si="309"/>
        <v>0</v>
      </c>
      <c r="BL487" s="2897">
        <f t="shared" si="310"/>
        <v>0</v>
      </c>
      <c r="BM487" s="2897">
        <f t="shared" si="311"/>
        <v>0</v>
      </c>
      <c r="BN487" s="2897">
        <f t="shared" si="312"/>
        <v>0</v>
      </c>
      <c r="BO487" s="2897">
        <f t="shared" si="313"/>
        <v>0</v>
      </c>
      <c r="BP487" s="2897">
        <f t="shared" si="314"/>
        <v>0</v>
      </c>
      <c r="BQ487" s="2897">
        <f t="shared" si="315"/>
        <v>0</v>
      </c>
      <c r="BR487" s="2897">
        <f t="shared" si="316"/>
        <v>0</v>
      </c>
      <c r="BS487" s="2897">
        <f t="shared" si="317"/>
        <v>0</v>
      </c>
      <c r="BT487" s="2971">
        <f t="shared" si="318"/>
        <v>0</v>
      </c>
    </row>
    <row r="488" spans="1:72">
      <c r="A488" s="2894"/>
      <c r="B488" s="2904"/>
      <c r="C488" s="2902"/>
      <c r="D488" s="2903"/>
      <c r="E488" s="2897">
        <f t="shared" si="319"/>
        <v>0</v>
      </c>
      <c r="F488" s="2898"/>
      <c r="G488" s="2899">
        <f t="shared" si="294"/>
        <v>0</v>
      </c>
      <c r="H488" s="2900">
        <f t="shared" si="295"/>
        <v>0</v>
      </c>
      <c r="I488" s="2906"/>
      <c r="J488" s="2918"/>
      <c r="K488" s="2906"/>
      <c r="L488" s="2918"/>
      <c r="M488" s="2918"/>
      <c r="N488" s="2918"/>
      <c r="O488" s="2918"/>
      <c r="P488" s="2918"/>
      <c r="Q488" s="2918"/>
      <c r="R488" s="2918"/>
      <c r="S488" s="2918"/>
      <c r="T488" s="2918"/>
      <c r="U488" s="2918"/>
      <c r="V488" s="2918"/>
      <c r="W488" s="2918"/>
      <c r="X488" s="2918"/>
      <c r="Y488" s="2918"/>
      <c r="Z488" s="2918"/>
      <c r="AA488" s="2918"/>
      <c r="AB488" s="2918"/>
      <c r="AC488" s="2897">
        <f t="shared" si="296"/>
        <v>0</v>
      </c>
      <c r="AD488" s="2929"/>
      <c r="AE488" s="2929"/>
      <c r="AF488" s="2906"/>
      <c r="AG488" s="2929"/>
      <c r="AH488" s="2929"/>
      <c r="AI488" s="2929"/>
      <c r="AJ488" s="2929"/>
      <c r="AK488" s="2929"/>
      <c r="AL488" s="2929"/>
      <c r="AM488" s="2929"/>
      <c r="AN488" s="2929"/>
      <c r="AO488" s="2929"/>
      <c r="AP488" s="2929"/>
      <c r="AQ488" s="2929"/>
      <c r="AR488" s="2929"/>
      <c r="AS488" s="2929"/>
      <c r="AT488" s="2949"/>
      <c r="AU488" s="2950"/>
      <c r="AV488" s="454">
        <f t="shared" si="320"/>
        <v>0</v>
      </c>
      <c r="AW488" s="454">
        <f t="shared" si="321"/>
        <v>0</v>
      </c>
      <c r="AX488" s="454">
        <f t="shared" si="322"/>
        <v>0</v>
      </c>
      <c r="AY488" s="2966">
        <f t="shared" si="297"/>
        <v>0</v>
      </c>
      <c r="AZ488" s="2897">
        <f t="shared" si="298"/>
        <v>0</v>
      </c>
      <c r="BA488" s="2897">
        <f t="shared" si="299"/>
        <v>0</v>
      </c>
      <c r="BB488" s="2897">
        <f t="shared" si="300"/>
        <v>0</v>
      </c>
      <c r="BC488" s="2897">
        <f t="shared" si="301"/>
        <v>0</v>
      </c>
      <c r="BD488" s="2897">
        <f t="shared" si="302"/>
        <v>0</v>
      </c>
      <c r="BE488" s="2897">
        <f t="shared" si="303"/>
        <v>0</v>
      </c>
      <c r="BF488" s="2897">
        <f t="shared" si="304"/>
        <v>0</v>
      </c>
      <c r="BG488" s="2897">
        <f t="shared" si="305"/>
        <v>0</v>
      </c>
      <c r="BH488" s="2897">
        <f t="shared" si="306"/>
        <v>0</v>
      </c>
      <c r="BI488" s="2897">
        <f t="shared" si="307"/>
        <v>0</v>
      </c>
      <c r="BJ488" s="2897">
        <f t="shared" si="308"/>
        <v>0</v>
      </c>
      <c r="BK488" s="2897">
        <f t="shared" si="309"/>
        <v>0</v>
      </c>
      <c r="BL488" s="2897">
        <f t="shared" si="310"/>
        <v>0</v>
      </c>
      <c r="BM488" s="2897">
        <f t="shared" si="311"/>
        <v>0</v>
      </c>
      <c r="BN488" s="2897">
        <f t="shared" si="312"/>
        <v>0</v>
      </c>
      <c r="BO488" s="2897">
        <f t="shared" si="313"/>
        <v>0</v>
      </c>
      <c r="BP488" s="2897">
        <f t="shared" si="314"/>
        <v>0</v>
      </c>
      <c r="BQ488" s="2897">
        <f t="shared" si="315"/>
        <v>0</v>
      </c>
      <c r="BR488" s="2897">
        <f t="shared" si="316"/>
        <v>0</v>
      </c>
      <c r="BS488" s="2897">
        <f t="shared" si="317"/>
        <v>0</v>
      </c>
      <c r="BT488" s="2971">
        <f t="shared" si="318"/>
        <v>0</v>
      </c>
    </row>
    <row r="489" spans="1:72">
      <c r="A489" s="2894"/>
      <c r="B489" s="2905"/>
      <c r="C489" s="2906"/>
      <c r="D489" s="2903"/>
      <c r="E489" s="2897">
        <f t="shared" si="319"/>
        <v>0</v>
      </c>
      <c r="F489" s="2898"/>
      <c r="G489" s="2899">
        <f t="shared" si="294"/>
        <v>0</v>
      </c>
      <c r="H489" s="2900">
        <f t="shared" si="295"/>
        <v>0</v>
      </c>
      <c r="I489" s="2906"/>
      <c r="J489" s="2918"/>
      <c r="K489" s="2906"/>
      <c r="L489" s="2918"/>
      <c r="M489" s="2918"/>
      <c r="N489" s="2918"/>
      <c r="O489" s="2918"/>
      <c r="P489" s="2918"/>
      <c r="Q489" s="2918"/>
      <c r="R489" s="2918"/>
      <c r="S489" s="2918"/>
      <c r="T489" s="2918"/>
      <c r="U489" s="2918"/>
      <c r="V489" s="2918"/>
      <c r="W489" s="2918"/>
      <c r="X489" s="2918"/>
      <c r="Y489" s="2918"/>
      <c r="Z489" s="2918"/>
      <c r="AA489" s="2918"/>
      <c r="AB489" s="2918"/>
      <c r="AC489" s="2897">
        <f t="shared" si="296"/>
        <v>0</v>
      </c>
      <c r="AD489" s="2929"/>
      <c r="AE489" s="2929"/>
      <c r="AF489" s="2906"/>
      <c r="AG489" s="2929"/>
      <c r="AH489" s="2929"/>
      <c r="AI489" s="2929"/>
      <c r="AJ489" s="2929"/>
      <c r="AK489" s="2929"/>
      <c r="AL489" s="2929"/>
      <c r="AM489" s="2929"/>
      <c r="AN489" s="2929"/>
      <c r="AO489" s="2929"/>
      <c r="AP489" s="2929"/>
      <c r="AQ489" s="2929"/>
      <c r="AR489" s="2929"/>
      <c r="AS489" s="2929"/>
      <c r="AT489" s="2949"/>
      <c r="AU489" s="2950"/>
      <c r="AV489" s="454">
        <f t="shared" si="320"/>
        <v>0</v>
      </c>
      <c r="AW489" s="454">
        <f t="shared" si="321"/>
        <v>0</v>
      </c>
      <c r="AX489" s="454">
        <f t="shared" si="322"/>
        <v>0</v>
      </c>
      <c r="AY489" s="2966">
        <f t="shared" si="297"/>
        <v>0</v>
      </c>
      <c r="AZ489" s="2897">
        <f t="shared" si="298"/>
        <v>0</v>
      </c>
      <c r="BA489" s="2897">
        <f t="shared" si="299"/>
        <v>0</v>
      </c>
      <c r="BB489" s="2897">
        <f t="shared" si="300"/>
        <v>0</v>
      </c>
      <c r="BC489" s="2897">
        <f t="shared" si="301"/>
        <v>0</v>
      </c>
      <c r="BD489" s="2897">
        <f t="shared" si="302"/>
        <v>0</v>
      </c>
      <c r="BE489" s="2897">
        <f t="shared" si="303"/>
        <v>0</v>
      </c>
      <c r="BF489" s="2897">
        <f t="shared" si="304"/>
        <v>0</v>
      </c>
      <c r="BG489" s="2897">
        <f t="shared" si="305"/>
        <v>0</v>
      </c>
      <c r="BH489" s="2897">
        <f t="shared" si="306"/>
        <v>0</v>
      </c>
      <c r="BI489" s="2897">
        <f t="shared" si="307"/>
        <v>0</v>
      </c>
      <c r="BJ489" s="2897">
        <f t="shared" si="308"/>
        <v>0</v>
      </c>
      <c r="BK489" s="2897">
        <f t="shared" si="309"/>
        <v>0</v>
      </c>
      <c r="BL489" s="2897">
        <f t="shared" si="310"/>
        <v>0</v>
      </c>
      <c r="BM489" s="2897">
        <f t="shared" si="311"/>
        <v>0</v>
      </c>
      <c r="BN489" s="2897">
        <f t="shared" si="312"/>
        <v>0</v>
      </c>
      <c r="BO489" s="2897">
        <f t="shared" si="313"/>
        <v>0</v>
      </c>
      <c r="BP489" s="2897">
        <f t="shared" si="314"/>
        <v>0</v>
      </c>
      <c r="BQ489" s="2897">
        <f t="shared" si="315"/>
        <v>0</v>
      </c>
      <c r="BR489" s="2897">
        <f t="shared" si="316"/>
        <v>0</v>
      </c>
      <c r="BS489" s="2897">
        <f t="shared" si="317"/>
        <v>0</v>
      </c>
      <c r="BT489" s="2971">
        <f t="shared" si="318"/>
        <v>0</v>
      </c>
    </row>
    <row r="490" spans="1:72">
      <c r="A490" s="2894"/>
      <c r="B490" s="2904"/>
      <c r="C490" s="2902"/>
      <c r="D490" s="2903"/>
      <c r="E490" s="2897">
        <f t="shared" si="319"/>
        <v>0</v>
      </c>
      <c r="F490" s="2898"/>
      <c r="G490" s="2899">
        <f t="shared" si="294"/>
        <v>0</v>
      </c>
      <c r="H490" s="2900">
        <f t="shared" si="295"/>
        <v>0</v>
      </c>
      <c r="I490" s="2906"/>
      <c r="J490" s="2918"/>
      <c r="K490" s="2906"/>
      <c r="L490" s="2918"/>
      <c r="M490" s="2918"/>
      <c r="N490" s="2918"/>
      <c r="O490" s="2918"/>
      <c r="P490" s="2918"/>
      <c r="Q490" s="2918"/>
      <c r="R490" s="2918"/>
      <c r="S490" s="2918"/>
      <c r="T490" s="2918"/>
      <c r="U490" s="2918"/>
      <c r="V490" s="2918"/>
      <c r="W490" s="2918"/>
      <c r="X490" s="2918"/>
      <c r="Y490" s="2918"/>
      <c r="Z490" s="2918"/>
      <c r="AA490" s="2918"/>
      <c r="AB490" s="2918"/>
      <c r="AC490" s="2897">
        <f t="shared" si="296"/>
        <v>0</v>
      </c>
      <c r="AD490" s="2929"/>
      <c r="AE490" s="2929"/>
      <c r="AF490" s="2906"/>
      <c r="AG490" s="2929"/>
      <c r="AH490" s="2929"/>
      <c r="AI490" s="2929"/>
      <c r="AJ490" s="2929"/>
      <c r="AK490" s="2929"/>
      <c r="AL490" s="2929"/>
      <c r="AM490" s="2929"/>
      <c r="AN490" s="2929"/>
      <c r="AO490" s="2929"/>
      <c r="AP490" s="2929"/>
      <c r="AQ490" s="2929"/>
      <c r="AR490" s="2929"/>
      <c r="AS490" s="2929"/>
      <c r="AT490" s="2949"/>
      <c r="AU490" s="2950"/>
      <c r="AV490" s="454">
        <f t="shared" si="320"/>
        <v>0</v>
      </c>
      <c r="AW490" s="454">
        <f t="shared" si="321"/>
        <v>0</v>
      </c>
      <c r="AX490" s="454">
        <f t="shared" si="322"/>
        <v>0</v>
      </c>
      <c r="AY490" s="2966">
        <f t="shared" si="297"/>
        <v>0</v>
      </c>
      <c r="AZ490" s="2897">
        <f t="shared" si="298"/>
        <v>0</v>
      </c>
      <c r="BA490" s="2897">
        <f t="shared" si="299"/>
        <v>0</v>
      </c>
      <c r="BB490" s="2897">
        <f t="shared" si="300"/>
        <v>0</v>
      </c>
      <c r="BC490" s="2897">
        <f t="shared" si="301"/>
        <v>0</v>
      </c>
      <c r="BD490" s="2897">
        <f t="shared" si="302"/>
        <v>0</v>
      </c>
      <c r="BE490" s="2897">
        <f t="shared" si="303"/>
        <v>0</v>
      </c>
      <c r="BF490" s="2897">
        <f t="shared" si="304"/>
        <v>0</v>
      </c>
      <c r="BG490" s="2897">
        <f t="shared" si="305"/>
        <v>0</v>
      </c>
      <c r="BH490" s="2897">
        <f t="shared" si="306"/>
        <v>0</v>
      </c>
      <c r="BI490" s="2897">
        <f t="shared" si="307"/>
        <v>0</v>
      </c>
      <c r="BJ490" s="2897">
        <f t="shared" si="308"/>
        <v>0</v>
      </c>
      <c r="BK490" s="2897">
        <f t="shared" si="309"/>
        <v>0</v>
      </c>
      <c r="BL490" s="2897">
        <f t="shared" si="310"/>
        <v>0</v>
      </c>
      <c r="BM490" s="2897">
        <f t="shared" si="311"/>
        <v>0</v>
      </c>
      <c r="BN490" s="2897">
        <f t="shared" si="312"/>
        <v>0</v>
      </c>
      <c r="BO490" s="2897">
        <f t="shared" si="313"/>
        <v>0</v>
      </c>
      <c r="BP490" s="2897">
        <f t="shared" si="314"/>
        <v>0</v>
      </c>
      <c r="BQ490" s="2897">
        <f t="shared" si="315"/>
        <v>0</v>
      </c>
      <c r="BR490" s="2897">
        <f t="shared" si="316"/>
        <v>0</v>
      </c>
      <c r="BS490" s="2897">
        <f t="shared" si="317"/>
        <v>0</v>
      </c>
      <c r="BT490" s="2971">
        <f t="shared" si="318"/>
        <v>0</v>
      </c>
    </row>
    <row r="491" spans="1:72">
      <c r="A491" s="2894"/>
      <c r="B491" s="2904"/>
      <c r="C491" s="2902"/>
      <c r="D491" s="2903"/>
      <c r="E491" s="2897">
        <f t="shared" si="319"/>
        <v>0</v>
      </c>
      <c r="F491" s="2898"/>
      <c r="G491" s="2899">
        <f t="shared" si="294"/>
        <v>0</v>
      </c>
      <c r="H491" s="2900">
        <f t="shared" si="295"/>
        <v>0</v>
      </c>
      <c r="I491" s="2906"/>
      <c r="J491" s="2918"/>
      <c r="K491" s="2906"/>
      <c r="L491" s="2918"/>
      <c r="M491" s="2918"/>
      <c r="N491" s="2918"/>
      <c r="O491" s="2918"/>
      <c r="P491" s="2918"/>
      <c r="Q491" s="2918"/>
      <c r="R491" s="2918"/>
      <c r="S491" s="2918"/>
      <c r="T491" s="2918"/>
      <c r="U491" s="2918"/>
      <c r="V491" s="2918"/>
      <c r="W491" s="2918"/>
      <c r="X491" s="2918"/>
      <c r="Y491" s="2918"/>
      <c r="Z491" s="2918"/>
      <c r="AA491" s="2918"/>
      <c r="AB491" s="2918"/>
      <c r="AC491" s="2897">
        <f t="shared" si="296"/>
        <v>0</v>
      </c>
      <c r="AD491" s="2929"/>
      <c r="AE491" s="2929"/>
      <c r="AF491" s="2906"/>
      <c r="AG491" s="2929"/>
      <c r="AH491" s="2929"/>
      <c r="AI491" s="2929"/>
      <c r="AJ491" s="2929"/>
      <c r="AK491" s="2929"/>
      <c r="AL491" s="2929"/>
      <c r="AM491" s="2929"/>
      <c r="AN491" s="2929"/>
      <c r="AO491" s="2929"/>
      <c r="AP491" s="2929"/>
      <c r="AQ491" s="2929"/>
      <c r="AR491" s="2929"/>
      <c r="AS491" s="2929"/>
      <c r="AT491" s="2949"/>
      <c r="AU491" s="2950"/>
      <c r="AV491" s="454">
        <f t="shared" si="320"/>
        <v>0</v>
      </c>
      <c r="AW491" s="454">
        <f t="shared" si="321"/>
        <v>0</v>
      </c>
      <c r="AX491" s="454">
        <f t="shared" si="322"/>
        <v>0</v>
      </c>
      <c r="AY491" s="2966">
        <f t="shared" si="297"/>
        <v>0</v>
      </c>
      <c r="AZ491" s="2897">
        <f t="shared" si="298"/>
        <v>0</v>
      </c>
      <c r="BA491" s="2897">
        <f t="shared" si="299"/>
        <v>0</v>
      </c>
      <c r="BB491" s="2897">
        <f t="shared" si="300"/>
        <v>0</v>
      </c>
      <c r="BC491" s="2897">
        <f t="shared" si="301"/>
        <v>0</v>
      </c>
      <c r="BD491" s="2897">
        <f t="shared" si="302"/>
        <v>0</v>
      </c>
      <c r="BE491" s="2897">
        <f t="shared" si="303"/>
        <v>0</v>
      </c>
      <c r="BF491" s="2897">
        <f t="shared" si="304"/>
        <v>0</v>
      </c>
      <c r="BG491" s="2897">
        <f t="shared" si="305"/>
        <v>0</v>
      </c>
      <c r="BH491" s="2897">
        <f t="shared" si="306"/>
        <v>0</v>
      </c>
      <c r="BI491" s="2897">
        <f t="shared" si="307"/>
        <v>0</v>
      </c>
      <c r="BJ491" s="2897">
        <f t="shared" si="308"/>
        <v>0</v>
      </c>
      <c r="BK491" s="2897">
        <f t="shared" si="309"/>
        <v>0</v>
      </c>
      <c r="BL491" s="2897">
        <f t="shared" si="310"/>
        <v>0</v>
      </c>
      <c r="BM491" s="2897">
        <f t="shared" si="311"/>
        <v>0</v>
      </c>
      <c r="BN491" s="2897">
        <f t="shared" si="312"/>
        <v>0</v>
      </c>
      <c r="BO491" s="2897">
        <f t="shared" si="313"/>
        <v>0</v>
      </c>
      <c r="BP491" s="2897">
        <f t="shared" si="314"/>
        <v>0</v>
      </c>
      <c r="BQ491" s="2897">
        <f t="shared" si="315"/>
        <v>0</v>
      </c>
      <c r="BR491" s="2897">
        <f t="shared" si="316"/>
        <v>0</v>
      </c>
      <c r="BS491" s="2897">
        <f t="shared" si="317"/>
        <v>0</v>
      </c>
      <c r="BT491" s="2971">
        <f t="shared" si="318"/>
        <v>0</v>
      </c>
    </row>
    <row r="492" spans="1:72">
      <c r="A492" s="2894"/>
      <c r="B492" s="2904"/>
      <c r="C492" s="2902"/>
      <c r="D492" s="2903"/>
      <c r="E492" s="2897">
        <f t="shared" si="319"/>
        <v>0</v>
      </c>
      <c r="F492" s="2898"/>
      <c r="G492" s="2899">
        <f t="shared" si="294"/>
        <v>0</v>
      </c>
      <c r="H492" s="2900">
        <f t="shared" si="295"/>
        <v>0</v>
      </c>
      <c r="I492" s="2906"/>
      <c r="J492" s="2918"/>
      <c r="K492" s="2906"/>
      <c r="L492" s="2918"/>
      <c r="M492" s="2918"/>
      <c r="N492" s="2918"/>
      <c r="O492" s="2918"/>
      <c r="P492" s="2918"/>
      <c r="Q492" s="2918"/>
      <c r="R492" s="2918"/>
      <c r="S492" s="2918"/>
      <c r="T492" s="2918"/>
      <c r="U492" s="2918"/>
      <c r="V492" s="2918"/>
      <c r="W492" s="2918"/>
      <c r="X492" s="2918"/>
      <c r="Y492" s="2918"/>
      <c r="Z492" s="2918"/>
      <c r="AA492" s="2918"/>
      <c r="AB492" s="2918"/>
      <c r="AC492" s="2897">
        <f t="shared" si="296"/>
        <v>0</v>
      </c>
      <c r="AD492" s="2929"/>
      <c r="AE492" s="2929"/>
      <c r="AF492" s="2906"/>
      <c r="AG492" s="2929"/>
      <c r="AH492" s="2929"/>
      <c r="AI492" s="2929"/>
      <c r="AJ492" s="2929"/>
      <c r="AK492" s="2929"/>
      <c r="AL492" s="2929"/>
      <c r="AM492" s="2929"/>
      <c r="AN492" s="2929"/>
      <c r="AO492" s="2929"/>
      <c r="AP492" s="2929"/>
      <c r="AQ492" s="2929"/>
      <c r="AR492" s="2929"/>
      <c r="AS492" s="2929"/>
      <c r="AT492" s="2949"/>
      <c r="AU492" s="2950"/>
      <c r="AV492" s="454">
        <f t="shared" si="320"/>
        <v>0</v>
      </c>
      <c r="AW492" s="454">
        <f t="shared" si="321"/>
        <v>0</v>
      </c>
      <c r="AX492" s="454">
        <f t="shared" si="322"/>
        <v>0</v>
      </c>
      <c r="AY492" s="2966">
        <f t="shared" si="297"/>
        <v>0</v>
      </c>
      <c r="AZ492" s="2897">
        <f t="shared" si="298"/>
        <v>0</v>
      </c>
      <c r="BA492" s="2897">
        <f t="shared" si="299"/>
        <v>0</v>
      </c>
      <c r="BB492" s="2897">
        <f t="shared" si="300"/>
        <v>0</v>
      </c>
      <c r="BC492" s="2897">
        <f t="shared" si="301"/>
        <v>0</v>
      </c>
      <c r="BD492" s="2897">
        <f t="shared" si="302"/>
        <v>0</v>
      </c>
      <c r="BE492" s="2897">
        <f t="shared" si="303"/>
        <v>0</v>
      </c>
      <c r="BF492" s="2897">
        <f t="shared" si="304"/>
        <v>0</v>
      </c>
      <c r="BG492" s="2897">
        <f t="shared" si="305"/>
        <v>0</v>
      </c>
      <c r="BH492" s="2897">
        <f t="shared" si="306"/>
        <v>0</v>
      </c>
      <c r="BI492" s="2897">
        <f t="shared" si="307"/>
        <v>0</v>
      </c>
      <c r="BJ492" s="2897">
        <f t="shared" si="308"/>
        <v>0</v>
      </c>
      <c r="BK492" s="2897">
        <f t="shared" si="309"/>
        <v>0</v>
      </c>
      <c r="BL492" s="2897">
        <f t="shared" si="310"/>
        <v>0</v>
      </c>
      <c r="BM492" s="2897">
        <f t="shared" si="311"/>
        <v>0</v>
      </c>
      <c r="BN492" s="2897">
        <f t="shared" si="312"/>
        <v>0</v>
      </c>
      <c r="BO492" s="2897">
        <f t="shared" si="313"/>
        <v>0</v>
      </c>
      <c r="BP492" s="2897">
        <f t="shared" si="314"/>
        <v>0</v>
      </c>
      <c r="BQ492" s="2897">
        <f t="shared" si="315"/>
        <v>0</v>
      </c>
      <c r="BR492" s="2897">
        <f t="shared" si="316"/>
        <v>0</v>
      </c>
      <c r="BS492" s="2897">
        <f t="shared" si="317"/>
        <v>0</v>
      </c>
      <c r="BT492" s="2971">
        <f t="shared" si="318"/>
        <v>0</v>
      </c>
    </row>
    <row r="493" spans="1:72">
      <c r="A493" s="2894"/>
      <c r="B493" s="2904"/>
      <c r="C493" s="2902"/>
      <c r="D493" s="2903"/>
      <c r="E493" s="2897">
        <f t="shared" si="319"/>
        <v>0</v>
      </c>
      <c r="F493" s="2898"/>
      <c r="G493" s="2899">
        <f t="shared" si="294"/>
        <v>0</v>
      </c>
      <c r="H493" s="2900">
        <f t="shared" si="295"/>
        <v>0</v>
      </c>
      <c r="I493" s="2906"/>
      <c r="J493" s="2918"/>
      <c r="K493" s="2906"/>
      <c r="L493" s="2918"/>
      <c r="M493" s="2918"/>
      <c r="N493" s="2918"/>
      <c r="O493" s="2918"/>
      <c r="P493" s="2918"/>
      <c r="Q493" s="2918"/>
      <c r="R493" s="2918"/>
      <c r="S493" s="2918"/>
      <c r="T493" s="2918"/>
      <c r="U493" s="2918"/>
      <c r="V493" s="2918"/>
      <c r="W493" s="2918"/>
      <c r="X493" s="2918"/>
      <c r="Y493" s="2918"/>
      <c r="Z493" s="2918"/>
      <c r="AA493" s="2918"/>
      <c r="AB493" s="2918"/>
      <c r="AC493" s="2897">
        <f t="shared" si="296"/>
        <v>0</v>
      </c>
      <c r="AD493" s="2929"/>
      <c r="AE493" s="2929"/>
      <c r="AF493" s="2906"/>
      <c r="AG493" s="2929"/>
      <c r="AH493" s="2929"/>
      <c r="AI493" s="2929"/>
      <c r="AJ493" s="2929"/>
      <c r="AK493" s="2929"/>
      <c r="AL493" s="2929"/>
      <c r="AM493" s="2929"/>
      <c r="AN493" s="2929"/>
      <c r="AO493" s="2929"/>
      <c r="AP493" s="2929"/>
      <c r="AQ493" s="2929"/>
      <c r="AR493" s="2929"/>
      <c r="AS493" s="2929"/>
      <c r="AT493" s="2949"/>
      <c r="AU493" s="2950"/>
      <c r="AV493" s="454">
        <f t="shared" si="320"/>
        <v>0</v>
      </c>
      <c r="AW493" s="454">
        <f t="shared" si="321"/>
        <v>0</v>
      </c>
      <c r="AX493" s="454">
        <f t="shared" si="322"/>
        <v>0</v>
      </c>
      <c r="AY493" s="2966">
        <f t="shared" si="297"/>
        <v>0</v>
      </c>
      <c r="AZ493" s="2897">
        <f t="shared" si="298"/>
        <v>0</v>
      </c>
      <c r="BA493" s="2897">
        <f t="shared" si="299"/>
        <v>0</v>
      </c>
      <c r="BB493" s="2897">
        <f t="shared" si="300"/>
        <v>0</v>
      </c>
      <c r="BC493" s="2897">
        <f t="shared" si="301"/>
        <v>0</v>
      </c>
      <c r="BD493" s="2897">
        <f t="shared" si="302"/>
        <v>0</v>
      </c>
      <c r="BE493" s="2897">
        <f t="shared" si="303"/>
        <v>0</v>
      </c>
      <c r="BF493" s="2897">
        <f t="shared" si="304"/>
        <v>0</v>
      </c>
      <c r="BG493" s="2897">
        <f t="shared" si="305"/>
        <v>0</v>
      </c>
      <c r="BH493" s="2897">
        <f t="shared" si="306"/>
        <v>0</v>
      </c>
      <c r="BI493" s="2897">
        <f t="shared" si="307"/>
        <v>0</v>
      </c>
      <c r="BJ493" s="2897">
        <f t="shared" si="308"/>
        <v>0</v>
      </c>
      <c r="BK493" s="2897">
        <f t="shared" si="309"/>
        <v>0</v>
      </c>
      <c r="BL493" s="2897">
        <f t="shared" si="310"/>
        <v>0</v>
      </c>
      <c r="BM493" s="2897">
        <f t="shared" si="311"/>
        <v>0</v>
      </c>
      <c r="BN493" s="2897">
        <f t="shared" si="312"/>
        <v>0</v>
      </c>
      <c r="BO493" s="2897">
        <f t="shared" si="313"/>
        <v>0</v>
      </c>
      <c r="BP493" s="2897">
        <f t="shared" si="314"/>
        <v>0</v>
      </c>
      <c r="BQ493" s="2897">
        <f t="shared" si="315"/>
        <v>0</v>
      </c>
      <c r="BR493" s="2897">
        <f t="shared" si="316"/>
        <v>0</v>
      </c>
      <c r="BS493" s="2897">
        <f t="shared" si="317"/>
        <v>0</v>
      </c>
      <c r="BT493" s="2971">
        <f t="shared" si="318"/>
        <v>0</v>
      </c>
    </row>
    <row r="494" spans="1:72">
      <c r="A494" s="2894"/>
      <c r="B494" s="2904"/>
      <c r="C494" s="2902"/>
      <c r="D494" s="2903"/>
      <c r="E494" s="2897">
        <f t="shared" si="319"/>
        <v>0</v>
      </c>
      <c r="F494" s="2898"/>
      <c r="G494" s="2899">
        <f t="shared" si="294"/>
        <v>0</v>
      </c>
      <c r="H494" s="2900">
        <f t="shared" si="295"/>
        <v>0</v>
      </c>
      <c r="I494" s="2906"/>
      <c r="J494" s="2918"/>
      <c r="K494" s="2906"/>
      <c r="L494" s="2918"/>
      <c r="M494" s="2918"/>
      <c r="N494" s="2918"/>
      <c r="O494" s="2918"/>
      <c r="P494" s="2918"/>
      <c r="Q494" s="2918"/>
      <c r="R494" s="2918"/>
      <c r="S494" s="2918"/>
      <c r="T494" s="2918"/>
      <c r="U494" s="2918"/>
      <c r="V494" s="2918"/>
      <c r="W494" s="2918"/>
      <c r="X494" s="2918"/>
      <c r="Y494" s="2918"/>
      <c r="Z494" s="2918"/>
      <c r="AA494" s="2918"/>
      <c r="AB494" s="2918"/>
      <c r="AC494" s="2897">
        <f t="shared" si="296"/>
        <v>0</v>
      </c>
      <c r="AD494" s="2929"/>
      <c r="AE494" s="2929"/>
      <c r="AF494" s="2906"/>
      <c r="AG494" s="2929"/>
      <c r="AH494" s="2929"/>
      <c r="AI494" s="2929"/>
      <c r="AJ494" s="2929"/>
      <c r="AK494" s="2929"/>
      <c r="AL494" s="2929"/>
      <c r="AM494" s="2929"/>
      <c r="AN494" s="2929"/>
      <c r="AO494" s="2929"/>
      <c r="AP494" s="2929"/>
      <c r="AQ494" s="2929"/>
      <c r="AR494" s="2929"/>
      <c r="AS494" s="2929"/>
      <c r="AT494" s="2949"/>
      <c r="AU494" s="2950"/>
      <c r="AV494" s="454">
        <f t="shared" si="320"/>
        <v>0</v>
      </c>
      <c r="AW494" s="454">
        <f t="shared" si="321"/>
        <v>0</v>
      </c>
      <c r="AX494" s="454">
        <f t="shared" si="322"/>
        <v>0</v>
      </c>
      <c r="AY494" s="2966">
        <f t="shared" si="297"/>
        <v>0</v>
      </c>
      <c r="AZ494" s="2897">
        <f t="shared" si="298"/>
        <v>0</v>
      </c>
      <c r="BA494" s="2897">
        <f t="shared" si="299"/>
        <v>0</v>
      </c>
      <c r="BB494" s="2897">
        <f t="shared" si="300"/>
        <v>0</v>
      </c>
      <c r="BC494" s="2897">
        <f t="shared" si="301"/>
        <v>0</v>
      </c>
      <c r="BD494" s="2897">
        <f t="shared" si="302"/>
        <v>0</v>
      </c>
      <c r="BE494" s="2897">
        <f t="shared" si="303"/>
        <v>0</v>
      </c>
      <c r="BF494" s="2897">
        <f t="shared" si="304"/>
        <v>0</v>
      </c>
      <c r="BG494" s="2897">
        <f t="shared" si="305"/>
        <v>0</v>
      </c>
      <c r="BH494" s="2897">
        <f t="shared" si="306"/>
        <v>0</v>
      </c>
      <c r="BI494" s="2897">
        <f t="shared" si="307"/>
        <v>0</v>
      </c>
      <c r="BJ494" s="2897">
        <f t="shared" si="308"/>
        <v>0</v>
      </c>
      <c r="BK494" s="2897">
        <f t="shared" si="309"/>
        <v>0</v>
      </c>
      <c r="BL494" s="2897">
        <f t="shared" si="310"/>
        <v>0</v>
      </c>
      <c r="BM494" s="2897">
        <f t="shared" si="311"/>
        <v>0</v>
      </c>
      <c r="BN494" s="2897">
        <f t="shared" si="312"/>
        <v>0</v>
      </c>
      <c r="BO494" s="2897">
        <f t="shared" si="313"/>
        <v>0</v>
      </c>
      <c r="BP494" s="2897">
        <f t="shared" si="314"/>
        <v>0</v>
      </c>
      <c r="BQ494" s="2897">
        <f t="shared" si="315"/>
        <v>0</v>
      </c>
      <c r="BR494" s="2897">
        <f t="shared" si="316"/>
        <v>0</v>
      </c>
      <c r="BS494" s="2897">
        <f t="shared" si="317"/>
        <v>0</v>
      </c>
      <c r="BT494" s="2971">
        <f t="shared" si="318"/>
        <v>0</v>
      </c>
    </row>
    <row r="495" spans="1:72">
      <c r="A495" s="2894"/>
      <c r="B495" s="2904"/>
      <c r="C495" s="2902"/>
      <c r="D495" s="2903"/>
      <c r="E495" s="2897">
        <f t="shared" si="319"/>
        <v>0</v>
      </c>
      <c r="F495" s="2898"/>
      <c r="G495" s="2899">
        <f t="shared" si="294"/>
        <v>0</v>
      </c>
      <c r="H495" s="2900">
        <f t="shared" si="295"/>
        <v>0</v>
      </c>
      <c r="I495" s="2906"/>
      <c r="J495" s="2918"/>
      <c r="K495" s="2906"/>
      <c r="L495" s="2918"/>
      <c r="M495" s="2918"/>
      <c r="N495" s="2918"/>
      <c r="O495" s="2918"/>
      <c r="P495" s="2918"/>
      <c r="Q495" s="2918"/>
      <c r="R495" s="2918"/>
      <c r="S495" s="2918"/>
      <c r="T495" s="2918"/>
      <c r="U495" s="2918"/>
      <c r="V495" s="2918"/>
      <c r="W495" s="2918"/>
      <c r="X495" s="2918"/>
      <c r="Y495" s="2918"/>
      <c r="Z495" s="2918"/>
      <c r="AA495" s="2918"/>
      <c r="AB495" s="2918"/>
      <c r="AC495" s="2897">
        <f t="shared" si="296"/>
        <v>0</v>
      </c>
      <c r="AD495" s="2929"/>
      <c r="AE495" s="2929"/>
      <c r="AF495" s="2906"/>
      <c r="AG495" s="2929"/>
      <c r="AH495" s="2929"/>
      <c r="AI495" s="2929"/>
      <c r="AJ495" s="2929"/>
      <c r="AK495" s="2929"/>
      <c r="AL495" s="2929"/>
      <c r="AM495" s="2929"/>
      <c r="AN495" s="2929"/>
      <c r="AO495" s="2929"/>
      <c r="AP495" s="2929"/>
      <c r="AQ495" s="2929"/>
      <c r="AR495" s="2929"/>
      <c r="AS495" s="2929"/>
      <c r="AT495" s="2949"/>
      <c r="AU495" s="2950"/>
      <c r="AV495" s="454">
        <f t="shared" si="320"/>
        <v>0</v>
      </c>
      <c r="AW495" s="454">
        <f t="shared" si="321"/>
        <v>0</v>
      </c>
      <c r="AX495" s="454">
        <f t="shared" si="322"/>
        <v>0</v>
      </c>
      <c r="AY495" s="2966">
        <f t="shared" si="297"/>
        <v>0</v>
      </c>
      <c r="AZ495" s="2897">
        <f t="shared" si="298"/>
        <v>0</v>
      </c>
      <c r="BA495" s="2897">
        <f t="shared" si="299"/>
        <v>0</v>
      </c>
      <c r="BB495" s="2897">
        <f t="shared" si="300"/>
        <v>0</v>
      </c>
      <c r="BC495" s="2897">
        <f t="shared" si="301"/>
        <v>0</v>
      </c>
      <c r="BD495" s="2897">
        <f t="shared" si="302"/>
        <v>0</v>
      </c>
      <c r="BE495" s="2897">
        <f t="shared" si="303"/>
        <v>0</v>
      </c>
      <c r="BF495" s="2897">
        <f t="shared" si="304"/>
        <v>0</v>
      </c>
      <c r="BG495" s="2897">
        <f t="shared" si="305"/>
        <v>0</v>
      </c>
      <c r="BH495" s="2897">
        <f t="shared" si="306"/>
        <v>0</v>
      </c>
      <c r="BI495" s="2897">
        <f t="shared" si="307"/>
        <v>0</v>
      </c>
      <c r="BJ495" s="2897">
        <f t="shared" si="308"/>
        <v>0</v>
      </c>
      <c r="BK495" s="2897">
        <f t="shared" si="309"/>
        <v>0</v>
      </c>
      <c r="BL495" s="2897">
        <f t="shared" si="310"/>
        <v>0</v>
      </c>
      <c r="BM495" s="2897">
        <f t="shared" si="311"/>
        <v>0</v>
      </c>
      <c r="BN495" s="2897">
        <f t="shared" si="312"/>
        <v>0</v>
      </c>
      <c r="BO495" s="2897">
        <f t="shared" si="313"/>
        <v>0</v>
      </c>
      <c r="BP495" s="2897">
        <f t="shared" si="314"/>
        <v>0</v>
      </c>
      <c r="BQ495" s="2897">
        <f t="shared" si="315"/>
        <v>0</v>
      </c>
      <c r="BR495" s="2897">
        <f t="shared" si="316"/>
        <v>0</v>
      </c>
      <c r="BS495" s="2897">
        <f t="shared" si="317"/>
        <v>0</v>
      </c>
      <c r="BT495" s="2971">
        <f t="shared" si="318"/>
        <v>0</v>
      </c>
    </row>
    <row r="496" spans="1:72">
      <c r="A496" s="2894"/>
      <c r="B496" s="2904"/>
      <c r="C496" s="2902"/>
      <c r="D496" s="2903"/>
      <c r="E496" s="2897">
        <f t="shared" si="319"/>
        <v>0</v>
      </c>
      <c r="F496" s="2898"/>
      <c r="G496" s="2899">
        <f t="shared" si="294"/>
        <v>0</v>
      </c>
      <c r="H496" s="2900">
        <f t="shared" si="295"/>
        <v>0</v>
      </c>
      <c r="I496" s="2906"/>
      <c r="J496" s="2918"/>
      <c r="K496" s="2906"/>
      <c r="L496" s="2918"/>
      <c r="M496" s="2918"/>
      <c r="N496" s="2918"/>
      <c r="O496" s="2918"/>
      <c r="P496" s="2918"/>
      <c r="Q496" s="2918"/>
      <c r="R496" s="2918"/>
      <c r="S496" s="2918"/>
      <c r="T496" s="2918"/>
      <c r="U496" s="2918"/>
      <c r="V496" s="2918"/>
      <c r="W496" s="2918"/>
      <c r="X496" s="2918"/>
      <c r="Y496" s="2918"/>
      <c r="Z496" s="2918"/>
      <c r="AA496" s="2918"/>
      <c r="AB496" s="2918"/>
      <c r="AC496" s="2897">
        <f t="shared" si="296"/>
        <v>0</v>
      </c>
      <c r="AD496" s="2929"/>
      <c r="AE496" s="2929"/>
      <c r="AF496" s="2906"/>
      <c r="AG496" s="2929"/>
      <c r="AH496" s="2929"/>
      <c r="AI496" s="2929"/>
      <c r="AJ496" s="2929"/>
      <c r="AK496" s="2929"/>
      <c r="AL496" s="2929"/>
      <c r="AM496" s="2929"/>
      <c r="AN496" s="2929"/>
      <c r="AO496" s="2929"/>
      <c r="AP496" s="2929"/>
      <c r="AQ496" s="2929"/>
      <c r="AR496" s="2929"/>
      <c r="AS496" s="2929"/>
      <c r="AT496" s="2949"/>
      <c r="AU496" s="2950"/>
      <c r="AV496" s="454">
        <f t="shared" si="320"/>
        <v>0</v>
      </c>
      <c r="AW496" s="454">
        <f t="shared" si="321"/>
        <v>0</v>
      </c>
      <c r="AX496" s="454">
        <f t="shared" si="322"/>
        <v>0</v>
      </c>
      <c r="AY496" s="2966">
        <f t="shared" si="297"/>
        <v>0</v>
      </c>
      <c r="AZ496" s="2897">
        <f t="shared" si="298"/>
        <v>0</v>
      </c>
      <c r="BA496" s="2897">
        <f t="shared" si="299"/>
        <v>0</v>
      </c>
      <c r="BB496" s="2897">
        <f t="shared" si="300"/>
        <v>0</v>
      </c>
      <c r="BC496" s="2897">
        <f t="shared" si="301"/>
        <v>0</v>
      </c>
      <c r="BD496" s="2897">
        <f t="shared" si="302"/>
        <v>0</v>
      </c>
      <c r="BE496" s="2897">
        <f t="shared" si="303"/>
        <v>0</v>
      </c>
      <c r="BF496" s="2897">
        <f t="shared" si="304"/>
        <v>0</v>
      </c>
      <c r="BG496" s="2897">
        <f t="shared" si="305"/>
        <v>0</v>
      </c>
      <c r="BH496" s="2897">
        <f t="shared" si="306"/>
        <v>0</v>
      </c>
      <c r="BI496" s="2897">
        <f t="shared" si="307"/>
        <v>0</v>
      </c>
      <c r="BJ496" s="2897">
        <f t="shared" si="308"/>
        <v>0</v>
      </c>
      <c r="BK496" s="2897">
        <f t="shared" si="309"/>
        <v>0</v>
      </c>
      <c r="BL496" s="2897">
        <f t="shared" si="310"/>
        <v>0</v>
      </c>
      <c r="BM496" s="2897">
        <f t="shared" si="311"/>
        <v>0</v>
      </c>
      <c r="BN496" s="2897">
        <f t="shared" si="312"/>
        <v>0</v>
      </c>
      <c r="BO496" s="2897">
        <f t="shared" si="313"/>
        <v>0</v>
      </c>
      <c r="BP496" s="2897">
        <f t="shared" si="314"/>
        <v>0</v>
      </c>
      <c r="BQ496" s="2897">
        <f t="shared" si="315"/>
        <v>0</v>
      </c>
      <c r="BR496" s="2897">
        <f t="shared" si="316"/>
        <v>0</v>
      </c>
      <c r="BS496" s="2897">
        <f t="shared" si="317"/>
        <v>0</v>
      </c>
      <c r="BT496" s="2971">
        <f t="shared" si="318"/>
        <v>0</v>
      </c>
    </row>
    <row r="497" spans="1:72">
      <c r="A497" s="2894"/>
      <c r="B497" s="2904"/>
      <c r="C497" s="2902"/>
      <c r="D497" s="2903"/>
      <c r="E497" s="2897">
        <f t="shared" si="319"/>
        <v>0</v>
      </c>
      <c r="F497" s="2898"/>
      <c r="G497" s="2899">
        <f t="shared" si="294"/>
        <v>0</v>
      </c>
      <c r="H497" s="2900">
        <f t="shared" si="295"/>
        <v>0</v>
      </c>
      <c r="I497" s="2906"/>
      <c r="J497" s="2918"/>
      <c r="K497" s="2906"/>
      <c r="L497" s="2918"/>
      <c r="M497" s="2918"/>
      <c r="N497" s="2918"/>
      <c r="O497" s="2918"/>
      <c r="P497" s="2918"/>
      <c r="Q497" s="2918"/>
      <c r="R497" s="2918"/>
      <c r="S497" s="2918"/>
      <c r="T497" s="2918"/>
      <c r="U497" s="2918"/>
      <c r="V497" s="2918"/>
      <c r="W497" s="2918"/>
      <c r="X497" s="2918"/>
      <c r="Y497" s="2918"/>
      <c r="Z497" s="2918"/>
      <c r="AA497" s="2918"/>
      <c r="AB497" s="2918"/>
      <c r="AC497" s="2897">
        <f t="shared" si="296"/>
        <v>0</v>
      </c>
      <c r="AD497" s="2929"/>
      <c r="AE497" s="2929"/>
      <c r="AF497" s="2906"/>
      <c r="AG497" s="2929"/>
      <c r="AH497" s="2929"/>
      <c r="AI497" s="2929"/>
      <c r="AJ497" s="2929"/>
      <c r="AK497" s="2929"/>
      <c r="AL497" s="2929"/>
      <c r="AM497" s="2929"/>
      <c r="AN497" s="2929"/>
      <c r="AO497" s="2929"/>
      <c r="AP497" s="2929"/>
      <c r="AQ497" s="2929"/>
      <c r="AR497" s="2929"/>
      <c r="AS497" s="2929"/>
      <c r="AT497" s="2949"/>
      <c r="AU497" s="2950"/>
      <c r="AV497" s="454">
        <f t="shared" si="320"/>
        <v>0</v>
      </c>
      <c r="AW497" s="454">
        <f t="shared" si="321"/>
        <v>0</v>
      </c>
      <c r="AX497" s="454">
        <f t="shared" si="322"/>
        <v>0</v>
      </c>
      <c r="AY497" s="2966">
        <f t="shared" si="297"/>
        <v>0</v>
      </c>
      <c r="AZ497" s="2897">
        <f t="shared" si="298"/>
        <v>0</v>
      </c>
      <c r="BA497" s="2897">
        <f t="shared" si="299"/>
        <v>0</v>
      </c>
      <c r="BB497" s="2897">
        <f t="shared" si="300"/>
        <v>0</v>
      </c>
      <c r="BC497" s="2897">
        <f t="shared" si="301"/>
        <v>0</v>
      </c>
      <c r="BD497" s="2897">
        <f t="shared" si="302"/>
        <v>0</v>
      </c>
      <c r="BE497" s="2897">
        <f t="shared" si="303"/>
        <v>0</v>
      </c>
      <c r="BF497" s="2897">
        <f t="shared" si="304"/>
        <v>0</v>
      </c>
      <c r="BG497" s="2897">
        <f t="shared" si="305"/>
        <v>0</v>
      </c>
      <c r="BH497" s="2897">
        <f t="shared" si="306"/>
        <v>0</v>
      </c>
      <c r="BI497" s="2897">
        <f t="shared" si="307"/>
        <v>0</v>
      </c>
      <c r="BJ497" s="2897">
        <f t="shared" si="308"/>
        <v>0</v>
      </c>
      <c r="BK497" s="2897">
        <f t="shared" si="309"/>
        <v>0</v>
      </c>
      <c r="BL497" s="2897">
        <f t="shared" si="310"/>
        <v>0</v>
      </c>
      <c r="BM497" s="2897">
        <f t="shared" si="311"/>
        <v>0</v>
      </c>
      <c r="BN497" s="2897">
        <f t="shared" si="312"/>
        <v>0</v>
      </c>
      <c r="BO497" s="2897">
        <f t="shared" si="313"/>
        <v>0</v>
      </c>
      <c r="BP497" s="2897">
        <f t="shared" si="314"/>
        <v>0</v>
      </c>
      <c r="BQ497" s="2897">
        <f t="shared" si="315"/>
        <v>0</v>
      </c>
      <c r="BR497" s="2897">
        <f t="shared" si="316"/>
        <v>0</v>
      </c>
      <c r="BS497" s="2897">
        <f t="shared" si="317"/>
        <v>0</v>
      </c>
      <c r="BT497" s="2971">
        <f t="shared" si="318"/>
        <v>0</v>
      </c>
    </row>
    <row r="498" spans="1:72">
      <c r="A498" s="2894"/>
      <c r="B498" s="2904"/>
      <c r="C498" s="2902"/>
      <c r="D498" s="2903"/>
      <c r="E498" s="2897">
        <f t="shared" si="319"/>
        <v>0</v>
      </c>
      <c r="F498" s="2898"/>
      <c r="G498" s="2899">
        <f t="shared" si="294"/>
        <v>0</v>
      </c>
      <c r="H498" s="2900">
        <f t="shared" si="295"/>
        <v>0</v>
      </c>
      <c r="I498" s="2906"/>
      <c r="J498" s="2918"/>
      <c r="K498" s="2906"/>
      <c r="L498" s="2918"/>
      <c r="M498" s="2918"/>
      <c r="N498" s="2918"/>
      <c r="O498" s="2918"/>
      <c r="P498" s="2918"/>
      <c r="Q498" s="2918"/>
      <c r="R498" s="2918"/>
      <c r="S498" s="2918"/>
      <c r="T498" s="2918"/>
      <c r="U498" s="2918"/>
      <c r="V498" s="2918"/>
      <c r="W498" s="2918"/>
      <c r="X498" s="2918"/>
      <c r="Y498" s="2918"/>
      <c r="Z498" s="2918"/>
      <c r="AA498" s="2918"/>
      <c r="AB498" s="2918"/>
      <c r="AC498" s="2897">
        <f t="shared" si="296"/>
        <v>0</v>
      </c>
      <c r="AD498" s="2929"/>
      <c r="AE498" s="2929"/>
      <c r="AF498" s="2906"/>
      <c r="AG498" s="2929"/>
      <c r="AH498" s="2929"/>
      <c r="AI498" s="2929"/>
      <c r="AJ498" s="2929"/>
      <c r="AK498" s="2929"/>
      <c r="AL498" s="2929"/>
      <c r="AM498" s="2929"/>
      <c r="AN498" s="2929"/>
      <c r="AO498" s="2929"/>
      <c r="AP498" s="2929"/>
      <c r="AQ498" s="2929"/>
      <c r="AR498" s="2929"/>
      <c r="AS498" s="2929"/>
      <c r="AT498" s="2949"/>
      <c r="AU498" s="2950"/>
      <c r="AV498" s="454">
        <f t="shared" si="320"/>
        <v>0</v>
      </c>
      <c r="AW498" s="454">
        <f t="shared" si="321"/>
        <v>0</v>
      </c>
      <c r="AX498" s="454">
        <f t="shared" si="322"/>
        <v>0</v>
      </c>
      <c r="AY498" s="2966">
        <f t="shared" si="297"/>
        <v>0</v>
      </c>
      <c r="AZ498" s="2897">
        <f t="shared" si="298"/>
        <v>0</v>
      </c>
      <c r="BA498" s="2897">
        <f t="shared" si="299"/>
        <v>0</v>
      </c>
      <c r="BB498" s="2897">
        <f t="shared" si="300"/>
        <v>0</v>
      </c>
      <c r="BC498" s="2897">
        <f t="shared" si="301"/>
        <v>0</v>
      </c>
      <c r="BD498" s="2897">
        <f t="shared" si="302"/>
        <v>0</v>
      </c>
      <c r="BE498" s="2897">
        <f t="shared" si="303"/>
        <v>0</v>
      </c>
      <c r="BF498" s="2897">
        <f t="shared" si="304"/>
        <v>0</v>
      </c>
      <c r="BG498" s="2897">
        <f t="shared" si="305"/>
        <v>0</v>
      </c>
      <c r="BH498" s="2897">
        <f t="shared" si="306"/>
        <v>0</v>
      </c>
      <c r="BI498" s="2897">
        <f t="shared" si="307"/>
        <v>0</v>
      </c>
      <c r="BJ498" s="2897">
        <f t="shared" si="308"/>
        <v>0</v>
      </c>
      <c r="BK498" s="2897">
        <f t="shared" si="309"/>
        <v>0</v>
      </c>
      <c r="BL498" s="2897">
        <f t="shared" si="310"/>
        <v>0</v>
      </c>
      <c r="BM498" s="2897">
        <f t="shared" si="311"/>
        <v>0</v>
      </c>
      <c r="BN498" s="2897">
        <f t="shared" si="312"/>
        <v>0</v>
      </c>
      <c r="BO498" s="2897">
        <f t="shared" si="313"/>
        <v>0</v>
      </c>
      <c r="BP498" s="2897">
        <f t="shared" si="314"/>
        <v>0</v>
      </c>
      <c r="BQ498" s="2897">
        <f t="shared" si="315"/>
        <v>0</v>
      </c>
      <c r="BR498" s="2897">
        <f t="shared" si="316"/>
        <v>0</v>
      </c>
      <c r="BS498" s="2897">
        <f t="shared" si="317"/>
        <v>0</v>
      </c>
      <c r="BT498" s="2971">
        <f t="shared" si="318"/>
        <v>0</v>
      </c>
    </row>
    <row r="499" spans="1:72">
      <c r="A499" s="2894"/>
      <c r="B499" s="2904"/>
      <c r="C499" s="2902"/>
      <c r="D499" s="2903"/>
      <c r="E499" s="2897">
        <f t="shared" si="319"/>
        <v>0</v>
      </c>
      <c r="F499" s="2898"/>
      <c r="G499" s="2899">
        <f t="shared" si="294"/>
        <v>0</v>
      </c>
      <c r="H499" s="2900">
        <f t="shared" si="295"/>
        <v>0</v>
      </c>
      <c r="I499" s="2906"/>
      <c r="J499" s="2918"/>
      <c r="K499" s="2906"/>
      <c r="L499" s="2918"/>
      <c r="M499" s="2918"/>
      <c r="N499" s="2918"/>
      <c r="O499" s="2918"/>
      <c r="P499" s="2918"/>
      <c r="Q499" s="2918"/>
      <c r="R499" s="2918"/>
      <c r="S499" s="2918"/>
      <c r="T499" s="2918"/>
      <c r="U499" s="2918"/>
      <c r="V499" s="2918"/>
      <c r="W499" s="2918"/>
      <c r="X499" s="2918"/>
      <c r="Y499" s="2918"/>
      <c r="Z499" s="2918"/>
      <c r="AA499" s="2918"/>
      <c r="AB499" s="2918"/>
      <c r="AC499" s="2897">
        <f t="shared" si="296"/>
        <v>0</v>
      </c>
      <c r="AD499" s="2929"/>
      <c r="AE499" s="2929"/>
      <c r="AF499" s="2906"/>
      <c r="AG499" s="2929"/>
      <c r="AH499" s="2929"/>
      <c r="AI499" s="2929"/>
      <c r="AJ499" s="2929"/>
      <c r="AK499" s="2929"/>
      <c r="AL499" s="2929"/>
      <c r="AM499" s="2929"/>
      <c r="AN499" s="2929"/>
      <c r="AO499" s="2929"/>
      <c r="AP499" s="2929"/>
      <c r="AQ499" s="2929"/>
      <c r="AR499" s="2929"/>
      <c r="AS499" s="2929"/>
      <c r="AT499" s="2949"/>
      <c r="AU499" s="2950"/>
      <c r="AV499" s="454">
        <f t="shared" si="320"/>
        <v>0</v>
      </c>
      <c r="AW499" s="454">
        <f t="shared" si="321"/>
        <v>0</v>
      </c>
      <c r="AX499" s="454">
        <f t="shared" si="322"/>
        <v>0</v>
      </c>
      <c r="AY499" s="2966">
        <f t="shared" si="297"/>
        <v>0</v>
      </c>
      <c r="AZ499" s="2897">
        <f t="shared" si="298"/>
        <v>0</v>
      </c>
      <c r="BA499" s="2897">
        <f t="shared" si="299"/>
        <v>0</v>
      </c>
      <c r="BB499" s="2897">
        <f t="shared" si="300"/>
        <v>0</v>
      </c>
      <c r="BC499" s="2897">
        <f t="shared" si="301"/>
        <v>0</v>
      </c>
      <c r="BD499" s="2897">
        <f t="shared" si="302"/>
        <v>0</v>
      </c>
      <c r="BE499" s="2897">
        <f t="shared" si="303"/>
        <v>0</v>
      </c>
      <c r="BF499" s="2897">
        <f t="shared" si="304"/>
        <v>0</v>
      </c>
      <c r="BG499" s="2897">
        <f t="shared" si="305"/>
        <v>0</v>
      </c>
      <c r="BH499" s="2897">
        <f t="shared" si="306"/>
        <v>0</v>
      </c>
      <c r="BI499" s="2897">
        <f t="shared" si="307"/>
        <v>0</v>
      </c>
      <c r="BJ499" s="2897">
        <f t="shared" si="308"/>
        <v>0</v>
      </c>
      <c r="BK499" s="2897">
        <f t="shared" si="309"/>
        <v>0</v>
      </c>
      <c r="BL499" s="2897">
        <f t="shared" si="310"/>
        <v>0</v>
      </c>
      <c r="BM499" s="2897">
        <f t="shared" si="311"/>
        <v>0</v>
      </c>
      <c r="BN499" s="2897">
        <f t="shared" si="312"/>
        <v>0</v>
      </c>
      <c r="BO499" s="2897">
        <f t="shared" si="313"/>
        <v>0</v>
      </c>
      <c r="BP499" s="2897">
        <f t="shared" si="314"/>
        <v>0</v>
      </c>
      <c r="BQ499" s="2897">
        <f t="shared" si="315"/>
        <v>0</v>
      </c>
      <c r="BR499" s="2897">
        <f t="shared" si="316"/>
        <v>0</v>
      </c>
      <c r="BS499" s="2897">
        <f t="shared" si="317"/>
        <v>0</v>
      </c>
      <c r="BT499" s="2971">
        <f t="shared" si="318"/>
        <v>0</v>
      </c>
    </row>
    <row r="500" spans="1:72">
      <c r="A500" s="2894"/>
      <c r="B500" s="2904"/>
      <c r="C500" s="2902"/>
      <c r="D500" s="2903"/>
      <c r="E500" s="2897">
        <f t="shared" si="319"/>
        <v>0</v>
      </c>
      <c r="F500" s="2898"/>
      <c r="G500" s="2899">
        <f t="shared" si="294"/>
        <v>0</v>
      </c>
      <c r="H500" s="2900">
        <f t="shared" si="295"/>
        <v>0</v>
      </c>
      <c r="I500" s="2906"/>
      <c r="J500" s="2918"/>
      <c r="K500" s="2906"/>
      <c r="L500" s="2918"/>
      <c r="M500" s="2918"/>
      <c r="N500" s="2918"/>
      <c r="O500" s="2918"/>
      <c r="P500" s="2918"/>
      <c r="Q500" s="2918"/>
      <c r="R500" s="2918"/>
      <c r="S500" s="2918"/>
      <c r="T500" s="2918"/>
      <c r="U500" s="2918"/>
      <c r="V500" s="2918"/>
      <c r="W500" s="2918"/>
      <c r="X500" s="2918"/>
      <c r="Y500" s="2918"/>
      <c r="Z500" s="2918"/>
      <c r="AA500" s="2918"/>
      <c r="AB500" s="2918"/>
      <c r="AC500" s="2897">
        <f t="shared" si="296"/>
        <v>0</v>
      </c>
      <c r="AD500" s="2929"/>
      <c r="AE500" s="2929"/>
      <c r="AF500" s="2906"/>
      <c r="AG500" s="2929"/>
      <c r="AH500" s="2929"/>
      <c r="AI500" s="2929"/>
      <c r="AJ500" s="2929"/>
      <c r="AK500" s="2929"/>
      <c r="AL500" s="2929"/>
      <c r="AM500" s="2929"/>
      <c r="AN500" s="2929"/>
      <c r="AO500" s="2929"/>
      <c r="AP500" s="2929"/>
      <c r="AQ500" s="2929"/>
      <c r="AR500" s="2929"/>
      <c r="AS500" s="2929"/>
      <c r="AT500" s="2949"/>
      <c r="AU500" s="2950"/>
      <c r="AV500" s="454">
        <f t="shared" si="320"/>
        <v>0</v>
      </c>
      <c r="AW500" s="454">
        <f t="shared" si="321"/>
        <v>0</v>
      </c>
      <c r="AX500" s="454">
        <f t="shared" si="322"/>
        <v>0</v>
      </c>
      <c r="AY500" s="2966">
        <f t="shared" si="297"/>
        <v>0</v>
      </c>
      <c r="AZ500" s="2897">
        <f t="shared" si="298"/>
        <v>0</v>
      </c>
      <c r="BA500" s="2897">
        <f t="shared" si="299"/>
        <v>0</v>
      </c>
      <c r="BB500" s="2897">
        <f t="shared" si="300"/>
        <v>0</v>
      </c>
      <c r="BC500" s="2897">
        <f t="shared" si="301"/>
        <v>0</v>
      </c>
      <c r="BD500" s="2897">
        <f t="shared" si="302"/>
        <v>0</v>
      </c>
      <c r="BE500" s="2897">
        <f t="shared" si="303"/>
        <v>0</v>
      </c>
      <c r="BF500" s="2897">
        <f t="shared" si="304"/>
        <v>0</v>
      </c>
      <c r="BG500" s="2897">
        <f t="shared" si="305"/>
        <v>0</v>
      </c>
      <c r="BH500" s="2897">
        <f t="shared" si="306"/>
        <v>0</v>
      </c>
      <c r="BI500" s="2897">
        <f t="shared" si="307"/>
        <v>0</v>
      </c>
      <c r="BJ500" s="2897">
        <f t="shared" si="308"/>
        <v>0</v>
      </c>
      <c r="BK500" s="2897">
        <f t="shared" si="309"/>
        <v>0</v>
      </c>
      <c r="BL500" s="2897">
        <f t="shared" si="310"/>
        <v>0</v>
      </c>
      <c r="BM500" s="2897">
        <f t="shared" si="311"/>
        <v>0</v>
      </c>
      <c r="BN500" s="2897">
        <f t="shared" si="312"/>
        <v>0</v>
      </c>
      <c r="BO500" s="2897">
        <f t="shared" si="313"/>
        <v>0</v>
      </c>
      <c r="BP500" s="2897">
        <f t="shared" si="314"/>
        <v>0</v>
      </c>
      <c r="BQ500" s="2897">
        <f t="shared" si="315"/>
        <v>0</v>
      </c>
      <c r="BR500" s="2897">
        <f t="shared" si="316"/>
        <v>0</v>
      </c>
      <c r="BS500" s="2897">
        <f t="shared" si="317"/>
        <v>0</v>
      </c>
      <c r="BT500" s="2971">
        <f t="shared" si="318"/>
        <v>0</v>
      </c>
    </row>
    <row r="501" spans="1:72">
      <c r="A501" s="2894"/>
      <c r="B501" s="2904"/>
      <c r="C501" s="2902"/>
      <c r="D501" s="2903"/>
      <c r="E501" s="2897">
        <f t="shared" si="319"/>
        <v>0</v>
      </c>
      <c r="F501" s="2898"/>
      <c r="G501" s="2899">
        <f t="shared" si="294"/>
        <v>0</v>
      </c>
      <c r="H501" s="2900">
        <f t="shared" si="295"/>
        <v>0</v>
      </c>
      <c r="I501" s="2906"/>
      <c r="J501" s="2918"/>
      <c r="K501" s="2906"/>
      <c r="L501" s="2918"/>
      <c r="M501" s="2918"/>
      <c r="N501" s="2918"/>
      <c r="O501" s="2918"/>
      <c r="P501" s="2918"/>
      <c r="Q501" s="2918"/>
      <c r="R501" s="2918"/>
      <c r="S501" s="2918"/>
      <c r="T501" s="2918"/>
      <c r="U501" s="2918"/>
      <c r="V501" s="2918"/>
      <c r="W501" s="2918"/>
      <c r="X501" s="2918"/>
      <c r="Y501" s="2918"/>
      <c r="Z501" s="2918"/>
      <c r="AA501" s="2918"/>
      <c r="AB501" s="2918"/>
      <c r="AC501" s="2897">
        <f t="shared" si="296"/>
        <v>0</v>
      </c>
      <c r="AD501" s="2929"/>
      <c r="AE501" s="2929"/>
      <c r="AF501" s="2906"/>
      <c r="AG501" s="2929"/>
      <c r="AH501" s="2929"/>
      <c r="AI501" s="2929"/>
      <c r="AJ501" s="2929"/>
      <c r="AK501" s="2929"/>
      <c r="AL501" s="2929"/>
      <c r="AM501" s="2929"/>
      <c r="AN501" s="2929"/>
      <c r="AO501" s="2929"/>
      <c r="AP501" s="2929"/>
      <c r="AQ501" s="2929"/>
      <c r="AR501" s="2929"/>
      <c r="AS501" s="2929"/>
      <c r="AT501" s="2949"/>
      <c r="AU501" s="2950"/>
      <c r="AV501" s="454">
        <f t="shared" si="320"/>
        <v>0</v>
      </c>
      <c r="AW501" s="454">
        <f t="shared" si="321"/>
        <v>0</v>
      </c>
      <c r="AX501" s="454">
        <f t="shared" si="322"/>
        <v>0</v>
      </c>
      <c r="AY501" s="2966">
        <f t="shared" si="297"/>
        <v>0</v>
      </c>
      <c r="AZ501" s="2897">
        <f t="shared" si="298"/>
        <v>0</v>
      </c>
      <c r="BA501" s="2897">
        <f t="shared" si="299"/>
        <v>0</v>
      </c>
      <c r="BB501" s="2897">
        <f t="shared" si="300"/>
        <v>0</v>
      </c>
      <c r="BC501" s="2897">
        <f t="shared" si="301"/>
        <v>0</v>
      </c>
      <c r="BD501" s="2897">
        <f t="shared" si="302"/>
        <v>0</v>
      </c>
      <c r="BE501" s="2897">
        <f t="shared" si="303"/>
        <v>0</v>
      </c>
      <c r="BF501" s="2897">
        <f t="shared" si="304"/>
        <v>0</v>
      </c>
      <c r="BG501" s="2897">
        <f t="shared" si="305"/>
        <v>0</v>
      </c>
      <c r="BH501" s="2897">
        <f t="shared" si="306"/>
        <v>0</v>
      </c>
      <c r="BI501" s="2897">
        <f t="shared" si="307"/>
        <v>0</v>
      </c>
      <c r="BJ501" s="2897">
        <f t="shared" si="308"/>
        <v>0</v>
      </c>
      <c r="BK501" s="2897">
        <f t="shared" si="309"/>
        <v>0</v>
      </c>
      <c r="BL501" s="2897">
        <f t="shared" si="310"/>
        <v>0</v>
      </c>
      <c r="BM501" s="2897">
        <f t="shared" si="311"/>
        <v>0</v>
      </c>
      <c r="BN501" s="2897">
        <f t="shared" si="312"/>
        <v>0</v>
      </c>
      <c r="BO501" s="2897">
        <f t="shared" si="313"/>
        <v>0</v>
      </c>
      <c r="BP501" s="2897">
        <f t="shared" si="314"/>
        <v>0</v>
      </c>
      <c r="BQ501" s="2897">
        <f t="shared" si="315"/>
        <v>0</v>
      </c>
      <c r="BR501" s="2897">
        <f t="shared" si="316"/>
        <v>0</v>
      </c>
      <c r="BS501" s="2897">
        <f t="shared" si="317"/>
        <v>0</v>
      </c>
      <c r="BT501" s="2971">
        <f t="shared" si="318"/>
        <v>0</v>
      </c>
    </row>
    <row r="502" spans="1:72">
      <c r="A502" s="2894"/>
      <c r="B502" s="2904"/>
      <c r="C502" s="2902"/>
      <c r="D502" s="2903"/>
      <c r="E502" s="2897">
        <f t="shared" si="319"/>
        <v>0</v>
      </c>
      <c r="F502" s="2898"/>
      <c r="G502" s="2899">
        <f t="shared" si="294"/>
        <v>0</v>
      </c>
      <c r="H502" s="2900">
        <f t="shared" si="295"/>
        <v>0</v>
      </c>
      <c r="I502" s="2906"/>
      <c r="J502" s="2918"/>
      <c r="K502" s="2906"/>
      <c r="L502" s="2918"/>
      <c r="M502" s="2918"/>
      <c r="N502" s="2918"/>
      <c r="O502" s="2918"/>
      <c r="P502" s="2918"/>
      <c r="Q502" s="2918"/>
      <c r="R502" s="2918"/>
      <c r="S502" s="2918"/>
      <c r="T502" s="2918"/>
      <c r="U502" s="2918"/>
      <c r="V502" s="2918"/>
      <c r="W502" s="2918"/>
      <c r="X502" s="2918"/>
      <c r="Y502" s="2918"/>
      <c r="Z502" s="2918"/>
      <c r="AA502" s="2918"/>
      <c r="AB502" s="2918"/>
      <c r="AC502" s="2897">
        <f t="shared" si="296"/>
        <v>0</v>
      </c>
      <c r="AD502" s="2929"/>
      <c r="AE502" s="2929"/>
      <c r="AF502" s="2906"/>
      <c r="AG502" s="2929"/>
      <c r="AH502" s="2929"/>
      <c r="AI502" s="2929"/>
      <c r="AJ502" s="2929"/>
      <c r="AK502" s="2929"/>
      <c r="AL502" s="2929"/>
      <c r="AM502" s="2929"/>
      <c r="AN502" s="2929"/>
      <c r="AO502" s="2929"/>
      <c r="AP502" s="2929"/>
      <c r="AQ502" s="2929"/>
      <c r="AR502" s="2929"/>
      <c r="AS502" s="2929"/>
      <c r="AT502" s="2949"/>
      <c r="AU502" s="2950"/>
      <c r="AV502" s="454">
        <f t="shared" si="320"/>
        <v>0</v>
      </c>
      <c r="AW502" s="454">
        <f t="shared" si="321"/>
        <v>0</v>
      </c>
      <c r="AX502" s="454">
        <f t="shared" si="322"/>
        <v>0</v>
      </c>
      <c r="AY502" s="2966">
        <f t="shared" si="297"/>
        <v>0</v>
      </c>
      <c r="AZ502" s="2897">
        <f t="shared" si="298"/>
        <v>0</v>
      </c>
      <c r="BA502" s="2897">
        <f t="shared" si="299"/>
        <v>0</v>
      </c>
      <c r="BB502" s="2897">
        <f t="shared" si="300"/>
        <v>0</v>
      </c>
      <c r="BC502" s="2897">
        <f t="shared" si="301"/>
        <v>0</v>
      </c>
      <c r="BD502" s="2897">
        <f t="shared" si="302"/>
        <v>0</v>
      </c>
      <c r="BE502" s="2897">
        <f t="shared" si="303"/>
        <v>0</v>
      </c>
      <c r="BF502" s="2897">
        <f t="shared" si="304"/>
        <v>0</v>
      </c>
      <c r="BG502" s="2897">
        <f t="shared" si="305"/>
        <v>0</v>
      </c>
      <c r="BH502" s="2897">
        <f t="shared" si="306"/>
        <v>0</v>
      </c>
      <c r="BI502" s="2897">
        <f t="shared" si="307"/>
        <v>0</v>
      </c>
      <c r="BJ502" s="2897">
        <f t="shared" si="308"/>
        <v>0</v>
      </c>
      <c r="BK502" s="2897">
        <f t="shared" si="309"/>
        <v>0</v>
      </c>
      <c r="BL502" s="2897">
        <f t="shared" si="310"/>
        <v>0</v>
      </c>
      <c r="BM502" s="2897">
        <f t="shared" si="311"/>
        <v>0</v>
      </c>
      <c r="BN502" s="2897">
        <f t="shared" si="312"/>
        <v>0</v>
      </c>
      <c r="BO502" s="2897">
        <f t="shared" si="313"/>
        <v>0</v>
      </c>
      <c r="BP502" s="2897">
        <f t="shared" si="314"/>
        <v>0</v>
      </c>
      <c r="BQ502" s="2897">
        <f t="shared" si="315"/>
        <v>0</v>
      </c>
      <c r="BR502" s="2897">
        <f t="shared" si="316"/>
        <v>0</v>
      </c>
      <c r="BS502" s="2897">
        <f t="shared" si="317"/>
        <v>0</v>
      </c>
      <c r="BT502" s="2971">
        <f t="shared" si="318"/>
        <v>0</v>
      </c>
    </row>
    <row r="503" spans="1:72">
      <c r="A503" s="2894"/>
      <c r="B503" s="2904"/>
      <c r="C503" s="2902"/>
      <c r="D503" s="2903"/>
      <c r="E503" s="2897">
        <f t="shared" si="319"/>
        <v>0</v>
      </c>
      <c r="F503" s="2898"/>
      <c r="G503" s="2899">
        <f t="shared" si="294"/>
        <v>0</v>
      </c>
      <c r="H503" s="2900">
        <f t="shared" si="295"/>
        <v>0</v>
      </c>
      <c r="I503" s="2906"/>
      <c r="J503" s="2918"/>
      <c r="K503" s="2906"/>
      <c r="L503" s="2918"/>
      <c r="M503" s="2918"/>
      <c r="N503" s="2918"/>
      <c r="O503" s="2918"/>
      <c r="P503" s="2918"/>
      <c r="Q503" s="2918"/>
      <c r="R503" s="2918"/>
      <c r="S503" s="2918"/>
      <c r="T503" s="2918"/>
      <c r="U503" s="2918"/>
      <c r="V503" s="2918"/>
      <c r="W503" s="2918"/>
      <c r="X503" s="2918"/>
      <c r="Y503" s="2918"/>
      <c r="Z503" s="2918"/>
      <c r="AA503" s="2918"/>
      <c r="AB503" s="2918"/>
      <c r="AC503" s="2897">
        <f t="shared" si="296"/>
        <v>0</v>
      </c>
      <c r="AD503" s="2929"/>
      <c r="AE503" s="2929"/>
      <c r="AF503" s="2906"/>
      <c r="AG503" s="2929"/>
      <c r="AH503" s="2929"/>
      <c r="AI503" s="2929"/>
      <c r="AJ503" s="2929"/>
      <c r="AK503" s="2929"/>
      <c r="AL503" s="2929"/>
      <c r="AM503" s="2929"/>
      <c r="AN503" s="2929"/>
      <c r="AO503" s="2929"/>
      <c r="AP503" s="2929"/>
      <c r="AQ503" s="2929"/>
      <c r="AR503" s="2929"/>
      <c r="AS503" s="2929"/>
      <c r="AT503" s="2949"/>
      <c r="AU503" s="2950"/>
      <c r="AV503" s="454">
        <f t="shared" si="320"/>
        <v>0</v>
      </c>
      <c r="AW503" s="454">
        <f t="shared" si="321"/>
        <v>0</v>
      </c>
      <c r="AX503" s="454">
        <f t="shared" si="322"/>
        <v>0</v>
      </c>
      <c r="AY503" s="2966">
        <f t="shared" si="297"/>
        <v>0</v>
      </c>
      <c r="AZ503" s="2897">
        <f t="shared" si="298"/>
        <v>0</v>
      </c>
      <c r="BA503" s="2897">
        <f t="shared" si="299"/>
        <v>0</v>
      </c>
      <c r="BB503" s="2897">
        <f t="shared" si="300"/>
        <v>0</v>
      </c>
      <c r="BC503" s="2897">
        <f t="shared" si="301"/>
        <v>0</v>
      </c>
      <c r="BD503" s="2897">
        <f t="shared" si="302"/>
        <v>0</v>
      </c>
      <c r="BE503" s="2897">
        <f t="shared" si="303"/>
        <v>0</v>
      </c>
      <c r="BF503" s="2897">
        <f t="shared" si="304"/>
        <v>0</v>
      </c>
      <c r="BG503" s="2897">
        <f t="shared" si="305"/>
        <v>0</v>
      </c>
      <c r="BH503" s="2897">
        <f t="shared" si="306"/>
        <v>0</v>
      </c>
      <c r="BI503" s="2897">
        <f t="shared" si="307"/>
        <v>0</v>
      </c>
      <c r="BJ503" s="2897">
        <f t="shared" si="308"/>
        <v>0</v>
      </c>
      <c r="BK503" s="2897">
        <f t="shared" si="309"/>
        <v>0</v>
      </c>
      <c r="BL503" s="2897">
        <f t="shared" si="310"/>
        <v>0</v>
      </c>
      <c r="BM503" s="2897">
        <f t="shared" si="311"/>
        <v>0</v>
      </c>
      <c r="BN503" s="2897">
        <f t="shared" si="312"/>
        <v>0</v>
      </c>
      <c r="BO503" s="2897">
        <f t="shared" si="313"/>
        <v>0</v>
      </c>
      <c r="BP503" s="2897">
        <f t="shared" si="314"/>
        <v>0</v>
      </c>
      <c r="BQ503" s="2897">
        <f t="shared" si="315"/>
        <v>0</v>
      </c>
      <c r="BR503" s="2897">
        <f t="shared" si="316"/>
        <v>0</v>
      </c>
      <c r="BS503" s="2897">
        <f t="shared" si="317"/>
        <v>0</v>
      </c>
      <c r="BT503" s="2971">
        <f t="shared" si="318"/>
        <v>0</v>
      </c>
    </row>
    <row r="504" spans="1:72">
      <c r="A504" s="2894"/>
      <c r="B504" s="2904"/>
      <c r="C504" s="2902"/>
      <c r="D504" s="2903"/>
      <c r="E504" s="2897">
        <f t="shared" si="319"/>
        <v>0</v>
      </c>
      <c r="F504" s="2898"/>
      <c r="G504" s="2899">
        <f t="shared" si="294"/>
        <v>0</v>
      </c>
      <c r="H504" s="2900">
        <f t="shared" si="295"/>
        <v>0</v>
      </c>
      <c r="I504" s="2906"/>
      <c r="J504" s="2918"/>
      <c r="K504" s="2906"/>
      <c r="L504" s="2918"/>
      <c r="M504" s="2918"/>
      <c r="N504" s="2918"/>
      <c r="O504" s="2918"/>
      <c r="P504" s="2918"/>
      <c r="Q504" s="2918"/>
      <c r="R504" s="2918"/>
      <c r="S504" s="2918"/>
      <c r="T504" s="2918"/>
      <c r="U504" s="2918"/>
      <c r="V504" s="2918"/>
      <c r="W504" s="2918"/>
      <c r="X504" s="2918"/>
      <c r="Y504" s="2918"/>
      <c r="Z504" s="2918"/>
      <c r="AA504" s="2918"/>
      <c r="AB504" s="2918"/>
      <c r="AC504" s="2897">
        <f t="shared" si="296"/>
        <v>0</v>
      </c>
      <c r="AD504" s="2929"/>
      <c r="AE504" s="2929"/>
      <c r="AF504" s="2906"/>
      <c r="AG504" s="2929"/>
      <c r="AH504" s="2929"/>
      <c r="AI504" s="2929"/>
      <c r="AJ504" s="2929"/>
      <c r="AK504" s="2929"/>
      <c r="AL504" s="2929"/>
      <c r="AM504" s="2929"/>
      <c r="AN504" s="2929"/>
      <c r="AO504" s="2929"/>
      <c r="AP504" s="2929"/>
      <c r="AQ504" s="2929"/>
      <c r="AR504" s="2929"/>
      <c r="AS504" s="2929"/>
      <c r="AT504" s="2949"/>
      <c r="AU504" s="2950"/>
      <c r="AV504" s="454">
        <f t="shared" si="320"/>
        <v>0</v>
      </c>
      <c r="AW504" s="454">
        <f t="shared" si="321"/>
        <v>0</v>
      </c>
      <c r="AX504" s="454">
        <f t="shared" si="322"/>
        <v>0</v>
      </c>
      <c r="AY504" s="2966">
        <f t="shared" si="297"/>
        <v>0</v>
      </c>
      <c r="AZ504" s="2897">
        <f t="shared" si="298"/>
        <v>0</v>
      </c>
      <c r="BA504" s="2897">
        <f t="shared" si="299"/>
        <v>0</v>
      </c>
      <c r="BB504" s="2897">
        <f t="shared" si="300"/>
        <v>0</v>
      </c>
      <c r="BC504" s="2897">
        <f t="shared" si="301"/>
        <v>0</v>
      </c>
      <c r="BD504" s="2897">
        <f t="shared" si="302"/>
        <v>0</v>
      </c>
      <c r="BE504" s="2897">
        <f t="shared" si="303"/>
        <v>0</v>
      </c>
      <c r="BF504" s="2897">
        <f t="shared" si="304"/>
        <v>0</v>
      </c>
      <c r="BG504" s="2897">
        <f t="shared" si="305"/>
        <v>0</v>
      </c>
      <c r="BH504" s="2897">
        <f t="shared" si="306"/>
        <v>0</v>
      </c>
      <c r="BI504" s="2897">
        <f t="shared" si="307"/>
        <v>0</v>
      </c>
      <c r="BJ504" s="2897">
        <f t="shared" si="308"/>
        <v>0</v>
      </c>
      <c r="BK504" s="2897">
        <f t="shared" si="309"/>
        <v>0</v>
      </c>
      <c r="BL504" s="2897">
        <f t="shared" si="310"/>
        <v>0</v>
      </c>
      <c r="BM504" s="2897">
        <f t="shared" si="311"/>
        <v>0</v>
      </c>
      <c r="BN504" s="2897">
        <f t="shared" si="312"/>
        <v>0</v>
      </c>
      <c r="BO504" s="2897">
        <f t="shared" si="313"/>
        <v>0</v>
      </c>
      <c r="BP504" s="2897">
        <f t="shared" si="314"/>
        <v>0</v>
      </c>
      <c r="BQ504" s="2897">
        <f t="shared" si="315"/>
        <v>0</v>
      </c>
      <c r="BR504" s="2897">
        <f t="shared" si="316"/>
        <v>0</v>
      </c>
      <c r="BS504" s="2897">
        <f t="shared" si="317"/>
        <v>0</v>
      </c>
      <c r="BT504" s="2971">
        <f t="shared" si="318"/>
        <v>0</v>
      </c>
    </row>
    <row r="505" spans="1:72">
      <c r="A505" s="2894"/>
      <c r="B505" s="2904"/>
      <c r="C505" s="2902"/>
      <c r="D505" s="2903"/>
      <c r="E505" s="2897">
        <f t="shared" ref="E505:E536" si="323">IF($C$3="是",ROUND($A$3*G505/$B$3,2),ROUND($A$3*(G505-AT505)/$B$3,2))</f>
        <v>0</v>
      </c>
      <c r="F505" s="2898"/>
      <c r="G505" s="2899">
        <f t="shared" si="294"/>
        <v>0</v>
      </c>
      <c r="H505" s="2900">
        <f t="shared" si="295"/>
        <v>0</v>
      </c>
      <c r="I505" s="2906"/>
      <c r="J505" s="2918"/>
      <c r="K505" s="2906"/>
      <c r="L505" s="2918"/>
      <c r="M505" s="2918"/>
      <c r="N505" s="2918"/>
      <c r="O505" s="2918"/>
      <c r="P505" s="2918"/>
      <c r="Q505" s="2918"/>
      <c r="R505" s="2918"/>
      <c r="S505" s="2918"/>
      <c r="T505" s="2918"/>
      <c r="U505" s="2918"/>
      <c r="V505" s="2918"/>
      <c r="W505" s="2918"/>
      <c r="X505" s="2918"/>
      <c r="Y505" s="2918"/>
      <c r="Z505" s="2918"/>
      <c r="AA505" s="2918"/>
      <c r="AB505" s="2918"/>
      <c r="AC505" s="2897">
        <f t="shared" si="296"/>
        <v>0</v>
      </c>
      <c r="AD505" s="2929"/>
      <c r="AE505" s="2929"/>
      <c r="AF505" s="2906"/>
      <c r="AG505" s="2929"/>
      <c r="AH505" s="2929"/>
      <c r="AI505" s="2929"/>
      <c r="AJ505" s="2929"/>
      <c r="AK505" s="2929"/>
      <c r="AL505" s="2929"/>
      <c r="AM505" s="2929"/>
      <c r="AN505" s="2929"/>
      <c r="AO505" s="2929"/>
      <c r="AP505" s="2929"/>
      <c r="AQ505" s="2929"/>
      <c r="AR505" s="2929"/>
      <c r="AS505" s="2929"/>
      <c r="AT505" s="2949"/>
      <c r="AU505" s="2950"/>
      <c r="AV505" s="454">
        <f t="shared" si="320"/>
        <v>0</v>
      </c>
      <c r="AW505" s="454">
        <f t="shared" si="321"/>
        <v>0</v>
      </c>
      <c r="AX505" s="454">
        <f t="shared" si="322"/>
        <v>0</v>
      </c>
      <c r="AY505" s="2966">
        <f t="shared" si="297"/>
        <v>0</v>
      </c>
      <c r="AZ505" s="2897">
        <f t="shared" si="298"/>
        <v>0</v>
      </c>
      <c r="BA505" s="2897">
        <f t="shared" si="299"/>
        <v>0</v>
      </c>
      <c r="BB505" s="2897">
        <f t="shared" si="300"/>
        <v>0</v>
      </c>
      <c r="BC505" s="2897">
        <f t="shared" si="301"/>
        <v>0</v>
      </c>
      <c r="BD505" s="2897">
        <f t="shared" si="302"/>
        <v>0</v>
      </c>
      <c r="BE505" s="2897">
        <f t="shared" si="303"/>
        <v>0</v>
      </c>
      <c r="BF505" s="2897">
        <f t="shared" si="304"/>
        <v>0</v>
      </c>
      <c r="BG505" s="2897">
        <f t="shared" si="305"/>
        <v>0</v>
      </c>
      <c r="BH505" s="2897">
        <f t="shared" si="306"/>
        <v>0</v>
      </c>
      <c r="BI505" s="2897">
        <f t="shared" si="307"/>
        <v>0</v>
      </c>
      <c r="BJ505" s="2897">
        <f t="shared" si="308"/>
        <v>0</v>
      </c>
      <c r="BK505" s="2897">
        <f t="shared" si="309"/>
        <v>0</v>
      </c>
      <c r="BL505" s="2897">
        <f t="shared" si="310"/>
        <v>0</v>
      </c>
      <c r="BM505" s="2897">
        <f t="shared" si="311"/>
        <v>0</v>
      </c>
      <c r="BN505" s="2897">
        <f t="shared" si="312"/>
        <v>0</v>
      </c>
      <c r="BO505" s="2897">
        <f t="shared" si="313"/>
        <v>0</v>
      </c>
      <c r="BP505" s="2897">
        <f t="shared" si="314"/>
        <v>0</v>
      </c>
      <c r="BQ505" s="2897">
        <f t="shared" si="315"/>
        <v>0</v>
      </c>
      <c r="BR505" s="2897">
        <f t="shared" si="316"/>
        <v>0</v>
      </c>
      <c r="BS505" s="2897">
        <f t="shared" si="317"/>
        <v>0</v>
      </c>
      <c r="BT505" s="2971">
        <f t="shared" si="318"/>
        <v>0</v>
      </c>
    </row>
    <row r="506" spans="1:72">
      <c r="A506" s="2894"/>
      <c r="B506" s="2904"/>
      <c r="C506" s="2902"/>
      <c r="D506" s="2903"/>
      <c r="E506" s="2897">
        <f t="shared" si="323"/>
        <v>0</v>
      </c>
      <c r="F506" s="2898"/>
      <c r="G506" s="2899">
        <f t="shared" si="294"/>
        <v>0</v>
      </c>
      <c r="H506" s="2900">
        <f t="shared" si="295"/>
        <v>0</v>
      </c>
      <c r="I506" s="2906"/>
      <c r="J506" s="2918"/>
      <c r="K506" s="2906"/>
      <c r="L506" s="2918"/>
      <c r="M506" s="2918"/>
      <c r="N506" s="2918"/>
      <c r="O506" s="2918"/>
      <c r="P506" s="2918"/>
      <c r="Q506" s="2918"/>
      <c r="R506" s="2918"/>
      <c r="S506" s="2918"/>
      <c r="T506" s="2918"/>
      <c r="U506" s="2918"/>
      <c r="V506" s="2918"/>
      <c r="W506" s="2918"/>
      <c r="X506" s="2918"/>
      <c r="Y506" s="2918"/>
      <c r="Z506" s="2918"/>
      <c r="AA506" s="2918"/>
      <c r="AB506" s="2918"/>
      <c r="AC506" s="2897">
        <f t="shared" si="296"/>
        <v>0</v>
      </c>
      <c r="AD506" s="2929"/>
      <c r="AE506" s="2929"/>
      <c r="AF506" s="2906"/>
      <c r="AG506" s="2929"/>
      <c r="AH506" s="2929"/>
      <c r="AI506" s="2929"/>
      <c r="AJ506" s="2929"/>
      <c r="AK506" s="2929"/>
      <c r="AL506" s="2929"/>
      <c r="AM506" s="2929"/>
      <c r="AN506" s="2929"/>
      <c r="AO506" s="2929"/>
      <c r="AP506" s="2929"/>
      <c r="AQ506" s="2929"/>
      <c r="AR506" s="2929"/>
      <c r="AS506" s="2929"/>
      <c r="AT506" s="2949"/>
      <c r="AU506" s="2950"/>
      <c r="AV506" s="454">
        <f t="shared" ref="AV506:AV537" si="324">A506</f>
        <v>0</v>
      </c>
      <c r="AW506" s="454">
        <f t="shared" ref="AW506:AW537" si="325">B506</f>
        <v>0</v>
      </c>
      <c r="AX506" s="454">
        <f t="shared" ref="AX506:AX537" si="326">C506</f>
        <v>0</v>
      </c>
      <c r="AY506" s="2966">
        <f t="shared" si="297"/>
        <v>0</v>
      </c>
      <c r="AZ506" s="2897">
        <f t="shared" si="298"/>
        <v>0</v>
      </c>
      <c r="BA506" s="2897">
        <f t="shared" si="299"/>
        <v>0</v>
      </c>
      <c r="BB506" s="2897">
        <f t="shared" si="300"/>
        <v>0</v>
      </c>
      <c r="BC506" s="2897">
        <f t="shared" si="301"/>
        <v>0</v>
      </c>
      <c r="BD506" s="2897">
        <f t="shared" si="302"/>
        <v>0</v>
      </c>
      <c r="BE506" s="2897">
        <f t="shared" si="303"/>
        <v>0</v>
      </c>
      <c r="BF506" s="2897">
        <f t="shared" si="304"/>
        <v>0</v>
      </c>
      <c r="BG506" s="2897">
        <f t="shared" si="305"/>
        <v>0</v>
      </c>
      <c r="BH506" s="2897">
        <f t="shared" si="306"/>
        <v>0</v>
      </c>
      <c r="BI506" s="2897">
        <f t="shared" si="307"/>
        <v>0</v>
      </c>
      <c r="BJ506" s="2897">
        <f t="shared" si="308"/>
        <v>0</v>
      </c>
      <c r="BK506" s="2897">
        <f t="shared" si="309"/>
        <v>0</v>
      </c>
      <c r="BL506" s="2897">
        <f t="shared" si="310"/>
        <v>0</v>
      </c>
      <c r="BM506" s="2897">
        <f t="shared" si="311"/>
        <v>0</v>
      </c>
      <c r="BN506" s="2897">
        <f t="shared" si="312"/>
        <v>0</v>
      </c>
      <c r="BO506" s="2897">
        <f t="shared" si="313"/>
        <v>0</v>
      </c>
      <c r="BP506" s="2897">
        <f t="shared" si="314"/>
        <v>0</v>
      </c>
      <c r="BQ506" s="2897">
        <f t="shared" si="315"/>
        <v>0</v>
      </c>
      <c r="BR506" s="2897">
        <f t="shared" si="316"/>
        <v>0</v>
      </c>
      <c r="BS506" s="2897">
        <f t="shared" si="317"/>
        <v>0</v>
      </c>
      <c r="BT506" s="2971">
        <f t="shared" si="318"/>
        <v>0</v>
      </c>
    </row>
    <row r="507" spans="1:72">
      <c r="A507" s="2894"/>
      <c r="B507" s="2904"/>
      <c r="C507" s="2902"/>
      <c r="D507" s="2903"/>
      <c r="E507" s="2897">
        <f t="shared" si="323"/>
        <v>0</v>
      </c>
      <c r="F507" s="2898"/>
      <c r="G507" s="2899">
        <f t="shared" si="294"/>
        <v>0</v>
      </c>
      <c r="H507" s="2900">
        <f t="shared" si="295"/>
        <v>0</v>
      </c>
      <c r="I507" s="2906"/>
      <c r="J507" s="2918"/>
      <c r="K507" s="2906"/>
      <c r="L507" s="2918"/>
      <c r="M507" s="2918"/>
      <c r="N507" s="2918"/>
      <c r="O507" s="2918"/>
      <c r="P507" s="2918"/>
      <c r="Q507" s="2918"/>
      <c r="R507" s="2918"/>
      <c r="S507" s="2918"/>
      <c r="T507" s="2918"/>
      <c r="U507" s="2918"/>
      <c r="V507" s="2918"/>
      <c r="W507" s="2918"/>
      <c r="X507" s="2918"/>
      <c r="Y507" s="2918"/>
      <c r="Z507" s="2918"/>
      <c r="AA507" s="2918"/>
      <c r="AB507" s="2918"/>
      <c r="AC507" s="2897">
        <f t="shared" si="296"/>
        <v>0</v>
      </c>
      <c r="AD507" s="2929"/>
      <c r="AE507" s="2929"/>
      <c r="AF507" s="2902"/>
      <c r="AG507" s="2929"/>
      <c r="AH507" s="2929"/>
      <c r="AI507" s="2929"/>
      <c r="AJ507" s="2929"/>
      <c r="AK507" s="2929"/>
      <c r="AL507" s="2929"/>
      <c r="AM507" s="2929"/>
      <c r="AN507" s="2929"/>
      <c r="AO507" s="2929"/>
      <c r="AP507" s="2929"/>
      <c r="AQ507" s="2929"/>
      <c r="AR507" s="2929"/>
      <c r="AS507" s="2929"/>
      <c r="AT507" s="2949"/>
      <c r="AU507" s="2950"/>
      <c r="AV507" s="454">
        <f t="shared" si="324"/>
        <v>0</v>
      </c>
      <c r="AW507" s="454">
        <f t="shared" si="325"/>
        <v>0</v>
      </c>
      <c r="AX507" s="454">
        <f t="shared" si="326"/>
        <v>0</v>
      </c>
      <c r="AY507" s="2966">
        <f t="shared" si="297"/>
        <v>0</v>
      </c>
      <c r="AZ507" s="2897">
        <f t="shared" si="298"/>
        <v>0</v>
      </c>
      <c r="BA507" s="2897">
        <f t="shared" si="299"/>
        <v>0</v>
      </c>
      <c r="BB507" s="2897">
        <f t="shared" si="300"/>
        <v>0</v>
      </c>
      <c r="BC507" s="2897">
        <f t="shared" si="301"/>
        <v>0</v>
      </c>
      <c r="BD507" s="2897">
        <f t="shared" si="302"/>
        <v>0</v>
      </c>
      <c r="BE507" s="2897">
        <f t="shared" si="303"/>
        <v>0</v>
      </c>
      <c r="BF507" s="2897">
        <f t="shared" si="304"/>
        <v>0</v>
      </c>
      <c r="BG507" s="2897">
        <f t="shared" si="305"/>
        <v>0</v>
      </c>
      <c r="BH507" s="2897">
        <f t="shared" si="306"/>
        <v>0</v>
      </c>
      <c r="BI507" s="2897">
        <f t="shared" si="307"/>
        <v>0</v>
      </c>
      <c r="BJ507" s="2897">
        <f t="shared" si="308"/>
        <v>0</v>
      </c>
      <c r="BK507" s="2897">
        <f t="shared" si="309"/>
        <v>0</v>
      </c>
      <c r="BL507" s="2897">
        <f t="shared" si="310"/>
        <v>0</v>
      </c>
      <c r="BM507" s="2897">
        <f t="shared" si="311"/>
        <v>0</v>
      </c>
      <c r="BN507" s="2897">
        <f t="shared" si="312"/>
        <v>0</v>
      </c>
      <c r="BO507" s="2897">
        <f t="shared" si="313"/>
        <v>0</v>
      </c>
      <c r="BP507" s="2897">
        <f t="shared" si="314"/>
        <v>0</v>
      </c>
      <c r="BQ507" s="2897">
        <f t="shared" si="315"/>
        <v>0</v>
      </c>
      <c r="BR507" s="2897">
        <f t="shared" si="316"/>
        <v>0</v>
      </c>
      <c r="BS507" s="2897">
        <f t="shared" si="317"/>
        <v>0</v>
      </c>
      <c r="BT507" s="2971">
        <f t="shared" si="318"/>
        <v>0</v>
      </c>
    </row>
    <row r="508" spans="1:72">
      <c r="A508" s="2894"/>
      <c r="B508" s="2904"/>
      <c r="C508" s="2902"/>
      <c r="D508" s="2903"/>
      <c r="E508" s="2897">
        <f t="shared" si="323"/>
        <v>0</v>
      </c>
      <c r="F508" s="2898"/>
      <c r="G508" s="2899">
        <f t="shared" si="294"/>
        <v>0</v>
      </c>
      <c r="H508" s="2900">
        <f t="shared" si="295"/>
        <v>0</v>
      </c>
      <c r="I508" s="2902"/>
      <c r="J508" s="2918"/>
      <c r="K508" s="2902"/>
      <c r="L508" s="2918"/>
      <c r="M508" s="2918"/>
      <c r="N508" s="2918"/>
      <c r="O508" s="2918"/>
      <c r="P508" s="2918"/>
      <c r="Q508" s="2918"/>
      <c r="R508" s="2918"/>
      <c r="S508" s="2918"/>
      <c r="T508" s="2918"/>
      <c r="U508" s="2918"/>
      <c r="V508" s="2918"/>
      <c r="W508" s="2918"/>
      <c r="X508" s="2918"/>
      <c r="Y508" s="2918"/>
      <c r="Z508" s="2918"/>
      <c r="AA508" s="2918"/>
      <c r="AB508" s="2918"/>
      <c r="AC508" s="2897">
        <f t="shared" si="296"/>
        <v>0</v>
      </c>
      <c r="AD508" s="2929"/>
      <c r="AE508" s="2929"/>
      <c r="AF508" s="2902"/>
      <c r="AG508" s="2929"/>
      <c r="AH508" s="2929"/>
      <c r="AI508" s="2929"/>
      <c r="AJ508" s="2929"/>
      <c r="AK508" s="2929"/>
      <c r="AL508" s="2929"/>
      <c r="AM508" s="2929"/>
      <c r="AN508" s="2929"/>
      <c r="AO508" s="2929"/>
      <c r="AP508" s="2929"/>
      <c r="AQ508" s="2929"/>
      <c r="AR508" s="2929"/>
      <c r="AS508" s="2929"/>
      <c r="AT508" s="2949"/>
      <c r="AU508" s="2950"/>
      <c r="AV508" s="454">
        <f t="shared" si="324"/>
        <v>0</v>
      </c>
      <c r="AW508" s="454">
        <f t="shared" si="325"/>
        <v>0</v>
      </c>
      <c r="AX508" s="454">
        <f t="shared" si="326"/>
        <v>0</v>
      </c>
      <c r="AY508" s="2966">
        <f t="shared" si="297"/>
        <v>0</v>
      </c>
      <c r="AZ508" s="2897">
        <f t="shared" si="298"/>
        <v>0</v>
      </c>
      <c r="BA508" s="2897">
        <f t="shared" si="299"/>
        <v>0</v>
      </c>
      <c r="BB508" s="2897">
        <f t="shared" si="300"/>
        <v>0</v>
      </c>
      <c r="BC508" s="2897">
        <f t="shared" si="301"/>
        <v>0</v>
      </c>
      <c r="BD508" s="2897">
        <f t="shared" si="302"/>
        <v>0</v>
      </c>
      <c r="BE508" s="2897">
        <f t="shared" si="303"/>
        <v>0</v>
      </c>
      <c r="BF508" s="2897">
        <f t="shared" si="304"/>
        <v>0</v>
      </c>
      <c r="BG508" s="2897">
        <f t="shared" si="305"/>
        <v>0</v>
      </c>
      <c r="BH508" s="2897">
        <f t="shared" si="306"/>
        <v>0</v>
      </c>
      <c r="BI508" s="2897">
        <f t="shared" si="307"/>
        <v>0</v>
      </c>
      <c r="BJ508" s="2897">
        <f t="shared" si="308"/>
        <v>0</v>
      </c>
      <c r="BK508" s="2897">
        <f t="shared" si="309"/>
        <v>0</v>
      </c>
      <c r="BL508" s="2897">
        <f t="shared" si="310"/>
        <v>0</v>
      </c>
      <c r="BM508" s="2897">
        <f t="shared" si="311"/>
        <v>0</v>
      </c>
      <c r="BN508" s="2897">
        <f t="shared" si="312"/>
        <v>0</v>
      </c>
      <c r="BO508" s="2897">
        <f t="shared" si="313"/>
        <v>0</v>
      </c>
      <c r="BP508" s="2897">
        <f t="shared" si="314"/>
        <v>0</v>
      </c>
      <c r="BQ508" s="2897">
        <f t="shared" si="315"/>
        <v>0</v>
      </c>
      <c r="BR508" s="2897">
        <f t="shared" si="316"/>
        <v>0</v>
      </c>
      <c r="BS508" s="2897">
        <f t="shared" si="317"/>
        <v>0</v>
      </c>
      <c r="BT508" s="2971">
        <f t="shared" si="318"/>
        <v>0</v>
      </c>
    </row>
    <row r="509" spans="1:72">
      <c r="A509" s="2894"/>
      <c r="B509" s="2904"/>
      <c r="C509" s="2902"/>
      <c r="D509" s="2903"/>
      <c r="E509" s="2897">
        <f t="shared" si="323"/>
        <v>0</v>
      </c>
      <c r="F509" s="2898"/>
      <c r="G509" s="2899">
        <f t="shared" si="294"/>
        <v>0</v>
      </c>
      <c r="H509" s="2900">
        <f t="shared" si="295"/>
        <v>0</v>
      </c>
      <c r="I509" s="2902"/>
      <c r="J509" s="2918"/>
      <c r="K509" s="2902"/>
      <c r="L509" s="2918"/>
      <c r="M509" s="2918"/>
      <c r="N509" s="2918"/>
      <c r="O509" s="2918"/>
      <c r="P509" s="2918"/>
      <c r="Q509" s="2918"/>
      <c r="R509" s="2918"/>
      <c r="S509" s="2918"/>
      <c r="T509" s="2918"/>
      <c r="U509" s="2918"/>
      <c r="V509" s="2918"/>
      <c r="W509" s="2918"/>
      <c r="X509" s="2918"/>
      <c r="Y509" s="2918"/>
      <c r="Z509" s="2918"/>
      <c r="AA509" s="2918"/>
      <c r="AB509" s="2918"/>
      <c r="AC509" s="2897">
        <f t="shared" si="296"/>
        <v>0</v>
      </c>
      <c r="AD509" s="2929"/>
      <c r="AE509" s="2929"/>
      <c r="AF509" s="2902"/>
      <c r="AG509" s="2929"/>
      <c r="AH509" s="2929"/>
      <c r="AI509" s="2929"/>
      <c r="AJ509" s="2929"/>
      <c r="AK509" s="2929"/>
      <c r="AL509" s="2929"/>
      <c r="AM509" s="2929"/>
      <c r="AN509" s="2929"/>
      <c r="AO509" s="2929"/>
      <c r="AP509" s="2929"/>
      <c r="AQ509" s="2929"/>
      <c r="AR509" s="2929"/>
      <c r="AS509" s="2929"/>
      <c r="AT509" s="2949"/>
      <c r="AU509" s="2950"/>
      <c r="AV509" s="454">
        <f t="shared" si="324"/>
        <v>0</v>
      </c>
      <c r="AW509" s="454">
        <f t="shared" si="325"/>
        <v>0</v>
      </c>
      <c r="AX509" s="454">
        <f t="shared" si="326"/>
        <v>0</v>
      </c>
      <c r="AY509" s="2966">
        <f t="shared" si="297"/>
        <v>0</v>
      </c>
      <c r="AZ509" s="2897">
        <f t="shared" si="298"/>
        <v>0</v>
      </c>
      <c r="BA509" s="2897">
        <f t="shared" si="299"/>
        <v>0</v>
      </c>
      <c r="BB509" s="2897">
        <f t="shared" si="300"/>
        <v>0</v>
      </c>
      <c r="BC509" s="2897">
        <f t="shared" si="301"/>
        <v>0</v>
      </c>
      <c r="BD509" s="2897">
        <f t="shared" si="302"/>
        <v>0</v>
      </c>
      <c r="BE509" s="2897">
        <f t="shared" si="303"/>
        <v>0</v>
      </c>
      <c r="BF509" s="2897">
        <f t="shared" si="304"/>
        <v>0</v>
      </c>
      <c r="BG509" s="2897">
        <f t="shared" si="305"/>
        <v>0</v>
      </c>
      <c r="BH509" s="2897">
        <f t="shared" si="306"/>
        <v>0</v>
      </c>
      <c r="BI509" s="2897">
        <f t="shared" si="307"/>
        <v>0</v>
      </c>
      <c r="BJ509" s="2897">
        <f t="shared" si="308"/>
        <v>0</v>
      </c>
      <c r="BK509" s="2897">
        <f t="shared" si="309"/>
        <v>0</v>
      </c>
      <c r="BL509" s="2897">
        <f t="shared" si="310"/>
        <v>0</v>
      </c>
      <c r="BM509" s="2897">
        <f t="shared" si="311"/>
        <v>0</v>
      </c>
      <c r="BN509" s="2897">
        <f t="shared" si="312"/>
        <v>0</v>
      </c>
      <c r="BO509" s="2897">
        <f t="shared" si="313"/>
        <v>0</v>
      </c>
      <c r="BP509" s="2897">
        <f t="shared" si="314"/>
        <v>0</v>
      </c>
      <c r="BQ509" s="2897">
        <f t="shared" si="315"/>
        <v>0</v>
      </c>
      <c r="BR509" s="2897">
        <f t="shared" si="316"/>
        <v>0</v>
      </c>
      <c r="BS509" s="2897">
        <f t="shared" si="317"/>
        <v>0</v>
      </c>
      <c r="BT509" s="2971">
        <f t="shared" si="318"/>
        <v>0</v>
      </c>
    </row>
    <row r="510" spans="1:72">
      <c r="A510" s="2894"/>
      <c r="B510" s="2904"/>
      <c r="C510" s="2902"/>
      <c r="D510" s="2903"/>
      <c r="E510" s="2897">
        <f t="shared" si="323"/>
        <v>0</v>
      </c>
      <c r="F510" s="2898"/>
      <c r="G510" s="2899">
        <f t="shared" ref="G510:G537" si="327">H510+AC510+AT510</f>
        <v>0</v>
      </c>
      <c r="H510" s="2900">
        <f t="shared" ref="H510:H537" si="328">SUMIF(I$12:AB$12,"总值",I510:AB510)</f>
        <v>0</v>
      </c>
      <c r="I510" s="2902"/>
      <c r="J510" s="2918"/>
      <c r="K510" s="2902"/>
      <c r="L510" s="2918"/>
      <c r="M510" s="2918"/>
      <c r="N510" s="2918"/>
      <c r="O510" s="2918"/>
      <c r="P510" s="2918"/>
      <c r="Q510" s="2918"/>
      <c r="R510" s="2918"/>
      <c r="S510" s="2918"/>
      <c r="T510" s="2918"/>
      <c r="U510" s="2918"/>
      <c r="V510" s="2918"/>
      <c r="W510" s="2918"/>
      <c r="X510" s="2918"/>
      <c r="Y510" s="2918"/>
      <c r="Z510" s="2918"/>
      <c r="AA510" s="2918"/>
      <c r="AB510" s="2918"/>
      <c r="AC510" s="2897">
        <f t="shared" ref="AC510:AC537" si="329">SUMIF(AD$12:AS$12,"总值",AD510:AS510)</f>
        <v>0</v>
      </c>
      <c r="AD510" s="2929"/>
      <c r="AE510" s="2929"/>
      <c r="AF510" s="2902"/>
      <c r="AG510" s="2929"/>
      <c r="AH510" s="2929"/>
      <c r="AI510" s="2929"/>
      <c r="AJ510" s="2929"/>
      <c r="AK510" s="2929"/>
      <c r="AL510" s="2929"/>
      <c r="AM510" s="2929"/>
      <c r="AN510" s="2929"/>
      <c r="AO510" s="2929"/>
      <c r="AP510" s="2929"/>
      <c r="AQ510" s="2929"/>
      <c r="AR510" s="2929"/>
      <c r="AS510" s="2929"/>
      <c r="AT510" s="2949"/>
      <c r="AU510" s="2950"/>
      <c r="AV510" s="454">
        <f t="shared" si="324"/>
        <v>0</v>
      </c>
      <c r="AW510" s="454">
        <f t="shared" si="325"/>
        <v>0</v>
      </c>
      <c r="AX510" s="454">
        <f t="shared" si="326"/>
        <v>0</v>
      </c>
      <c r="AY510" s="2966">
        <f t="shared" ref="AY510:AY537" si="330">ROUND($AY$6*AZ510/$AZ$5,2)</f>
        <v>0</v>
      </c>
      <c r="AZ510" s="2897">
        <f t="shared" ref="AZ510:AZ537" si="331">BA510+BL510</f>
        <v>0</v>
      </c>
      <c r="BA510" s="2897">
        <f t="shared" ref="BA510:BA537" si="332">SUM(BB510:BK510)</f>
        <v>0</v>
      </c>
      <c r="BB510" s="2897">
        <f t="shared" ref="BB510:BB537" si="333">IF($D510="是",I510-J510,0)</f>
        <v>0</v>
      </c>
      <c r="BC510" s="2897">
        <f t="shared" ref="BC510:BC537" si="334">IF($D510="是",K510-L510,0)</f>
        <v>0</v>
      </c>
      <c r="BD510" s="2897">
        <f t="shared" ref="BD510:BD537" si="335">IF($D510="是",M510-N510,0)</f>
        <v>0</v>
      </c>
      <c r="BE510" s="2897">
        <f t="shared" ref="BE510:BE537" si="336">IF($D510="是",O510-P510,0)</f>
        <v>0</v>
      </c>
      <c r="BF510" s="2897">
        <f t="shared" ref="BF510:BF537" si="337">IF($D510="是",Q510-R510,0)</f>
        <v>0</v>
      </c>
      <c r="BG510" s="2897">
        <f t="shared" ref="BG510:BG537" si="338">IF($D510="是",S510-T510,0)</f>
        <v>0</v>
      </c>
      <c r="BH510" s="2897">
        <f t="shared" ref="BH510:BH537" si="339">IF($D510="是",U510-V510,0)</f>
        <v>0</v>
      </c>
      <c r="BI510" s="2897">
        <f t="shared" ref="BI510:BI537" si="340">IF($D510="是",W510-X510,0)</f>
        <v>0</v>
      </c>
      <c r="BJ510" s="2897">
        <f t="shared" ref="BJ510:BJ537" si="341">IF($D510="是",Y510-Z510,0)</f>
        <v>0</v>
      </c>
      <c r="BK510" s="2897">
        <f t="shared" ref="BK510:BK537" si="342">IF($D510="是",AA510-AB510,0)</f>
        <v>0</v>
      </c>
      <c r="BL510" s="2897">
        <f t="shared" ref="BL510:BL537" si="343">SUM(BM510:BT510)</f>
        <v>0</v>
      </c>
      <c r="BM510" s="2897">
        <f t="shared" ref="BM510:BM537" si="344">IF($D510="是",AD510-AE510,0)</f>
        <v>0</v>
      </c>
      <c r="BN510" s="2897">
        <f t="shared" ref="BN510:BN537" si="345">IF($D510="是",AF510-AG510,0)</f>
        <v>0</v>
      </c>
      <c r="BO510" s="2897">
        <f t="shared" ref="BO510:BO537" si="346">IF($D510="是",AH510-AI510,0)</f>
        <v>0</v>
      </c>
      <c r="BP510" s="2897">
        <f t="shared" ref="BP510:BP537" si="347">IF($D510="是",AJ510-AK510,0)</f>
        <v>0</v>
      </c>
      <c r="BQ510" s="2897">
        <f t="shared" ref="BQ510:BQ537" si="348">IF($D510="是",AL510-AM510,0)</f>
        <v>0</v>
      </c>
      <c r="BR510" s="2897">
        <f t="shared" ref="BR510:BR537" si="349">IF($D510="是",AN510-AO510,0)</f>
        <v>0</v>
      </c>
      <c r="BS510" s="2897">
        <f t="shared" ref="BS510:BS537" si="350">IF($D510="是",AP510-AQ510,0)</f>
        <v>0</v>
      </c>
      <c r="BT510" s="2971">
        <f t="shared" ref="BT510:BT537" si="351">IF($D510="是",AR510-AS510,0)</f>
        <v>0</v>
      </c>
    </row>
    <row r="511" spans="1:72">
      <c r="A511" s="2894"/>
      <c r="B511" s="2904"/>
      <c r="C511" s="2902"/>
      <c r="D511" s="2903"/>
      <c r="E511" s="2897">
        <f t="shared" si="323"/>
        <v>0</v>
      </c>
      <c r="F511" s="2898"/>
      <c r="G511" s="2899">
        <f t="shared" si="327"/>
        <v>0</v>
      </c>
      <c r="H511" s="2900">
        <f t="shared" si="328"/>
        <v>0</v>
      </c>
      <c r="I511" s="2902"/>
      <c r="J511" s="2918"/>
      <c r="K511" s="2902"/>
      <c r="L511" s="2918"/>
      <c r="M511" s="2918"/>
      <c r="N511" s="2918"/>
      <c r="O511" s="2918"/>
      <c r="P511" s="2918"/>
      <c r="Q511" s="2918"/>
      <c r="R511" s="2918"/>
      <c r="S511" s="2918"/>
      <c r="T511" s="2918"/>
      <c r="U511" s="2918"/>
      <c r="V511" s="2918"/>
      <c r="W511" s="2918"/>
      <c r="X511" s="2918"/>
      <c r="Y511" s="2918"/>
      <c r="Z511" s="2918"/>
      <c r="AA511" s="2918"/>
      <c r="AB511" s="2918"/>
      <c r="AC511" s="2897">
        <f t="shared" si="329"/>
        <v>0</v>
      </c>
      <c r="AD511" s="2929"/>
      <c r="AE511" s="2929"/>
      <c r="AF511" s="2902"/>
      <c r="AG511" s="2929"/>
      <c r="AH511" s="2929"/>
      <c r="AI511" s="2929"/>
      <c r="AJ511" s="2929"/>
      <c r="AK511" s="2929"/>
      <c r="AL511" s="2929"/>
      <c r="AM511" s="2929"/>
      <c r="AN511" s="2929"/>
      <c r="AO511" s="2929"/>
      <c r="AP511" s="2929"/>
      <c r="AQ511" s="2929"/>
      <c r="AR511" s="2929"/>
      <c r="AS511" s="2929"/>
      <c r="AT511" s="2949"/>
      <c r="AU511" s="2950"/>
      <c r="AV511" s="454">
        <f t="shared" si="324"/>
        <v>0</v>
      </c>
      <c r="AW511" s="454">
        <f t="shared" si="325"/>
        <v>0</v>
      </c>
      <c r="AX511" s="454">
        <f t="shared" si="326"/>
        <v>0</v>
      </c>
      <c r="AY511" s="2966">
        <f t="shared" si="330"/>
        <v>0</v>
      </c>
      <c r="AZ511" s="2897">
        <f t="shared" si="331"/>
        <v>0</v>
      </c>
      <c r="BA511" s="2897">
        <f t="shared" si="332"/>
        <v>0</v>
      </c>
      <c r="BB511" s="2897">
        <f t="shared" si="333"/>
        <v>0</v>
      </c>
      <c r="BC511" s="2897">
        <f t="shared" si="334"/>
        <v>0</v>
      </c>
      <c r="BD511" s="2897">
        <f t="shared" si="335"/>
        <v>0</v>
      </c>
      <c r="BE511" s="2897">
        <f t="shared" si="336"/>
        <v>0</v>
      </c>
      <c r="BF511" s="2897">
        <f t="shared" si="337"/>
        <v>0</v>
      </c>
      <c r="BG511" s="2897">
        <f t="shared" si="338"/>
        <v>0</v>
      </c>
      <c r="BH511" s="2897">
        <f t="shared" si="339"/>
        <v>0</v>
      </c>
      <c r="BI511" s="2897">
        <f t="shared" si="340"/>
        <v>0</v>
      </c>
      <c r="BJ511" s="2897">
        <f t="shared" si="341"/>
        <v>0</v>
      </c>
      <c r="BK511" s="2897">
        <f t="shared" si="342"/>
        <v>0</v>
      </c>
      <c r="BL511" s="2897">
        <f t="shared" si="343"/>
        <v>0</v>
      </c>
      <c r="BM511" s="2897">
        <f t="shared" si="344"/>
        <v>0</v>
      </c>
      <c r="BN511" s="2897">
        <f t="shared" si="345"/>
        <v>0</v>
      </c>
      <c r="BO511" s="2897">
        <f t="shared" si="346"/>
        <v>0</v>
      </c>
      <c r="BP511" s="2897">
        <f t="shared" si="347"/>
        <v>0</v>
      </c>
      <c r="BQ511" s="2897">
        <f t="shared" si="348"/>
        <v>0</v>
      </c>
      <c r="BR511" s="2897">
        <f t="shared" si="349"/>
        <v>0</v>
      </c>
      <c r="BS511" s="2897">
        <f t="shared" si="350"/>
        <v>0</v>
      </c>
      <c r="BT511" s="2971">
        <f t="shared" si="351"/>
        <v>0</v>
      </c>
    </row>
    <row r="512" spans="1:72">
      <c r="A512" s="2894"/>
      <c r="B512" s="2904"/>
      <c r="C512" s="2902"/>
      <c r="D512" s="2903"/>
      <c r="E512" s="2897">
        <f t="shared" si="323"/>
        <v>0</v>
      </c>
      <c r="F512" s="2898"/>
      <c r="G512" s="2899">
        <f t="shared" si="327"/>
        <v>0</v>
      </c>
      <c r="H512" s="2900">
        <f t="shared" si="328"/>
        <v>0</v>
      </c>
      <c r="I512" s="2902"/>
      <c r="J512" s="2918"/>
      <c r="K512" s="2902"/>
      <c r="L512" s="2918"/>
      <c r="M512" s="2918"/>
      <c r="N512" s="2918"/>
      <c r="O512" s="2918"/>
      <c r="P512" s="2918"/>
      <c r="Q512" s="2918"/>
      <c r="R512" s="2918"/>
      <c r="S512" s="2918"/>
      <c r="T512" s="2918"/>
      <c r="U512" s="2918"/>
      <c r="V512" s="2918"/>
      <c r="W512" s="2918"/>
      <c r="X512" s="2918"/>
      <c r="Y512" s="2918"/>
      <c r="Z512" s="2918"/>
      <c r="AA512" s="2918"/>
      <c r="AB512" s="2918"/>
      <c r="AC512" s="2897">
        <f t="shared" si="329"/>
        <v>0</v>
      </c>
      <c r="AD512" s="2929"/>
      <c r="AE512" s="2929"/>
      <c r="AF512" s="2902"/>
      <c r="AG512" s="2929"/>
      <c r="AH512" s="2929"/>
      <c r="AI512" s="2929"/>
      <c r="AJ512" s="2929"/>
      <c r="AK512" s="2929"/>
      <c r="AL512" s="2929"/>
      <c r="AM512" s="2929"/>
      <c r="AN512" s="2929"/>
      <c r="AO512" s="2929"/>
      <c r="AP512" s="2929"/>
      <c r="AQ512" s="2929"/>
      <c r="AR512" s="2929"/>
      <c r="AS512" s="2929"/>
      <c r="AT512" s="2949"/>
      <c r="AU512" s="2950"/>
      <c r="AV512" s="454">
        <f t="shared" si="324"/>
        <v>0</v>
      </c>
      <c r="AW512" s="454">
        <f t="shared" si="325"/>
        <v>0</v>
      </c>
      <c r="AX512" s="454">
        <f t="shared" si="326"/>
        <v>0</v>
      </c>
      <c r="AY512" s="2966">
        <f t="shared" si="330"/>
        <v>0</v>
      </c>
      <c r="AZ512" s="2897">
        <f t="shared" si="331"/>
        <v>0</v>
      </c>
      <c r="BA512" s="2897">
        <f t="shared" si="332"/>
        <v>0</v>
      </c>
      <c r="BB512" s="2897">
        <f t="shared" si="333"/>
        <v>0</v>
      </c>
      <c r="BC512" s="2897">
        <f t="shared" si="334"/>
        <v>0</v>
      </c>
      <c r="BD512" s="2897">
        <f t="shared" si="335"/>
        <v>0</v>
      </c>
      <c r="BE512" s="2897">
        <f t="shared" si="336"/>
        <v>0</v>
      </c>
      <c r="BF512" s="2897">
        <f t="shared" si="337"/>
        <v>0</v>
      </c>
      <c r="BG512" s="2897">
        <f t="shared" si="338"/>
        <v>0</v>
      </c>
      <c r="BH512" s="2897">
        <f t="shared" si="339"/>
        <v>0</v>
      </c>
      <c r="BI512" s="2897">
        <f t="shared" si="340"/>
        <v>0</v>
      </c>
      <c r="BJ512" s="2897">
        <f t="shared" si="341"/>
        <v>0</v>
      </c>
      <c r="BK512" s="2897">
        <f t="shared" si="342"/>
        <v>0</v>
      </c>
      <c r="BL512" s="2897">
        <f t="shared" si="343"/>
        <v>0</v>
      </c>
      <c r="BM512" s="2897">
        <f t="shared" si="344"/>
        <v>0</v>
      </c>
      <c r="BN512" s="2897">
        <f t="shared" si="345"/>
        <v>0</v>
      </c>
      <c r="BO512" s="2897">
        <f t="shared" si="346"/>
        <v>0</v>
      </c>
      <c r="BP512" s="2897">
        <f t="shared" si="347"/>
        <v>0</v>
      </c>
      <c r="BQ512" s="2897">
        <f t="shared" si="348"/>
        <v>0</v>
      </c>
      <c r="BR512" s="2897">
        <f t="shared" si="349"/>
        <v>0</v>
      </c>
      <c r="BS512" s="2897">
        <f t="shared" si="350"/>
        <v>0</v>
      </c>
      <c r="BT512" s="2971">
        <f t="shared" si="351"/>
        <v>0</v>
      </c>
    </row>
    <row r="513" spans="1:72">
      <c r="A513" s="2894"/>
      <c r="B513" s="2904"/>
      <c r="C513" s="2902"/>
      <c r="D513" s="2903"/>
      <c r="E513" s="2897">
        <f t="shared" si="323"/>
        <v>0</v>
      </c>
      <c r="F513" s="2898"/>
      <c r="G513" s="2899">
        <f t="shared" si="327"/>
        <v>0</v>
      </c>
      <c r="H513" s="2900">
        <f t="shared" si="328"/>
        <v>0</v>
      </c>
      <c r="I513" s="2902"/>
      <c r="J513" s="2918"/>
      <c r="K513" s="2902"/>
      <c r="L513" s="2918"/>
      <c r="M513" s="2918"/>
      <c r="N513" s="2918"/>
      <c r="O513" s="2918"/>
      <c r="P513" s="2918"/>
      <c r="Q513" s="2918"/>
      <c r="R513" s="2918"/>
      <c r="S513" s="2918"/>
      <c r="T513" s="2918"/>
      <c r="U513" s="2918"/>
      <c r="V513" s="2918"/>
      <c r="W513" s="2918"/>
      <c r="X513" s="2918"/>
      <c r="Y513" s="2918"/>
      <c r="Z513" s="2918"/>
      <c r="AA513" s="2918"/>
      <c r="AB513" s="2918"/>
      <c r="AC513" s="2897">
        <f t="shared" si="329"/>
        <v>0</v>
      </c>
      <c r="AD513" s="2929"/>
      <c r="AE513" s="2929"/>
      <c r="AF513" s="2902"/>
      <c r="AG513" s="2929"/>
      <c r="AH513" s="2929"/>
      <c r="AI513" s="2929"/>
      <c r="AJ513" s="2929"/>
      <c r="AK513" s="2929"/>
      <c r="AL513" s="2929"/>
      <c r="AM513" s="2929"/>
      <c r="AN513" s="2929"/>
      <c r="AO513" s="2929"/>
      <c r="AP513" s="2929"/>
      <c r="AQ513" s="2929"/>
      <c r="AR513" s="2929"/>
      <c r="AS513" s="2929"/>
      <c r="AT513" s="2949"/>
      <c r="AU513" s="2950"/>
      <c r="AV513" s="454">
        <f t="shared" si="324"/>
        <v>0</v>
      </c>
      <c r="AW513" s="454">
        <f t="shared" si="325"/>
        <v>0</v>
      </c>
      <c r="AX513" s="454">
        <f t="shared" si="326"/>
        <v>0</v>
      </c>
      <c r="AY513" s="2966">
        <f t="shared" si="330"/>
        <v>0</v>
      </c>
      <c r="AZ513" s="2897">
        <f t="shared" si="331"/>
        <v>0</v>
      </c>
      <c r="BA513" s="2897">
        <f t="shared" si="332"/>
        <v>0</v>
      </c>
      <c r="BB513" s="2897">
        <f t="shared" si="333"/>
        <v>0</v>
      </c>
      <c r="BC513" s="2897">
        <f t="shared" si="334"/>
        <v>0</v>
      </c>
      <c r="BD513" s="2897">
        <f t="shared" si="335"/>
        <v>0</v>
      </c>
      <c r="BE513" s="2897">
        <f t="shared" si="336"/>
        <v>0</v>
      </c>
      <c r="BF513" s="2897">
        <f t="shared" si="337"/>
        <v>0</v>
      </c>
      <c r="BG513" s="2897">
        <f t="shared" si="338"/>
        <v>0</v>
      </c>
      <c r="BH513" s="2897">
        <f t="shared" si="339"/>
        <v>0</v>
      </c>
      <c r="BI513" s="2897">
        <f t="shared" si="340"/>
        <v>0</v>
      </c>
      <c r="BJ513" s="2897">
        <f t="shared" si="341"/>
        <v>0</v>
      </c>
      <c r="BK513" s="2897">
        <f t="shared" si="342"/>
        <v>0</v>
      </c>
      <c r="BL513" s="2897">
        <f t="shared" si="343"/>
        <v>0</v>
      </c>
      <c r="BM513" s="2897">
        <f t="shared" si="344"/>
        <v>0</v>
      </c>
      <c r="BN513" s="2897">
        <f t="shared" si="345"/>
        <v>0</v>
      </c>
      <c r="BO513" s="2897">
        <f t="shared" si="346"/>
        <v>0</v>
      </c>
      <c r="BP513" s="2897">
        <f t="shared" si="347"/>
        <v>0</v>
      </c>
      <c r="BQ513" s="2897">
        <f t="shared" si="348"/>
        <v>0</v>
      </c>
      <c r="BR513" s="2897">
        <f t="shared" si="349"/>
        <v>0</v>
      </c>
      <c r="BS513" s="2897">
        <f t="shared" si="350"/>
        <v>0</v>
      </c>
      <c r="BT513" s="2971">
        <f t="shared" si="351"/>
        <v>0</v>
      </c>
    </row>
    <row r="514" spans="1:72">
      <c r="A514" s="2894"/>
      <c r="B514" s="2904"/>
      <c r="C514" s="2902"/>
      <c r="D514" s="2903"/>
      <c r="E514" s="2897">
        <f t="shared" si="323"/>
        <v>0</v>
      </c>
      <c r="F514" s="2898"/>
      <c r="G514" s="2899">
        <f t="shared" si="327"/>
        <v>0</v>
      </c>
      <c r="H514" s="2900">
        <f t="shared" si="328"/>
        <v>0</v>
      </c>
      <c r="I514" s="2902"/>
      <c r="J514" s="2918"/>
      <c r="K514" s="2902"/>
      <c r="L514" s="2918"/>
      <c r="M514" s="2918"/>
      <c r="N514" s="2918"/>
      <c r="O514" s="2918"/>
      <c r="P514" s="2918"/>
      <c r="Q514" s="2918"/>
      <c r="R514" s="2918"/>
      <c r="S514" s="2918"/>
      <c r="T514" s="2918"/>
      <c r="U514" s="2918"/>
      <c r="V514" s="2918"/>
      <c r="W514" s="2918"/>
      <c r="X514" s="2918"/>
      <c r="Y514" s="2918"/>
      <c r="Z514" s="2918"/>
      <c r="AA514" s="2918"/>
      <c r="AB514" s="2918"/>
      <c r="AC514" s="2897">
        <f t="shared" si="329"/>
        <v>0</v>
      </c>
      <c r="AD514" s="2929"/>
      <c r="AE514" s="2929"/>
      <c r="AF514" s="2902"/>
      <c r="AG514" s="2929"/>
      <c r="AH514" s="2929"/>
      <c r="AI514" s="2929"/>
      <c r="AJ514" s="2929"/>
      <c r="AK514" s="2929"/>
      <c r="AL514" s="2929"/>
      <c r="AM514" s="2929"/>
      <c r="AN514" s="2929"/>
      <c r="AO514" s="2929"/>
      <c r="AP514" s="2929"/>
      <c r="AQ514" s="2929"/>
      <c r="AR514" s="2929"/>
      <c r="AS514" s="2929"/>
      <c r="AT514" s="2949"/>
      <c r="AU514" s="2950"/>
      <c r="AV514" s="454">
        <f t="shared" si="324"/>
        <v>0</v>
      </c>
      <c r="AW514" s="454">
        <f t="shared" si="325"/>
        <v>0</v>
      </c>
      <c r="AX514" s="454">
        <f t="shared" si="326"/>
        <v>0</v>
      </c>
      <c r="AY514" s="2966">
        <f t="shared" si="330"/>
        <v>0</v>
      </c>
      <c r="AZ514" s="2897">
        <f t="shared" si="331"/>
        <v>0</v>
      </c>
      <c r="BA514" s="2897">
        <f t="shared" si="332"/>
        <v>0</v>
      </c>
      <c r="BB514" s="2897">
        <f t="shared" si="333"/>
        <v>0</v>
      </c>
      <c r="BC514" s="2897">
        <f t="shared" si="334"/>
        <v>0</v>
      </c>
      <c r="BD514" s="2897">
        <f t="shared" si="335"/>
        <v>0</v>
      </c>
      <c r="BE514" s="2897">
        <f t="shared" si="336"/>
        <v>0</v>
      </c>
      <c r="BF514" s="2897">
        <f t="shared" si="337"/>
        <v>0</v>
      </c>
      <c r="BG514" s="2897">
        <f t="shared" si="338"/>
        <v>0</v>
      </c>
      <c r="BH514" s="2897">
        <f t="shared" si="339"/>
        <v>0</v>
      </c>
      <c r="BI514" s="2897">
        <f t="shared" si="340"/>
        <v>0</v>
      </c>
      <c r="BJ514" s="2897">
        <f t="shared" si="341"/>
        <v>0</v>
      </c>
      <c r="BK514" s="2897">
        <f t="shared" si="342"/>
        <v>0</v>
      </c>
      <c r="BL514" s="2897">
        <f t="shared" si="343"/>
        <v>0</v>
      </c>
      <c r="BM514" s="2897">
        <f t="shared" si="344"/>
        <v>0</v>
      </c>
      <c r="BN514" s="2897">
        <f t="shared" si="345"/>
        <v>0</v>
      </c>
      <c r="BO514" s="2897">
        <f t="shared" si="346"/>
        <v>0</v>
      </c>
      <c r="BP514" s="2897">
        <f t="shared" si="347"/>
        <v>0</v>
      </c>
      <c r="BQ514" s="2897">
        <f t="shared" si="348"/>
        <v>0</v>
      </c>
      <c r="BR514" s="2897">
        <f t="shared" si="349"/>
        <v>0</v>
      </c>
      <c r="BS514" s="2897">
        <f t="shared" si="350"/>
        <v>0</v>
      </c>
      <c r="BT514" s="2971">
        <f t="shared" si="351"/>
        <v>0</v>
      </c>
    </row>
    <row r="515" spans="1:72">
      <c r="A515" s="2894"/>
      <c r="B515" s="2905"/>
      <c r="C515" s="2906"/>
      <c r="D515" s="2903"/>
      <c r="E515" s="2897">
        <f t="shared" si="323"/>
        <v>0</v>
      </c>
      <c r="F515" s="2898"/>
      <c r="G515" s="2899">
        <f t="shared" si="327"/>
        <v>0</v>
      </c>
      <c r="H515" s="2900">
        <f t="shared" si="328"/>
        <v>0</v>
      </c>
      <c r="I515" s="2902"/>
      <c r="J515" s="2918"/>
      <c r="K515" s="2902"/>
      <c r="L515" s="2918"/>
      <c r="M515" s="2902"/>
      <c r="N515" s="2918"/>
      <c r="O515" s="2918"/>
      <c r="P515" s="2918"/>
      <c r="Q515" s="2918"/>
      <c r="R515" s="2918"/>
      <c r="S515" s="2918"/>
      <c r="T515" s="2918"/>
      <c r="U515" s="2918"/>
      <c r="V515" s="2918"/>
      <c r="W515" s="2918"/>
      <c r="X515" s="2918"/>
      <c r="Y515" s="2918"/>
      <c r="Z515" s="2918"/>
      <c r="AA515" s="2918"/>
      <c r="AB515" s="2918"/>
      <c r="AC515" s="2897">
        <f t="shared" si="329"/>
        <v>0</v>
      </c>
      <c r="AD515" s="2929"/>
      <c r="AE515" s="2929"/>
      <c r="AF515" s="2902"/>
      <c r="AG515" s="2929"/>
      <c r="AH515" s="2929"/>
      <c r="AI515" s="2929"/>
      <c r="AJ515" s="2929"/>
      <c r="AK515" s="2929"/>
      <c r="AL515" s="2929"/>
      <c r="AM515" s="2929"/>
      <c r="AN515" s="2929"/>
      <c r="AO515" s="2929"/>
      <c r="AP515" s="2929"/>
      <c r="AQ515" s="2929"/>
      <c r="AR515" s="2929"/>
      <c r="AS515" s="2929"/>
      <c r="AT515" s="2949"/>
      <c r="AU515" s="2950"/>
      <c r="AV515" s="454">
        <f t="shared" si="324"/>
        <v>0</v>
      </c>
      <c r="AW515" s="454">
        <f t="shared" si="325"/>
        <v>0</v>
      </c>
      <c r="AX515" s="454">
        <f t="shared" si="326"/>
        <v>0</v>
      </c>
      <c r="AY515" s="2966">
        <f t="shared" si="330"/>
        <v>0</v>
      </c>
      <c r="AZ515" s="2897">
        <f t="shared" si="331"/>
        <v>0</v>
      </c>
      <c r="BA515" s="2897">
        <f t="shared" si="332"/>
        <v>0</v>
      </c>
      <c r="BB515" s="2897">
        <f t="shared" si="333"/>
        <v>0</v>
      </c>
      <c r="BC515" s="2897">
        <f t="shared" si="334"/>
        <v>0</v>
      </c>
      <c r="BD515" s="2897">
        <f t="shared" si="335"/>
        <v>0</v>
      </c>
      <c r="BE515" s="2897">
        <f t="shared" si="336"/>
        <v>0</v>
      </c>
      <c r="BF515" s="2897">
        <f t="shared" si="337"/>
        <v>0</v>
      </c>
      <c r="BG515" s="2897">
        <f t="shared" si="338"/>
        <v>0</v>
      </c>
      <c r="BH515" s="2897">
        <f t="shared" si="339"/>
        <v>0</v>
      </c>
      <c r="BI515" s="2897">
        <f t="shared" si="340"/>
        <v>0</v>
      </c>
      <c r="BJ515" s="2897">
        <f t="shared" si="341"/>
        <v>0</v>
      </c>
      <c r="BK515" s="2897">
        <f t="shared" si="342"/>
        <v>0</v>
      </c>
      <c r="BL515" s="2897">
        <f t="shared" si="343"/>
        <v>0</v>
      </c>
      <c r="BM515" s="2897">
        <f t="shared" si="344"/>
        <v>0</v>
      </c>
      <c r="BN515" s="2897">
        <f t="shared" si="345"/>
        <v>0</v>
      </c>
      <c r="BO515" s="2897">
        <f t="shared" si="346"/>
        <v>0</v>
      </c>
      <c r="BP515" s="2897">
        <f t="shared" si="347"/>
        <v>0</v>
      </c>
      <c r="BQ515" s="2897">
        <f t="shared" si="348"/>
        <v>0</v>
      </c>
      <c r="BR515" s="2897">
        <f t="shared" si="349"/>
        <v>0</v>
      </c>
      <c r="BS515" s="2897">
        <f t="shared" si="350"/>
        <v>0</v>
      </c>
      <c r="BT515" s="2971">
        <f t="shared" si="351"/>
        <v>0</v>
      </c>
    </row>
    <row r="516" spans="1:72">
      <c r="A516" s="2894"/>
      <c r="B516" s="2895"/>
      <c r="C516" s="2895"/>
      <c r="D516" s="2907"/>
      <c r="E516" s="2897">
        <f t="shared" si="323"/>
        <v>0</v>
      </c>
      <c r="F516" s="2898"/>
      <c r="G516" s="2899">
        <f t="shared" si="327"/>
        <v>0</v>
      </c>
      <c r="H516" s="2900">
        <f t="shared" si="328"/>
        <v>0</v>
      </c>
      <c r="I516" s="2918"/>
      <c r="J516" s="2918"/>
      <c r="K516" s="2918"/>
      <c r="L516" s="2918"/>
      <c r="M516" s="2918"/>
      <c r="N516" s="2918"/>
      <c r="O516" s="2918"/>
      <c r="P516" s="2918"/>
      <c r="Q516" s="2918"/>
      <c r="R516" s="2918"/>
      <c r="S516" s="2918"/>
      <c r="T516" s="2918"/>
      <c r="U516" s="2918"/>
      <c r="V516" s="2918"/>
      <c r="W516" s="2918"/>
      <c r="X516" s="2918"/>
      <c r="Y516" s="2918"/>
      <c r="Z516" s="2918"/>
      <c r="AA516" s="2918"/>
      <c r="AB516" s="2918"/>
      <c r="AC516" s="2897">
        <f t="shared" si="329"/>
        <v>0</v>
      </c>
      <c r="AD516" s="2929"/>
      <c r="AE516" s="2929"/>
      <c r="AF516" s="2929"/>
      <c r="AG516" s="2929"/>
      <c r="AH516" s="2929"/>
      <c r="AI516" s="2929"/>
      <c r="AJ516" s="2929"/>
      <c r="AK516" s="2929"/>
      <c r="AL516" s="2929"/>
      <c r="AM516" s="2929"/>
      <c r="AN516" s="2929"/>
      <c r="AO516" s="2929"/>
      <c r="AP516" s="2929"/>
      <c r="AQ516" s="2929"/>
      <c r="AR516" s="2929"/>
      <c r="AS516" s="2929"/>
      <c r="AT516" s="2949"/>
      <c r="AU516" s="2950"/>
      <c r="AV516" s="454">
        <f t="shared" si="324"/>
        <v>0</v>
      </c>
      <c r="AW516" s="454">
        <f t="shared" si="325"/>
        <v>0</v>
      </c>
      <c r="AX516" s="454">
        <f t="shared" si="326"/>
        <v>0</v>
      </c>
      <c r="AY516" s="2966">
        <f t="shared" si="330"/>
        <v>0</v>
      </c>
      <c r="AZ516" s="2897">
        <f t="shared" si="331"/>
        <v>0</v>
      </c>
      <c r="BA516" s="2897">
        <f t="shared" si="332"/>
        <v>0</v>
      </c>
      <c r="BB516" s="2897">
        <f t="shared" si="333"/>
        <v>0</v>
      </c>
      <c r="BC516" s="2897">
        <f t="shared" si="334"/>
        <v>0</v>
      </c>
      <c r="BD516" s="2897">
        <f t="shared" si="335"/>
        <v>0</v>
      </c>
      <c r="BE516" s="2897">
        <f t="shared" si="336"/>
        <v>0</v>
      </c>
      <c r="BF516" s="2897">
        <f t="shared" si="337"/>
        <v>0</v>
      </c>
      <c r="BG516" s="2897">
        <f t="shared" si="338"/>
        <v>0</v>
      </c>
      <c r="BH516" s="2897">
        <f t="shared" si="339"/>
        <v>0</v>
      </c>
      <c r="BI516" s="2897">
        <f t="shared" si="340"/>
        <v>0</v>
      </c>
      <c r="BJ516" s="2897">
        <f t="shared" si="341"/>
        <v>0</v>
      </c>
      <c r="BK516" s="2897">
        <f t="shared" si="342"/>
        <v>0</v>
      </c>
      <c r="BL516" s="2897">
        <f t="shared" si="343"/>
        <v>0</v>
      </c>
      <c r="BM516" s="2897">
        <f t="shared" si="344"/>
        <v>0</v>
      </c>
      <c r="BN516" s="2897">
        <f t="shared" si="345"/>
        <v>0</v>
      </c>
      <c r="BO516" s="2897">
        <f t="shared" si="346"/>
        <v>0</v>
      </c>
      <c r="BP516" s="2897">
        <f t="shared" si="347"/>
        <v>0</v>
      </c>
      <c r="BQ516" s="2897">
        <f t="shared" si="348"/>
        <v>0</v>
      </c>
      <c r="BR516" s="2897">
        <f t="shared" si="349"/>
        <v>0</v>
      </c>
      <c r="BS516" s="2897">
        <f t="shared" si="350"/>
        <v>0</v>
      </c>
      <c r="BT516" s="2971">
        <f t="shared" si="351"/>
        <v>0</v>
      </c>
    </row>
    <row r="517" spans="1:72">
      <c r="A517" s="2894"/>
      <c r="B517" s="2895"/>
      <c r="C517" s="2895"/>
      <c r="D517" s="2907"/>
      <c r="E517" s="2897">
        <f t="shared" si="323"/>
        <v>0</v>
      </c>
      <c r="F517" s="2898"/>
      <c r="G517" s="2899">
        <f t="shared" si="327"/>
        <v>0</v>
      </c>
      <c r="H517" s="2900">
        <f t="shared" si="328"/>
        <v>0</v>
      </c>
      <c r="I517" s="2918"/>
      <c r="J517" s="2918"/>
      <c r="K517" s="2918"/>
      <c r="L517" s="2918"/>
      <c r="M517" s="2918"/>
      <c r="N517" s="2918"/>
      <c r="O517" s="2918"/>
      <c r="P517" s="2918"/>
      <c r="Q517" s="2918"/>
      <c r="R517" s="2918"/>
      <c r="S517" s="2918"/>
      <c r="T517" s="2918"/>
      <c r="U517" s="2918"/>
      <c r="V517" s="2918"/>
      <c r="W517" s="2918"/>
      <c r="X517" s="2918"/>
      <c r="Y517" s="2918"/>
      <c r="Z517" s="2918"/>
      <c r="AA517" s="2918"/>
      <c r="AB517" s="2918"/>
      <c r="AC517" s="2897">
        <f t="shared" si="329"/>
        <v>0</v>
      </c>
      <c r="AD517" s="2929"/>
      <c r="AE517" s="2929"/>
      <c r="AF517" s="2929"/>
      <c r="AG517" s="2929"/>
      <c r="AH517" s="2929"/>
      <c r="AI517" s="2929"/>
      <c r="AJ517" s="2929"/>
      <c r="AK517" s="2929"/>
      <c r="AL517" s="2929"/>
      <c r="AM517" s="2929"/>
      <c r="AN517" s="2929"/>
      <c r="AO517" s="2929"/>
      <c r="AP517" s="2929"/>
      <c r="AQ517" s="2929"/>
      <c r="AR517" s="2929"/>
      <c r="AS517" s="2929"/>
      <c r="AT517" s="2949"/>
      <c r="AU517" s="2950"/>
      <c r="AV517" s="454">
        <f t="shared" si="324"/>
        <v>0</v>
      </c>
      <c r="AW517" s="454">
        <f t="shared" si="325"/>
        <v>0</v>
      </c>
      <c r="AX517" s="454">
        <f t="shared" si="326"/>
        <v>0</v>
      </c>
      <c r="AY517" s="2966">
        <f t="shared" si="330"/>
        <v>0</v>
      </c>
      <c r="AZ517" s="2897">
        <f t="shared" si="331"/>
        <v>0</v>
      </c>
      <c r="BA517" s="2897">
        <f t="shared" si="332"/>
        <v>0</v>
      </c>
      <c r="BB517" s="2897">
        <f t="shared" si="333"/>
        <v>0</v>
      </c>
      <c r="BC517" s="2897">
        <f t="shared" si="334"/>
        <v>0</v>
      </c>
      <c r="BD517" s="2897">
        <f t="shared" si="335"/>
        <v>0</v>
      </c>
      <c r="BE517" s="2897">
        <f t="shared" si="336"/>
        <v>0</v>
      </c>
      <c r="BF517" s="2897">
        <f t="shared" si="337"/>
        <v>0</v>
      </c>
      <c r="BG517" s="2897">
        <f t="shared" si="338"/>
        <v>0</v>
      </c>
      <c r="BH517" s="2897">
        <f t="shared" si="339"/>
        <v>0</v>
      </c>
      <c r="BI517" s="2897">
        <f t="shared" si="340"/>
        <v>0</v>
      </c>
      <c r="BJ517" s="2897">
        <f t="shared" si="341"/>
        <v>0</v>
      </c>
      <c r="BK517" s="2897">
        <f t="shared" si="342"/>
        <v>0</v>
      </c>
      <c r="BL517" s="2897">
        <f t="shared" si="343"/>
        <v>0</v>
      </c>
      <c r="BM517" s="2897">
        <f t="shared" si="344"/>
        <v>0</v>
      </c>
      <c r="BN517" s="2897">
        <f t="shared" si="345"/>
        <v>0</v>
      </c>
      <c r="BO517" s="2897">
        <f t="shared" si="346"/>
        <v>0</v>
      </c>
      <c r="BP517" s="2897">
        <f t="shared" si="347"/>
        <v>0</v>
      </c>
      <c r="BQ517" s="2897">
        <f t="shared" si="348"/>
        <v>0</v>
      </c>
      <c r="BR517" s="2897">
        <f t="shared" si="349"/>
        <v>0</v>
      </c>
      <c r="BS517" s="2897">
        <f t="shared" si="350"/>
        <v>0</v>
      </c>
      <c r="BT517" s="2971">
        <f t="shared" si="351"/>
        <v>0</v>
      </c>
    </row>
    <row r="518" spans="1:72">
      <c r="A518" s="2894"/>
      <c r="B518" s="2895"/>
      <c r="C518" s="2895"/>
      <c r="D518" s="2907"/>
      <c r="E518" s="2897">
        <f t="shared" si="323"/>
        <v>0</v>
      </c>
      <c r="F518" s="2898"/>
      <c r="G518" s="2899">
        <f t="shared" si="327"/>
        <v>0</v>
      </c>
      <c r="H518" s="2900">
        <f t="shared" si="328"/>
        <v>0</v>
      </c>
      <c r="I518" s="2918"/>
      <c r="J518" s="2918"/>
      <c r="K518" s="2918"/>
      <c r="L518" s="2918"/>
      <c r="M518" s="2918"/>
      <c r="N518" s="2918"/>
      <c r="O518" s="2918"/>
      <c r="P518" s="2918"/>
      <c r="Q518" s="2918"/>
      <c r="R518" s="2918"/>
      <c r="S518" s="2918"/>
      <c r="T518" s="2918"/>
      <c r="U518" s="2918"/>
      <c r="V518" s="2918"/>
      <c r="W518" s="2918"/>
      <c r="X518" s="2918"/>
      <c r="Y518" s="2918"/>
      <c r="Z518" s="2918"/>
      <c r="AA518" s="2918"/>
      <c r="AB518" s="2918"/>
      <c r="AC518" s="2897">
        <f t="shared" si="329"/>
        <v>0</v>
      </c>
      <c r="AD518" s="2929"/>
      <c r="AE518" s="2929"/>
      <c r="AF518" s="2929"/>
      <c r="AG518" s="2929"/>
      <c r="AH518" s="2929"/>
      <c r="AI518" s="2929"/>
      <c r="AJ518" s="2929"/>
      <c r="AK518" s="2929"/>
      <c r="AL518" s="2929"/>
      <c r="AM518" s="2929"/>
      <c r="AN518" s="2929"/>
      <c r="AO518" s="2929"/>
      <c r="AP518" s="2929"/>
      <c r="AQ518" s="2929"/>
      <c r="AR518" s="2929"/>
      <c r="AS518" s="2929"/>
      <c r="AT518" s="2949"/>
      <c r="AU518" s="2950"/>
      <c r="AV518" s="454">
        <f t="shared" si="324"/>
        <v>0</v>
      </c>
      <c r="AW518" s="454">
        <f t="shared" si="325"/>
        <v>0</v>
      </c>
      <c r="AX518" s="454">
        <f t="shared" si="326"/>
        <v>0</v>
      </c>
      <c r="AY518" s="2966">
        <f t="shared" si="330"/>
        <v>0</v>
      </c>
      <c r="AZ518" s="2897">
        <f t="shared" si="331"/>
        <v>0</v>
      </c>
      <c r="BA518" s="2897">
        <f t="shared" si="332"/>
        <v>0</v>
      </c>
      <c r="BB518" s="2897">
        <f t="shared" si="333"/>
        <v>0</v>
      </c>
      <c r="BC518" s="2897">
        <f t="shared" si="334"/>
        <v>0</v>
      </c>
      <c r="BD518" s="2897">
        <f t="shared" si="335"/>
        <v>0</v>
      </c>
      <c r="BE518" s="2897">
        <f t="shared" si="336"/>
        <v>0</v>
      </c>
      <c r="BF518" s="2897">
        <f t="shared" si="337"/>
        <v>0</v>
      </c>
      <c r="BG518" s="2897">
        <f t="shared" si="338"/>
        <v>0</v>
      </c>
      <c r="BH518" s="2897">
        <f t="shared" si="339"/>
        <v>0</v>
      </c>
      <c r="BI518" s="2897">
        <f t="shared" si="340"/>
        <v>0</v>
      </c>
      <c r="BJ518" s="2897">
        <f t="shared" si="341"/>
        <v>0</v>
      </c>
      <c r="BK518" s="2897">
        <f t="shared" si="342"/>
        <v>0</v>
      </c>
      <c r="BL518" s="2897">
        <f t="shared" si="343"/>
        <v>0</v>
      </c>
      <c r="BM518" s="2897">
        <f t="shared" si="344"/>
        <v>0</v>
      </c>
      <c r="BN518" s="2897">
        <f t="shared" si="345"/>
        <v>0</v>
      </c>
      <c r="BO518" s="2897">
        <f t="shared" si="346"/>
        <v>0</v>
      </c>
      <c r="BP518" s="2897">
        <f t="shared" si="347"/>
        <v>0</v>
      </c>
      <c r="BQ518" s="2897">
        <f t="shared" si="348"/>
        <v>0</v>
      </c>
      <c r="BR518" s="2897">
        <f t="shared" si="349"/>
        <v>0</v>
      </c>
      <c r="BS518" s="2897">
        <f t="shared" si="350"/>
        <v>0</v>
      </c>
      <c r="BT518" s="2971">
        <f t="shared" si="351"/>
        <v>0</v>
      </c>
    </row>
    <row r="519" spans="1:72">
      <c r="A519" s="2894"/>
      <c r="B519" s="2895"/>
      <c r="C519" s="2895"/>
      <c r="D519" s="2907"/>
      <c r="E519" s="2897">
        <f t="shared" si="323"/>
        <v>0</v>
      </c>
      <c r="F519" s="2898"/>
      <c r="G519" s="2899">
        <f t="shared" si="327"/>
        <v>0</v>
      </c>
      <c r="H519" s="2900">
        <f t="shared" si="328"/>
        <v>0</v>
      </c>
      <c r="I519" s="2918"/>
      <c r="J519" s="2918"/>
      <c r="K519" s="2918"/>
      <c r="L519" s="2918"/>
      <c r="M519" s="2918"/>
      <c r="N519" s="2918"/>
      <c r="O519" s="2918"/>
      <c r="P519" s="2918"/>
      <c r="Q519" s="2918"/>
      <c r="R519" s="2918"/>
      <c r="S519" s="2918"/>
      <c r="T519" s="2918"/>
      <c r="U519" s="2918"/>
      <c r="V519" s="2918"/>
      <c r="W519" s="2918"/>
      <c r="X519" s="2918"/>
      <c r="Y519" s="2918"/>
      <c r="Z519" s="2918"/>
      <c r="AA519" s="2918"/>
      <c r="AB519" s="2918"/>
      <c r="AC519" s="2897">
        <f t="shared" si="329"/>
        <v>0</v>
      </c>
      <c r="AD519" s="2929"/>
      <c r="AE519" s="2929"/>
      <c r="AF519" s="2929"/>
      <c r="AG519" s="2929"/>
      <c r="AH519" s="2929"/>
      <c r="AI519" s="2929"/>
      <c r="AJ519" s="2929"/>
      <c r="AK519" s="2929"/>
      <c r="AL519" s="2929"/>
      <c r="AM519" s="2929"/>
      <c r="AN519" s="2929"/>
      <c r="AO519" s="2929"/>
      <c r="AP519" s="2929"/>
      <c r="AQ519" s="2929"/>
      <c r="AR519" s="2929"/>
      <c r="AS519" s="2929"/>
      <c r="AT519" s="2949"/>
      <c r="AU519" s="2950"/>
      <c r="AV519" s="454">
        <f t="shared" si="324"/>
        <v>0</v>
      </c>
      <c r="AW519" s="454">
        <f t="shared" si="325"/>
        <v>0</v>
      </c>
      <c r="AX519" s="454">
        <f t="shared" si="326"/>
        <v>0</v>
      </c>
      <c r="AY519" s="2966">
        <f t="shared" si="330"/>
        <v>0</v>
      </c>
      <c r="AZ519" s="2897">
        <f t="shared" si="331"/>
        <v>0</v>
      </c>
      <c r="BA519" s="2897">
        <f t="shared" si="332"/>
        <v>0</v>
      </c>
      <c r="BB519" s="2897">
        <f t="shared" si="333"/>
        <v>0</v>
      </c>
      <c r="BC519" s="2897">
        <f t="shared" si="334"/>
        <v>0</v>
      </c>
      <c r="BD519" s="2897">
        <f t="shared" si="335"/>
        <v>0</v>
      </c>
      <c r="BE519" s="2897">
        <f t="shared" si="336"/>
        <v>0</v>
      </c>
      <c r="BF519" s="2897">
        <f t="shared" si="337"/>
        <v>0</v>
      </c>
      <c r="BG519" s="2897">
        <f t="shared" si="338"/>
        <v>0</v>
      </c>
      <c r="BH519" s="2897">
        <f t="shared" si="339"/>
        <v>0</v>
      </c>
      <c r="BI519" s="2897">
        <f t="shared" si="340"/>
        <v>0</v>
      </c>
      <c r="BJ519" s="2897">
        <f t="shared" si="341"/>
        <v>0</v>
      </c>
      <c r="BK519" s="2897">
        <f t="shared" si="342"/>
        <v>0</v>
      </c>
      <c r="BL519" s="2897">
        <f t="shared" si="343"/>
        <v>0</v>
      </c>
      <c r="BM519" s="2897">
        <f t="shared" si="344"/>
        <v>0</v>
      </c>
      <c r="BN519" s="2897">
        <f t="shared" si="345"/>
        <v>0</v>
      </c>
      <c r="BO519" s="2897">
        <f t="shared" si="346"/>
        <v>0</v>
      </c>
      <c r="BP519" s="2897">
        <f t="shared" si="347"/>
        <v>0</v>
      </c>
      <c r="BQ519" s="2897">
        <f t="shared" si="348"/>
        <v>0</v>
      </c>
      <c r="BR519" s="2897">
        <f t="shared" si="349"/>
        <v>0</v>
      </c>
      <c r="BS519" s="2897">
        <f t="shared" si="350"/>
        <v>0</v>
      </c>
      <c r="BT519" s="2971">
        <f t="shared" si="351"/>
        <v>0</v>
      </c>
    </row>
    <row r="520" spans="1:72">
      <c r="A520" s="2894"/>
      <c r="B520" s="2895"/>
      <c r="C520" s="2895"/>
      <c r="D520" s="2907"/>
      <c r="E520" s="2897">
        <f t="shared" si="323"/>
        <v>0</v>
      </c>
      <c r="F520" s="2898"/>
      <c r="G520" s="2899">
        <f t="shared" si="327"/>
        <v>0</v>
      </c>
      <c r="H520" s="2900">
        <f t="shared" si="328"/>
        <v>0</v>
      </c>
      <c r="I520" s="2918"/>
      <c r="J520" s="2918"/>
      <c r="K520" s="2918"/>
      <c r="L520" s="2918"/>
      <c r="M520" s="2918"/>
      <c r="N520" s="2918"/>
      <c r="O520" s="2918"/>
      <c r="P520" s="2918"/>
      <c r="Q520" s="2918"/>
      <c r="R520" s="2918"/>
      <c r="S520" s="2918"/>
      <c r="T520" s="2918"/>
      <c r="U520" s="2918"/>
      <c r="V520" s="2918"/>
      <c r="W520" s="2918"/>
      <c r="X520" s="2918"/>
      <c r="Y520" s="2918"/>
      <c r="Z520" s="2918"/>
      <c r="AA520" s="2918"/>
      <c r="AB520" s="2918"/>
      <c r="AC520" s="2897">
        <f t="shared" si="329"/>
        <v>0</v>
      </c>
      <c r="AD520" s="2929"/>
      <c r="AE520" s="2929"/>
      <c r="AF520" s="2929"/>
      <c r="AG520" s="2929"/>
      <c r="AH520" s="2929"/>
      <c r="AI520" s="2929"/>
      <c r="AJ520" s="2929"/>
      <c r="AK520" s="2929"/>
      <c r="AL520" s="2929"/>
      <c r="AM520" s="2929"/>
      <c r="AN520" s="2929"/>
      <c r="AO520" s="2929"/>
      <c r="AP520" s="2929"/>
      <c r="AQ520" s="2929"/>
      <c r="AR520" s="2929"/>
      <c r="AS520" s="2929"/>
      <c r="AT520" s="2949"/>
      <c r="AU520" s="2950"/>
      <c r="AV520" s="454">
        <f t="shared" si="324"/>
        <v>0</v>
      </c>
      <c r="AW520" s="454">
        <f t="shared" si="325"/>
        <v>0</v>
      </c>
      <c r="AX520" s="454">
        <f t="shared" si="326"/>
        <v>0</v>
      </c>
      <c r="AY520" s="2966">
        <f t="shared" si="330"/>
        <v>0</v>
      </c>
      <c r="AZ520" s="2897">
        <f t="shared" si="331"/>
        <v>0</v>
      </c>
      <c r="BA520" s="2897">
        <f t="shared" si="332"/>
        <v>0</v>
      </c>
      <c r="BB520" s="2897">
        <f t="shared" si="333"/>
        <v>0</v>
      </c>
      <c r="BC520" s="2897">
        <f t="shared" si="334"/>
        <v>0</v>
      </c>
      <c r="BD520" s="2897">
        <f t="shared" si="335"/>
        <v>0</v>
      </c>
      <c r="BE520" s="2897">
        <f t="shared" si="336"/>
        <v>0</v>
      </c>
      <c r="BF520" s="2897">
        <f t="shared" si="337"/>
        <v>0</v>
      </c>
      <c r="BG520" s="2897">
        <f t="shared" si="338"/>
        <v>0</v>
      </c>
      <c r="BH520" s="2897">
        <f t="shared" si="339"/>
        <v>0</v>
      </c>
      <c r="BI520" s="2897">
        <f t="shared" si="340"/>
        <v>0</v>
      </c>
      <c r="BJ520" s="2897">
        <f t="shared" si="341"/>
        <v>0</v>
      </c>
      <c r="BK520" s="2897">
        <f t="shared" si="342"/>
        <v>0</v>
      </c>
      <c r="BL520" s="2897">
        <f t="shared" si="343"/>
        <v>0</v>
      </c>
      <c r="BM520" s="2897">
        <f t="shared" si="344"/>
        <v>0</v>
      </c>
      <c r="BN520" s="2897">
        <f t="shared" si="345"/>
        <v>0</v>
      </c>
      <c r="BO520" s="2897">
        <f t="shared" si="346"/>
        <v>0</v>
      </c>
      <c r="BP520" s="2897">
        <f t="shared" si="347"/>
        <v>0</v>
      </c>
      <c r="BQ520" s="2897">
        <f t="shared" si="348"/>
        <v>0</v>
      </c>
      <c r="BR520" s="2897">
        <f t="shared" si="349"/>
        <v>0</v>
      </c>
      <c r="BS520" s="2897">
        <f t="shared" si="350"/>
        <v>0</v>
      </c>
      <c r="BT520" s="2971">
        <f t="shared" si="351"/>
        <v>0</v>
      </c>
    </row>
    <row r="521" spans="1:72">
      <c r="A521" s="2894"/>
      <c r="B521" s="2895"/>
      <c r="C521" s="2895"/>
      <c r="D521" s="2907"/>
      <c r="E521" s="2897">
        <f t="shared" si="323"/>
        <v>0</v>
      </c>
      <c r="F521" s="2898"/>
      <c r="G521" s="2899">
        <f t="shared" si="327"/>
        <v>0</v>
      </c>
      <c r="H521" s="2900">
        <f t="shared" si="328"/>
        <v>0</v>
      </c>
      <c r="I521" s="2918"/>
      <c r="J521" s="2918"/>
      <c r="K521" s="2918"/>
      <c r="L521" s="2918"/>
      <c r="M521" s="2918"/>
      <c r="N521" s="2918"/>
      <c r="O521" s="2918"/>
      <c r="P521" s="2918"/>
      <c r="Q521" s="2918"/>
      <c r="R521" s="2918"/>
      <c r="S521" s="2918"/>
      <c r="T521" s="2918"/>
      <c r="U521" s="2918"/>
      <c r="V521" s="2918"/>
      <c r="W521" s="2918"/>
      <c r="X521" s="2918"/>
      <c r="Y521" s="2918"/>
      <c r="Z521" s="2918"/>
      <c r="AA521" s="2918"/>
      <c r="AB521" s="2918"/>
      <c r="AC521" s="2897">
        <f t="shared" si="329"/>
        <v>0</v>
      </c>
      <c r="AD521" s="2929"/>
      <c r="AE521" s="2929"/>
      <c r="AF521" s="2929"/>
      <c r="AG521" s="2929"/>
      <c r="AH521" s="2929"/>
      <c r="AI521" s="2929"/>
      <c r="AJ521" s="2929"/>
      <c r="AK521" s="2929"/>
      <c r="AL521" s="2929"/>
      <c r="AM521" s="2929"/>
      <c r="AN521" s="2929"/>
      <c r="AO521" s="2929"/>
      <c r="AP521" s="2929"/>
      <c r="AQ521" s="2929"/>
      <c r="AR521" s="2929"/>
      <c r="AS521" s="2929"/>
      <c r="AT521" s="2949"/>
      <c r="AU521" s="2950"/>
      <c r="AV521" s="454">
        <f t="shared" si="324"/>
        <v>0</v>
      </c>
      <c r="AW521" s="454">
        <f t="shared" si="325"/>
        <v>0</v>
      </c>
      <c r="AX521" s="454">
        <f t="shared" si="326"/>
        <v>0</v>
      </c>
      <c r="AY521" s="2966">
        <f t="shared" si="330"/>
        <v>0</v>
      </c>
      <c r="AZ521" s="2897">
        <f t="shared" si="331"/>
        <v>0</v>
      </c>
      <c r="BA521" s="2897">
        <f t="shared" si="332"/>
        <v>0</v>
      </c>
      <c r="BB521" s="2897">
        <f t="shared" si="333"/>
        <v>0</v>
      </c>
      <c r="BC521" s="2897">
        <f t="shared" si="334"/>
        <v>0</v>
      </c>
      <c r="BD521" s="2897">
        <f t="shared" si="335"/>
        <v>0</v>
      </c>
      <c r="BE521" s="2897">
        <f t="shared" si="336"/>
        <v>0</v>
      </c>
      <c r="BF521" s="2897">
        <f t="shared" si="337"/>
        <v>0</v>
      </c>
      <c r="BG521" s="2897">
        <f t="shared" si="338"/>
        <v>0</v>
      </c>
      <c r="BH521" s="2897">
        <f t="shared" si="339"/>
        <v>0</v>
      </c>
      <c r="BI521" s="2897">
        <f t="shared" si="340"/>
        <v>0</v>
      </c>
      <c r="BJ521" s="2897">
        <f t="shared" si="341"/>
        <v>0</v>
      </c>
      <c r="BK521" s="2897">
        <f t="shared" si="342"/>
        <v>0</v>
      </c>
      <c r="BL521" s="2897">
        <f t="shared" si="343"/>
        <v>0</v>
      </c>
      <c r="BM521" s="2897">
        <f t="shared" si="344"/>
        <v>0</v>
      </c>
      <c r="BN521" s="2897">
        <f t="shared" si="345"/>
        <v>0</v>
      </c>
      <c r="BO521" s="2897">
        <f t="shared" si="346"/>
        <v>0</v>
      </c>
      <c r="BP521" s="2897">
        <f t="shared" si="347"/>
        <v>0</v>
      </c>
      <c r="BQ521" s="2897">
        <f t="shared" si="348"/>
        <v>0</v>
      </c>
      <c r="BR521" s="2897">
        <f t="shared" si="349"/>
        <v>0</v>
      </c>
      <c r="BS521" s="2897">
        <f t="shared" si="350"/>
        <v>0</v>
      </c>
      <c r="BT521" s="2971">
        <f t="shared" si="351"/>
        <v>0</v>
      </c>
    </row>
    <row r="522" spans="1:72">
      <c r="A522" s="2894"/>
      <c r="B522" s="2895"/>
      <c r="C522" s="2895"/>
      <c r="D522" s="2907"/>
      <c r="E522" s="2897">
        <f t="shared" si="323"/>
        <v>0</v>
      </c>
      <c r="F522" s="2898"/>
      <c r="G522" s="2899">
        <f t="shared" si="327"/>
        <v>0</v>
      </c>
      <c r="H522" s="2900">
        <f t="shared" si="328"/>
        <v>0</v>
      </c>
      <c r="I522" s="2918"/>
      <c r="J522" s="2918"/>
      <c r="K522" s="2918"/>
      <c r="L522" s="2918"/>
      <c r="M522" s="2918"/>
      <c r="N522" s="2918"/>
      <c r="O522" s="2918"/>
      <c r="P522" s="2918"/>
      <c r="Q522" s="2918"/>
      <c r="R522" s="2918"/>
      <c r="S522" s="2918"/>
      <c r="T522" s="2918"/>
      <c r="U522" s="2918"/>
      <c r="V522" s="2918"/>
      <c r="W522" s="2918"/>
      <c r="X522" s="2918"/>
      <c r="Y522" s="2918"/>
      <c r="Z522" s="2918"/>
      <c r="AA522" s="2918"/>
      <c r="AB522" s="2918"/>
      <c r="AC522" s="2897">
        <f t="shared" si="329"/>
        <v>0</v>
      </c>
      <c r="AD522" s="2929"/>
      <c r="AE522" s="2929"/>
      <c r="AF522" s="2929"/>
      <c r="AG522" s="2929"/>
      <c r="AH522" s="2929"/>
      <c r="AI522" s="2929"/>
      <c r="AJ522" s="2929"/>
      <c r="AK522" s="2929"/>
      <c r="AL522" s="2929"/>
      <c r="AM522" s="2929"/>
      <c r="AN522" s="2929"/>
      <c r="AO522" s="2929"/>
      <c r="AP522" s="2929"/>
      <c r="AQ522" s="2929"/>
      <c r="AR522" s="2929"/>
      <c r="AS522" s="2929"/>
      <c r="AT522" s="2949"/>
      <c r="AU522" s="2950"/>
      <c r="AV522" s="454">
        <f t="shared" si="324"/>
        <v>0</v>
      </c>
      <c r="AW522" s="454">
        <f t="shared" si="325"/>
        <v>0</v>
      </c>
      <c r="AX522" s="454">
        <f t="shared" si="326"/>
        <v>0</v>
      </c>
      <c r="AY522" s="2966">
        <f t="shared" si="330"/>
        <v>0</v>
      </c>
      <c r="AZ522" s="2897">
        <f t="shared" si="331"/>
        <v>0</v>
      </c>
      <c r="BA522" s="2897">
        <f t="shared" si="332"/>
        <v>0</v>
      </c>
      <c r="BB522" s="2897">
        <f t="shared" si="333"/>
        <v>0</v>
      </c>
      <c r="BC522" s="2897">
        <f t="shared" si="334"/>
        <v>0</v>
      </c>
      <c r="BD522" s="2897">
        <f t="shared" si="335"/>
        <v>0</v>
      </c>
      <c r="BE522" s="2897">
        <f t="shared" si="336"/>
        <v>0</v>
      </c>
      <c r="BF522" s="2897">
        <f t="shared" si="337"/>
        <v>0</v>
      </c>
      <c r="BG522" s="2897">
        <f t="shared" si="338"/>
        <v>0</v>
      </c>
      <c r="BH522" s="2897">
        <f t="shared" si="339"/>
        <v>0</v>
      </c>
      <c r="BI522" s="2897">
        <f t="shared" si="340"/>
        <v>0</v>
      </c>
      <c r="BJ522" s="2897">
        <f t="shared" si="341"/>
        <v>0</v>
      </c>
      <c r="BK522" s="2897">
        <f t="shared" si="342"/>
        <v>0</v>
      </c>
      <c r="BL522" s="2897">
        <f t="shared" si="343"/>
        <v>0</v>
      </c>
      <c r="BM522" s="2897">
        <f t="shared" si="344"/>
        <v>0</v>
      </c>
      <c r="BN522" s="2897">
        <f t="shared" si="345"/>
        <v>0</v>
      </c>
      <c r="BO522" s="2897">
        <f t="shared" si="346"/>
        <v>0</v>
      </c>
      <c r="BP522" s="2897">
        <f t="shared" si="347"/>
        <v>0</v>
      </c>
      <c r="BQ522" s="2897">
        <f t="shared" si="348"/>
        <v>0</v>
      </c>
      <c r="BR522" s="2897">
        <f t="shared" si="349"/>
        <v>0</v>
      </c>
      <c r="BS522" s="2897">
        <f t="shared" si="350"/>
        <v>0</v>
      </c>
      <c r="BT522" s="2971">
        <f t="shared" si="351"/>
        <v>0</v>
      </c>
    </row>
    <row r="523" spans="1:72">
      <c r="A523" s="2894"/>
      <c r="B523" s="2895"/>
      <c r="C523" s="2895"/>
      <c r="D523" s="2907"/>
      <c r="E523" s="2897">
        <f t="shared" si="323"/>
        <v>0</v>
      </c>
      <c r="F523" s="2898"/>
      <c r="G523" s="2899">
        <f t="shared" si="327"/>
        <v>0</v>
      </c>
      <c r="H523" s="2900">
        <f t="shared" si="328"/>
        <v>0</v>
      </c>
      <c r="I523" s="2918"/>
      <c r="J523" s="2918"/>
      <c r="K523" s="2918"/>
      <c r="L523" s="2918"/>
      <c r="M523" s="2918"/>
      <c r="N523" s="2918"/>
      <c r="O523" s="2918"/>
      <c r="P523" s="2918"/>
      <c r="Q523" s="2918"/>
      <c r="R523" s="2918"/>
      <c r="S523" s="2918"/>
      <c r="T523" s="2918"/>
      <c r="U523" s="2918"/>
      <c r="V523" s="2918"/>
      <c r="W523" s="2918"/>
      <c r="X523" s="2918"/>
      <c r="Y523" s="2918"/>
      <c r="Z523" s="2918"/>
      <c r="AA523" s="2918"/>
      <c r="AB523" s="2918"/>
      <c r="AC523" s="2897">
        <f t="shared" si="329"/>
        <v>0</v>
      </c>
      <c r="AD523" s="2929"/>
      <c r="AE523" s="2929"/>
      <c r="AF523" s="2929"/>
      <c r="AG523" s="2929"/>
      <c r="AH523" s="2929"/>
      <c r="AI523" s="2929"/>
      <c r="AJ523" s="2929"/>
      <c r="AK523" s="2929"/>
      <c r="AL523" s="2929"/>
      <c r="AM523" s="2929"/>
      <c r="AN523" s="2929"/>
      <c r="AO523" s="2929"/>
      <c r="AP523" s="2929"/>
      <c r="AQ523" s="2929"/>
      <c r="AR523" s="2929"/>
      <c r="AS523" s="2929"/>
      <c r="AT523" s="2949"/>
      <c r="AU523" s="2950"/>
      <c r="AV523" s="454">
        <f t="shared" si="324"/>
        <v>0</v>
      </c>
      <c r="AW523" s="454">
        <f t="shared" si="325"/>
        <v>0</v>
      </c>
      <c r="AX523" s="454">
        <f t="shared" si="326"/>
        <v>0</v>
      </c>
      <c r="AY523" s="2966">
        <f t="shared" si="330"/>
        <v>0</v>
      </c>
      <c r="AZ523" s="2897">
        <f t="shared" si="331"/>
        <v>0</v>
      </c>
      <c r="BA523" s="2897">
        <f t="shared" si="332"/>
        <v>0</v>
      </c>
      <c r="BB523" s="2897">
        <f t="shared" si="333"/>
        <v>0</v>
      </c>
      <c r="BC523" s="2897">
        <f t="shared" si="334"/>
        <v>0</v>
      </c>
      <c r="BD523" s="2897">
        <f t="shared" si="335"/>
        <v>0</v>
      </c>
      <c r="BE523" s="2897">
        <f t="shared" si="336"/>
        <v>0</v>
      </c>
      <c r="BF523" s="2897">
        <f t="shared" si="337"/>
        <v>0</v>
      </c>
      <c r="BG523" s="2897">
        <f t="shared" si="338"/>
        <v>0</v>
      </c>
      <c r="BH523" s="2897">
        <f t="shared" si="339"/>
        <v>0</v>
      </c>
      <c r="BI523" s="2897">
        <f t="shared" si="340"/>
        <v>0</v>
      </c>
      <c r="BJ523" s="2897">
        <f t="shared" si="341"/>
        <v>0</v>
      </c>
      <c r="BK523" s="2897">
        <f t="shared" si="342"/>
        <v>0</v>
      </c>
      <c r="BL523" s="2897">
        <f t="shared" si="343"/>
        <v>0</v>
      </c>
      <c r="BM523" s="2897">
        <f t="shared" si="344"/>
        <v>0</v>
      </c>
      <c r="BN523" s="2897">
        <f t="shared" si="345"/>
        <v>0</v>
      </c>
      <c r="BO523" s="2897">
        <f t="shared" si="346"/>
        <v>0</v>
      </c>
      <c r="BP523" s="2897">
        <f t="shared" si="347"/>
        <v>0</v>
      </c>
      <c r="BQ523" s="2897">
        <f t="shared" si="348"/>
        <v>0</v>
      </c>
      <c r="BR523" s="2897">
        <f t="shared" si="349"/>
        <v>0</v>
      </c>
      <c r="BS523" s="2897">
        <f t="shared" si="350"/>
        <v>0</v>
      </c>
      <c r="BT523" s="2971">
        <f t="shared" si="351"/>
        <v>0</v>
      </c>
    </row>
    <row r="524" spans="1:72">
      <c r="A524" s="2894"/>
      <c r="B524" s="2895"/>
      <c r="C524" s="2895"/>
      <c r="D524" s="2907"/>
      <c r="E524" s="2897">
        <f t="shared" si="323"/>
        <v>0</v>
      </c>
      <c r="F524" s="2898"/>
      <c r="G524" s="2899">
        <f t="shared" si="327"/>
        <v>0</v>
      </c>
      <c r="H524" s="2900">
        <f t="shared" si="328"/>
        <v>0</v>
      </c>
      <c r="I524" s="2918"/>
      <c r="J524" s="2918"/>
      <c r="K524" s="2918"/>
      <c r="L524" s="2918"/>
      <c r="M524" s="2918"/>
      <c r="N524" s="2918"/>
      <c r="O524" s="2918"/>
      <c r="P524" s="2918"/>
      <c r="Q524" s="2918"/>
      <c r="R524" s="2918"/>
      <c r="S524" s="2918"/>
      <c r="T524" s="2918"/>
      <c r="U524" s="2918"/>
      <c r="V524" s="2918"/>
      <c r="W524" s="2918"/>
      <c r="X524" s="2918"/>
      <c r="Y524" s="2918"/>
      <c r="Z524" s="2918"/>
      <c r="AA524" s="2918"/>
      <c r="AB524" s="2918"/>
      <c r="AC524" s="2897">
        <f t="shared" si="329"/>
        <v>0</v>
      </c>
      <c r="AD524" s="2929"/>
      <c r="AE524" s="2929"/>
      <c r="AF524" s="2929"/>
      <c r="AG524" s="2929"/>
      <c r="AH524" s="2929"/>
      <c r="AI524" s="2929"/>
      <c r="AJ524" s="2929"/>
      <c r="AK524" s="2929"/>
      <c r="AL524" s="2929"/>
      <c r="AM524" s="2929"/>
      <c r="AN524" s="2929"/>
      <c r="AO524" s="2929"/>
      <c r="AP524" s="2929"/>
      <c r="AQ524" s="2929"/>
      <c r="AR524" s="2929"/>
      <c r="AS524" s="2929"/>
      <c r="AT524" s="2949"/>
      <c r="AU524" s="2950"/>
      <c r="AV524" s="454">
        <f t="shared" si="324"/>
        <v>0</v>
      </c>
      <c r="AW524" s="454">
        <f t="shared" si="325"/>
        <v>0</v>
      </c>
      <c r="AX524" s="454">
        <f t="shared" si="326"/>
        <v>0</v>
      </c>
      <c r="AY524" s="2966">
        <f t="shared" si="330"/>
        <v>0</v>
      </c>
      <c r="AZ524" s="2897">
        <f t="shared" si="331"/>
        <v>0</v>
      </c>
      <c r="BA524" s="2897">
        <f t="shared" si="332"/>
        <v>0</v>
      </c>
      <c r="BB524" s="2897">
        <f t="shared" si="333"/>
        <v>0</v>
      </c>
      <c r="BC524" s="2897">
        <f t="shared" si="334"/>
        <v>0</v>
      </c>
      <c r="BD524" s="2897">
        <f t="shared" si="335"/>
        <v>0</v>
      </c>
      <c r="BE524" s="2897">
        <f t="shared" si="336"/>
        <v>0</v>
      </c>
      <c r="BF524" s="2897">
        <f t="shared" si="337"/>
        <v>0</v>
      </c>
      <c r="BG524" s="2897">
        <f t="shared" si="338"/>
        <v>0</v>
      </c>
      <c r="BH524" s="2897">
        <f t="shared" si="339"/>
        <v>0</v>
      </c>
      <c r="BI524" s="2897">
        <f t="shared" si="340"/>
        <v>0</v>
      </c>
      <c r="BJ524" s="2897">
        <f t="shared" si="341"/>
        <v>0</v>
      </c>
      <c r="BK524" s="2897">
        <f t="shared" si="342"/>
        <v>0</v>
      </c>
      <c r="BL524" s="2897">
        <f t="shared" si="343"/>
        <v>0</v>
      </c>
      <c r="BM524" s="2897">
        <f t="shared" si="344"/>
        <v>0</v>
      </c>
      <c r="BN524" s="2897">
        <f t="shared" si="345"/>
        <v>0</v>
      </c>
      <c r="BO524" s="2897">
        <f t="shared" si="346"/>
        <v>0</v>
      </c>
      <c r="BP524" s="2897">
        <f t="shared" si="347"/>
        <v>0</v>
      </c>
      <c r="BQ524" s="2897">
        <f t="shared" si="348"/>
        <v>0</v>
      </c>
      <c r="BR524" s="2897">
        <f t="shared" si="349"/>
        <v>0</v>
      </c>
      <c r="BS524" s="2897">
        <f t="shared" si="350"/>
        <v>0</v>
      </c>
      <c r="BT524" s="2971">
        <f t="shared" si="351"/>
        <v>0</v>
      </c>
    </row>
    <row r="525" spans="1:72">
      <c r="A525" s="2894"/>
      <c r="B525" s="2895"/>
      <c r="C525" s="2895"/>
      <c r="D525" s="2907"/>
      <c r="E525" s="2897">
        <f t="shared" si="323"/>
        <v>0</v>
      </c>
      <c r="F525" s="2898"/>
      <c r="G525" s="2899">
        <f t="shared" si="327"/>
        <v>0</v>
      </c>
      <c r="H525" s="2900">
        <f t="shared" si="328"/>
        <v>0</v>
      </c>
      <c r="I525" s="2918"/>
      <c r="J525" s="2918"/>
      <c r="K525" s="2918"/>
      <c r="L525" s="2918"/>
      <c r="M525" s="2918"/>
      <c r="N525" s="2918"/>
      <c r="O525" s="2918"/>
      <c r="P525" s="2918"/>
      <c r="Q525" s="2918"/>
      <c r="R525" s="2918"/>
      <c r="S525" s="2918"/>
      <c r="T525" s="2918"/>
      <c r="U525" s="2918"/>
      <c r="V525" s="2918"/>
      <c r="W525" s="2918"/>
      <c r="X525" s="2918"/>
      <c r="Y525" s="2918"/>
      <c r="Z525" s="2918"/>
      <c r="AA525" s="2918"/>
      <c r="AB525" s="2918"/>
      <c r="AC525" s="2897">
        <f t="shared" si="329"/>
        <v>0</v>
      </c>
      <c r="AD525" s="2929"/>
      <c r="AE525" s="2929"/>
      <c r="AF525" s="2929"/>
      <c r="AG525" s="2929"/>
      <c r="AH525" s="2929"/>
      <c r="AI525" s="2929"/>
      <c r="AJ525" s="2929"/>
      <c r="AK525" s="2929"/>
      <c r="AL525" s="2929"/>
      <c r="AM525" s="2929"/>
      <c r="AN525" s="2929"/>
      <c r="AO525" s="2929"/>
      <c r="AP525" s="2929"/>
      <c r="AQ525" s="2929"/>
      <c r="AR525" s="2929"/>
      <c r="AS525" s="2929"/>
      <c r="AT525" s="2949"/>
      <c r="AU525" s="2950"/>
      <c r="AV525" s="454">
        <f t="shared" si="324"/>
        <v>0</v>
      </c>
      <c r="AW525" s="454">
        <f t="shared" si="325"/>
        <v>0</v>
      </c>
      <c r="AX525" s="454">
        <f t="shared" si="326"/>
        <v>0</v>
      </c>
      <c r="AY525" s="2966">
        <f t="shared" si="330"/>
        <v>0</v>
      </c>
      <c r="AZ525" s="2897">
        <f t="shared" si="331"/>
        <v>0</v>
      </c>
      <c r="BA525" s="2897">
        <f t="shared" si="332"/>
        <v>0</v>
      </c>
      <c r="BB525" s="2897">
        <f t="shared" si="333"/>
        <v>0</v>
      </c>
      <c r="BC525" s="2897">
        <f t="shared" si="334"/>
        <v>0</v>
      </c>
      <c r="BD525" s="2897">
        <f t="shared" si="335"/>
        <v>0</v>
      </c>
      <c r="BE525" s="2897">
        <f t="shared" si="336"/>
        <v>0</v>
      </c>
      <c r="BF525" s="2897">
        <f t="shared" si="337"/>
        <v>0</v>
      </c>
      <c r="BG525" s="2897">
        <f t="shared" si="338"/>
        <v>0</v>
      </c>
      <c r="BH525" s="2897">
        <f t="shared" si="339"/>
        <v>0</v>
      </c>
      <c r="BI525" s="2897">
        <f t="shared" si="340"/>
        <v>0</v>
      </c>
      <c r="BJ525" s="2897">
        <f t="shared" si="341"/>
        <v>0</v>
      </c>
      <c r="BK525" s="2897">
        <f t="shared" si="342"/>
        <v>0</v>
      </c>
      <c r="BL525" s="2897">
        <f t="shared" si="343"/>
        <v>0</v>
      </c>
      <c r="BM525" s="2897">
        <f t="shared" si="344"/>
        <v>0</v>
      </c>
      <c r="BN525" s="2897">
        <f t="shared" si="345"/>
        <v>0</v>
      </c>
      <c r="BO525" s="2897">
        <f t="shared" si="346"/>
        <v>0</v>
      </c>
      <c r="BP525" s="2897">
        <f t="shared" si="347"/>
        <v>0</v>
      </c>
      <c r="BQ525" s="2897">
        <f t="shared" si="348"/>
        <v>0</v>
      </c>
      <c r="BR525" s="2897">
        <f t="shared" si="349"/>
        <v>0</v>
      </c>
      <c r="BS525" s="2897">
        <f t="shared" si="350"/>
        <v>0</v>
      </c>
      <c r="BT525" s="2971">
        <f t="shared" si="351"/>
        <v>0</v>
      </c>
    </row>
    <row r="526" spans="1:72">
      <c r="A526" s="2894"/>
      <c r="B526" s="2895"/>
      <c r="C526" s="2895"/>
      <c r="D526" s="2907"/>
      <c r="E526" s="2897">
        <f t="shared" si="323"/>
        <v>0</v>
      </c>
      <c r="F526" s="2898"/>
      <c r="G526" s="2899">
        <f t="shared" si="327"/>
        <v>0</v>
      </c>
      <c r="H526" s="2900">
        <f t="shared" si="328"/>
        <v>0</v>
      </c>
      <c r="I526" s="2918"/>
      <c r="J526" s="2918"/>
      <c r="K526" s="2918"/>
      <c r="L526" s="2918"/>
      <c r="M526" s="2918"/>
      <c r="N526" s="2918"/>
      <c r="O526" s="2918"/>
      <c r="P526" s="2918"/>
      <c r="Q526" s="2918"/>
      <c r="R526" s="2918"/>
      <c r="S526" s="2918"/>
      <c r="T526" s="2918"/>
      <c r="U526" s="2918"/>
      <c r="V526" s="2918"/>
      <c r="W526" s="2918"/>
      <c r="X526" s="2918"/>
      <c r="Y526" s="2918"/>
      <c r="Z526" s="2918"/>
      <c r="AA526" s="2918"/>
      <c r="AB526" s="2918"/>
      <c r="AC526" s="2897">
        <f t="shared" si="329"/>
        <v>0</v>
      </c>
      <c r="AD526" s="2929"/>
      <c r="AE526" s="2929"/>
      <c r="AF526" s="2929"/>
      <c r="AG526" s="2929"/>
      <c r="AH526" s="2929"/>
      <c r="AI526" s="2929"/>
      <c r="AJ526" s="2929"/>
      <c r="AK526" s="2929"/>
      <c r="AL526" s="2929"/>
      <c r="AM526" s="2929"/>
      <c r="AN526" s="2929"/>
      <c r="AO526" s="2929"/>
      <c r="AP526" s="2929"/>
      <c r="AQ526" s="2929"/>
      <c r="AR526" s="2929"/>
      <c r="AS526" s="2929"/>
      <c r="AT526" s="2949"/>
      <c r="AU526" s="2950"/>
      <c r="AV526" s="454">
        <f t="shared" si="324"/>
        <v>0</v>
      </c>
      <c r="AW526" s="454">
        <f t="shared" si="325"/>
        <v>0</v>
      </c>
      <c r="AX526" s="454">
        <f t="shared" si="326"/>
        <v>0</v>
      </c>
      <c r="AY526" s="2966">
        <f t="shared" si="330"/>
        <v>0</v>
      </c>
      <c r="AZ526" s="2897">
        <f t="shared" si="331"/>
        <v>0</v>
      </c>
      <c r="BA526" s="2897">
        <f t="shared" si="332"/>
        <v>0</v>
      </c>
      <c r="BB526" s="2897">
        <f t="shared" si="333"/>
        <v>0</v>
      </c>
      <c r="BC526" s="2897">
        <f t="shared" si="334"/>
        <v>0</v>
      </c>
      <c r="BD526" s="2897">
        <f t="shared" si="335"/>
        <v>0</v>
      </c>
      <c r="BE526" s="2897">
        <f t="shared" si="336"/>
        <v>0</v>
      </c>
      <c r="BF526" s="2897">
        <f t="shared" si="337"/>
        <v>0</v>
      </c>
      <c r="BG526" s="2897">
        <f t="shared" si="338"/>
        <v>0</v>
      </c>
      <c r="BH526" s="2897">
        <f t="shared" si="339"/>
        <v>0</v>
      </c>
      <c r="BI526" s="2897">
        <f t="shared" si="340"/>
        <v>0</v>
      </c>
      <c r="BJ526" s="2897">
        <f t="shared" si="341"/>
        <v>0</v>
      </c>
      <c r="BK526" s="2897">
        <f t="shared" si="342"/>
        <v>0</v>
      </c>
      <c r="BL526" s="2897">
        <f t="shared" si="343"/>
        <v>0</v>
      </c>
      <c r="BM526" s="2897">
        <f t="shared" si="344"/>
        <v>0</v>
      </c>
      <c r="BN526" s="2897">
        <f t="shared" si="345"/>
        <v>0</v>
      </c>
      <c r="BO526" s="2897">
        <f t="shared" si="346"/>
        <v>0</v>
      </c>
      <c r="BP526" s="2897">
        <f t="shared" si="347"/>
        <v>0</v>
      </c>
      <c r="BQ526" s="2897">
        <f t="shared" si="348"/>
        <v>0</v>
      </c>
      <c r="BR526" s="2897">
        <f t="shared" si="349"/>
        <v>0</v>
      </c>
      <c r="BS526" s="2897">
        <f t="shared" si="350"/>
        <v>0</v>
      </c>
      <c r="BT526" s="2971">
        <f t="shared" si="351"/>
        <v>0</v>
      </c>
    </row>
    <row r="527" spans="1:72">
      <c r="A527" s="2894"/>
      <c r="B527" s="2895"/>
      <c r="C527" s="2895"/>
      <c r="D527" s="2907"/>
      <c r="E527" s="2897">
        <f t="shared" si="323"/>
        <v>0</v>
      </c>
      <c r="F527" s="2898"/>
      <c r="G527" s="2899">
        <f t="shared" si="327"/>
        <v>0</v>
      </c>
      <c r="H527" s="2900">
        <f t="shared" si="328"/>
        <v>0</v>
      </c>
      <c r="I527" s="2918"/>
      <c r="J527" s="2918"/>
      <c r="K527" s="2918"/>
      <c r="L527" s="2918"/>
      <c r="M527" s="2918"/>
      <c r="N527" s="2918"/>
      <c r="O527" s="2918"/>
      <c r="P527" s="2918"/>
      <c r="Q527" s="2918"/>
      <c r="R527" s="2918"/>
      <c r="S527" s="2918"/>
      <c r="T527" s="2918"/>
      <c r="U527" s="2918"/>
      <c r="V527" s="2918"/>
      <c r="W527" s="2918"/>
      <c r="X527" s="2918"/>
      <c r="Y527" s="2918"/>
      <c r="Z527" s="2918"/>
      <c r="AA527" s="2918"/>
      <c r="AB527" s="2918"/>
      <c r="AC527" s="2897">
        <f t="shared" si="329"/>
        <v>0</v>
      </c>
      <c r="AD527" s="2929"/>
      <c r="AE527" s="2929"/>
      <c r="AF527" s="2929"/>
      <c r="AG527" s="2929"/>
      <c r="AH527" s="2929"/>
      <c r="AI527" s="2929"/>
      <c r="AJ527" s="2929"/>
      <c r="AK527" s="2929"/>
      <c r="AL527" s="2929"/>
      <c r="AM527" s="2929"/>
      <c r="AN527" s="2929"/>
      <c r="AO527" s="2929"/>
      <c r="AP527" s="2929"/>
      <c r="AQ527" s="2929"/>
      <c r="AR527" s="2929"/>
      <c r="AS527" s="2929"/>
      <c r="AT527" s="2949"/>
      <c r="AU527" s="2950"/>
      <c r="AV527" s="454">
        <f t="shared" si="324"/>
        <v>0</v>
      </c>
      <c r="AW527" s="454">
        <f t="shared" si="325"/>
        <v>0</v>
      </c>
      <c r="AX527" s="454">
        <f t="shared" si="326"/>
        <v>0</v>
      </c>
      <c r="AY527" s="2966">
        <f t="shared" si="330"/>
        <v>0</v>
      </c>
      <c r="AZ527" s="2897">
        <f t="shared" si="331"/>
        <v>0</v>
      </c>
      <c r="BA527" s="2897">
        <f t="shared" si="332"/>
        <v>0</v>
      </c>
      <c r="BB527" s="2897">
        <f t="shared" si="333"/>
        <v>0</v>
      </c>
      <c r="BC527" s="2897">
        <f t="shared" si="334"/>
        <v>0</v>
      </c>
      <c r="BD527" s="2897">
        <f t="shared" si="335"/>
        <v>0</v>
      </c>
      <c r="BE527" s="2897">
        <f t="shared" si="336"/>
        <v>0</v>
      </c>
      <c r="BF527" s="2897">
        <f t="shared" si="337"/>
        <v>0</v>
      </c>
      <c r="BG527" s="2897">
        <f t="shared" si="338"/>
        <v>0</v>
      </c>
      <c r="BH527" s="2897">
        <f t="shared" si="339"/>
        <v>0</v>
      </c>
      <c r="BI527" s="2897">
        <f t="shared" si="340"/>
        <v>0</v>
      </c>
      <c r="BJ527" s="2897">
        <f t="shared" si="341"/>
        <v>0</v>
      </c>
      <c r="BK527" s="2897">
        <f t="shared" si="342"/>
        <v>0</v>
      </c>
      <c r="BL527" s="2897">
        <f t="shared" si="343"/>
        <v>0</v>
      </c>
      <c r="BM527" s="2897">
        <f t="shared" si="344"/>
        <v>0</v>
      </c>
      <c r="BN527" s="2897">
        <f t="shared" si="345"/>
        <v>0</v>
      </c>
      <c r="BO527" s="2897">
        <f t="shared" si="346"/>
        <v>0</v>
      </c>
      <c r="BP527" s="2897">
        <f t="shared" si="347"/>
        <v>0</v>
      </c>
      <c r="BQ527" s="2897">
        <f t="shared" si="348"/>
        <v>0</v>
      </c>
      <c r="BR527" s="2897">
        <f t="shared" si="349"/>
        <v>0</v>
      </c>
      <c r="BS527" s="2897">
        <f t="shared" si="350"/>
        <v>0</v>
      </c>
      <c r="BT527" s="2971">
        <f t="shared" si="351"/>
        <v>0</v>
      </c>
    </row>
    <row r="528" spans="1:72">
      <c r="A528" s="2894"/>
      <c r="B528" s="2895"/>
      <c r="C528" s="2895"/>
      <c r="D528" s="2907"/>
      <c r="E528" s="2897">
        <f t="shared" si="323"/>
        <v>0</v>
      </c>
      <c r="F528" s="2898"/>
      <c r="G528" s="2899">
        <f t="shared" si="327"/>
        <v>0</v>
      </c>
      <c r="H528" s="2900">
        <f t="shared" si="328"/>
        <v>0</v>
      </c>
      <c r="I528" s="2918"/>
      <c r="J528" s="2918"/>
      <c r="K528" s="2918"/>
      <c r="L528" s="2918"/>
      <c r="M528" s="2918"/>
      <c r="N528" s="2918"/>
      <c r="O528" s="2918"/>
      <c r="P528" s="2918"/>
      <c r="Q528" s="2918"/>
      <c r="R528" s="2918"/>
      <c r="S528" s="2918"/>
      <c r="T528" s="2918"/>
      <c r="U528" s="2918"/>
      <c r="V528" s="2918"/>
      <c r="W528" s="2918"/>
      <c r="X528" s="2918"/>
      <c r="Y528" s="2918"/>
      <c r="Z528" s="2918"/>
      <c r="AA528" s="2918"/>
      <c r="AB528" s="2918"/>
      <c r="AC528" s="2897">
        <f t="shared" si="329"/>
        <v>0</v>
      </c>
      <c r="AD528" s="2929"/>
      <c r="AE528" s="2929"/>
      <c r="AF528" s="2929"/>
      <c r="AG528" s="2929"/>
      <c r="AH528" s="2929"/>
      <c r="AI528" s="2929"/>
      <c r="AJ528" s="2929"/>
      <c r="AK528" s="2929"/>
      <c r="AL528" s="2929"/>
      <c r="AM528" s="2929"/>
      <c r="AN528" s="2929"/>
      <c r="AO528" s="2929"/>
      <c r="AP528" s="2929"/>
      <c r="AQ528" s="2929"/>
      <c r="AR528" s="2929"/>
      <c r="AS528" s="2929"/>
      <c r="AT528" s="2949"/>
      <c r="AU528" s="2950"/>
      <c r="AV528" s="454">
        <f t="shared" si="324"/>
        <v>0</v>
      </c>
      <c r="AW528" s="454">
        <f t="shared" si="325"/>
        <v>0</v>
      </c>
      <c r="AX528" s="454">
        <f t="shared" si="326"/>
        <v>0</v>
      </c>
      <c r="AY528" s="2966">
        <f t="shared" si="330"/>
        <v>0</v>
      </c>
      <c r="AZ528" s="2897">
        <f t="shared" si="331"/>
        <v>0</v>
      </c>
      <c r="BA528" s="2897">
        <f t="shared" si="332"/>
        <v>0</v>
      </c>
      <c r="BB528" s="2897">
        <f t="shared" si="333"/>
        <v>0</v>
      </c>
      <c r="BC528" s="2897">
        <f t="shared" si="334"/>
        <v>0</v>
      </c>
      <c r="BD528" s="2897">
        <f t="shared" si="335"/>
        <v>0</v>
      </c>
      <c r="BE528" s="2897">
        <f t="shared" si="336"/>
        <v>0</v>
      </c>
      <c r="BF528" s="2897">
        <f t="shared" si="337"/>
        <v>0</v>
      </c>
      <c r="BG528" s="2897">
        <f t="shared" si="338"/>
        <v>0</v>
      </c>
      <c r="BH528" s="2897">
        <f t="shared" si="339"/>
        <v>0</v>
      </c>
      <c r="BI528" s="2897">
        <f t="shared" si="340"/>
        <v>0</v>
      </c>
      <c r="BJ528" s="2897">
        <f t="shared" si="341"/>
        <v>0</v>
      </c>
      <c r="BK528" s="2897">
        <f t="shared" si="342"/>
        <v>0</v>
      </c>
      <c r="BL528" s="2897">
        <f t="shared" si="343"/>
        <v>0</v>
      </c>
      <c r="BM528" s="2897">
        <f t="shared" si="344"/>
        <v>0</v>
      </c>
      <c r="BN528" s="2897">
        <f t="shared" si="345"/>
        <v>0</v>
      </c>
      <c r="BO528" s="2897">
        <f t="shared" si="346"/>
        <v>0</v>
      </c>
      <c r="BP528" s="2897">
        <f t="shared" si="347"/>
        <v>0</v>
      </c>
      <c r="BQ528" s="2897">
        <f t="shared" si="348"/>
        <v>0</v>
      </c>
      <c r="BR528" s="2897">
        <f t="shared" si="349"/>
        <v>0</v>
      </c>
      <c r="BS528" s="2897">
        <f t="shared" si="350"/>
        <v>0</v>
      </c>
      <c r="BT528" s="2971">
        <f t="shared" si="351"/>
        <v>0</v>
      </c>
    </row>
    <row r="529" spans="1:72">
      <c r="A529" s="2894"/>
      <c r="B529" s="2895"/>
      <c r="C529" s="2895"/>
      <c r="D529" s="2907"/>
      <c r="E529" s="2897">
        <f t="shared" si="323"/>
        <v>0</v>
      </c>
      <c r="F529" s="2898"/>
      <c r="G529" s="2899">
        <f t="shared" si="327"/>
        <v>0</v>
      </c>
      <c r="H529" s="2900">
        <f t="shared" si="328"/>
        <v>0</v>
      </c>
      <c r="I529" s="2918"/>
      <c r="J529" s="2918"/>
      <c r="K529" s="2918"/>
      <c r="L529" s="2918"/>
      <c r="M529" s="2918"/>
      <c r="N529" s="2918"/>
      <c r="O529" s="2918"/>
      <c r="P529" s="2918"/>
      <c r="Q529" s="2918"/>
      <c r="R529" s="2918"/>
      <c r="S529" s="2918"/>
      <c r="T529" s="2918"/>
      <c r="U529" s="2918"/>
      <c r="V529" s="2918"/>
      <c r="W529" s="2918"/>
      <c r="X529" s="2918"/>
      <c r="Y529" s="2918"/>
      <c r="Z529" s="2918"/>
      <c r="AA529" s="2918"/>
      <c r="AB529" s="2918"/>
      <c r="AC529" s="2897">
        <f t="shared" si="329"/>
        <v>0</v>
      </c>
      <c r="AD529" s="2929"/>
      <c r="AE529" s="2929"/>
      <c r="AF529" s="2929"/>
      <c r="AG529" s="2929"/>
      <c r="AH529" s="2929"/>
      <c r="AI529" s="2929"/>
      <c r="AJ529" s="2929"/>
      <c r="AK529" s="2929"/>
      <c r="AL529" s="2929"/>
      <c r="AM529" s="2929"/>
      <c r="AN529" s="2929"/>
      <c r="AO529" s="2929"/>
      <c r="AP529" s="2929"/>
      <c r="AQ529" s="2929"/>
      <c r="AR529" s="2929"/>
      <c r="AS529" s="2929"/>
      <c r="AT529" s="2949"/>
      <c r="AU529" s="2950"/>
      <c r="AV529" s="454">
        <f t="shared" si="324"/>
        <v>0</v>
      </c>
      <c r="AW529" s="454">
        <f t="shared" si="325"/>
        <v>0</v>
      </c>
      <c r="AX529" s="454">
        <f t="shared" si="326"/>
        <v>0</v>
      </c>
      <c r="AY529" s="2966">
        <f t="shared" si="330"/>
        <v>0</v>
      </c>
      <c r="AZ529" s="2897">
        <f t="shared" si="331"/>
        <v>0</v>
      </c>
      <c r="BA529" s="2897">
        <f t="shared" si="332"/>
        <v>0</v>
      </c>
      <c r="BB529" s="2897">
        <f t="shared" si="333"/>
        <v>0</v>
      </c>
      <c r="BC529" s="2897">
        <f t="shared" si="334"/>
        <v>0</v>
      </c>
      <c r="BD529" s="2897">
        <f t="shared" si="335"/>
        <v>0</v>
      </c>
      <c r="BE529" s="2897">
        <f t="shared" si="336"/>
        <v>0</v>
      </c>
      <c r="BF529" s="2897">
        <f t="shared" si="337"/>
        <v>0</v>
      </c>
      <c r="BG529" s="2897">
        <f t="shared" si="338"/>
        <v>0</v>
      </c>
      <c r="BH529" s="2897">
        <f t="shared" si="339"/>
        <v>0</v>
      </c>
      <c r="BI529" s="2897">
        <f t="shared" si="340"/>
        <v>0</v>
      </c>
      <c r="BJ529" s="2897">
        <f t="shared" si="341"/>
        <v>0</v>
      </c>
      <c r="BK529" s="2897">
        <f t="shared" si="342"/>
        <v>0</v>
      </c>
      <c r="BL529" s="2897">
        <f t="shared" si="343"/>
        <v>0</v>
      </c>
      <c r="BM529" s="2897">
        <f t="shared" si="344"/>
        <v>0</v>
      </c>
      <c r="BN529" s="2897">
        <f t="shared" si="345"/>
        <v>0</v>
      </c>
      <c r="BO529" s="2897">
        <f t="shared" si="346"/>
        <v>0</v>
      </c>
      <c r="BP529" s="2897">
        <f t="shared" si="347"/>
        <v>0</v>
      </c>
      <c r="BQ529" s="2897">
        <f t="shared" si="348"/>
        <v>0</v>
      </c>
      <c r="BR529" s="2897">
        <f t="shared" si="349"/>
        <v>0</v>
      </c>
      <c r="BS529" s="2897">
        <f t="shared" si="350"/>
        <v>0</v>
      </c>
      <c r="BT529" s="2971">
        <f t="shared" si="351"/>
        <v>0</v>
      </c>
    </row>
    <row r="530" spans="1:72">
      <c r="A530" s="2894"/>
      <c r="B530" s="2895"/>
      <c r="C530" s="2895"/>
      <c r="D530" s="2907"/>
      <c r="E530" s="2897">
        <f t="shared" si="323"/>
        <v>0</v>
      </c>
      <c r="F530" s="2898"/>
      <c r="G530" s="2899">
        <f t="shared" si="327"/>
        <v>0</v>
      </c>
      <c r="H530" s="2900">
        <f t="shared" si="328"/>
        <v>0</v>
      </c>
      <c r="I530" s="2918"/>
      <c r="J530" s="2918"/>
      <c r="K530" s="2918"/>
      <c r="L530" s="2918"/>
      <c r="M530" s="2918"/>
      <c r="N530" s="2918"/>
      <c r="O530" s="2918"/>
      <c r="P530" s="2918"/>
      <c r="Q530" s="2918"/>
      <c r="R530" s="2918"/>
      <c r="S530" s="2918"/>
      <c r="T530" s="2918"/>
      <c r="U530" s="2918"/>
      <c r="V530" s="2918"/>
      <c r="W530" s="2918"/>
      <c r="X530" s="2918"/>
      <c r="Y530" s="2918"/>
      <c r="Z530" s="2918"/>
      <c r="AA530" s="2918"/>
      <c r="AB530" s="2918"/>
      <c r="AC530" s="2897">
        <f t="shared" si="329"/>
        <v>0</v>
      </c>
      <c r="AD530" s="2929"/>
      <c r="AE530" s="2929"/>
      <c r="AF530" s="2929"/>
      <c r="AG530" s="2929"/>
      <c r="AH530" s="2929"/>
      <c r="AI530" s="2929"/>
      <c r="AJ530" s="2929"/>
      <c r="AK530" s="2929"/>
      <c r="AL530" s="2929"/>
      <c r="AM530" s="2929"/>
      <c r="AN530" s="2929"/>
      <c r="AO530" s="2929"/>
      <c r="AP530" s="2929"/>
      <c r="AQ530" s="2929"/>
      <c r="AR530" s="2929"/>
      <c r="AS530" s="2929"/>
      <c r="AT530" s="2949"/>
      <c r="AU530" s="2950"/>
      <c r="AV530" s="454">
        <f t="shared" si="324"/>
        <v>0</v>
      </c>
      <c r="AW530" s="454">
        <f t="shared" si="325"/>
        <v>0</v>
      </c>
      <c r="AX530" s="454">
        <f t="shared" si="326"/>
        <v>0</v>
      </c>
      <c r="AY530" s="2966">
        <f t="shared" si="330"/>
        <v>0</v>
      </c>
      <c r="AZ530" s="2897">
        <f t="shared" si="331"/>
        <v>0</v>
      </c>
      <c r="BA530" s="2897">
        <f t="shared" si="332"/>
        <v>0</v>
      </c>
      <c r="BB530" s="2897">
        <f t="shared" si="333"/>
        <v>0</v>
      </c>
      <c r="BC530" s="2897">
        <f t="shared" si="334"/>
        <v>0</v>
      </c>
      <c r="BD530" s="2897">
        <f t="shared" si="335"/>
        <v>0</v>
      </c>
      <c r="BE530" s="2897">
        <f t="shared" si="336"/>
        <v>0</v>
      </c>
      <c r="BF530" s="2897">
        <f t="shared" si="337"/>
        <v>0</v>
      </c>
      <c r="BG530" s="2897">
        <f t="shared" si="338"/>
        <v>0</v>
      </c>
      <c r="BH530" s="2897">
        <f t="shared" si="339"/>
        <v>0</v>
      </c>
      <c r="BI530" s="2897">
        <f t="shared" si="340"/>
        <v>0</v>
      </c>
      <c r="BJ530" s="2897">
        <f t="shared" si="341"/>
        <v>0</v>
      </c>
      <c r="BK530" s="2897">
        <f t="shared" si="342"/>
        <v>0</v>
      </c>
      <c r="BL530" s="2897">
        <f t="shared" si="343"/>
        <v>0</v>
      </c>
      <c r="BM530" s="2897">
        <f t="shared" si="344"/>
        <v>0</v>
      </c>
      <c r="BN530" s="2897">
        <f t="shared" si="345"/>
        <v>0</v>
      </c>
      <c r="BO530" s="2897">
        <f t="shared" si="346"/>
        <v>0</v>
      </c>
      <c r="BP530" s="2897">
        <f t="shared" si="347"/>
        <v>0</v>
      </c>
      <c r="BQ530" s="2897">
        <f t="shared" si="348"/>
        <v>0</v>
      </c>
      <c r="BR530" s="2897">
        <f t="shared" si="349"/>
        <v>0</v>
      </c>
      <c r="BS530" s="2897">
        <f t="shared" si="350"/>
        <v>0</v>
      </c>
      <c r="BT530" s="2971">
        <f t="shared" si="351"/>
        <v>0</v>
      </c>
    </row>
    <row r="531" spans="1:72">
      <c r="A531" s="2894"/>
      <c r="B531" s="2895"/>
      <c r="C531" s="2895"/>
      <c r="D531" s="2907"/>
      <c r="E531" s="2897">
        <f t="shared" si="323"/>
        <v>0</v>
      </c>
      <c r="F531" s="2898"/>
      <c r="G531" s="2899">
        <f t="shared" si="327"/>
        <v>0</v>
      </c>
      <c r="H531" s="2900">
        <f t="shared" si="328"/>
        <v>0</v>
      </c>
      <c r="I531" s="2918"/>
      <c r="J531" s="2918"/>
      <c r="K531" s="2918"/>
      <c r="L531" s="2918"/>
      <c r="M531" s="2918"/>
      <c r="N531" s="2918"/>
      <c r="O531" s="2918"/>
      <c r="P531" s="2918"/>
      <c r="Q531" s="2918"/>
      <c r="R531" s="2918"/>
      <c r="S531" s="2918"/>
      <c r="T531" s="2918"/>
      <c r="U531" s="2918"/>
      <c r="V531" s="2918"/>
      <c r="W531" s="2918"/>
      <c r="X531" s="2918"/>
      <c r="Y531" s="2918"/>
      <c r="Z531" s="2918"/>
      <c r="AA531" s="2918"/>
      <c r="AB531" s="2918"/>
      <c r="AC531" s="2897">
        <f t="shared" si="329"/>
        <v>0</v>
      </c>
      <c r="AD531" s="2929"/>
      <c r="AE531" s="2929"/>
      <c r="AF531" s="2929"/>
      <c r="AG531" s="2929"/>
      <c r="AH531" s="2929"/>
      <c r="AI531" s="2929"/>
      <c r="AJ531" s="2929"/>
      <c r="AK531" s="2929"/>
      <c r="AL531" s="2929"/>
      <c r="AM531" s="2929"/>
      <c r="AN531" s="2929"/>
      <c r="AO531" s="2929"/>
      <c r="AP531" s="2929"/>
      <c r="AQ531" s="2929"/>
      <c r="AR531" s="2929"/>
      <c r="AS531" s="2929"/>
      <c r="AT531" s="2949"/>
      <c r="AU531" s="2950"/>
      <c r="AV531" s="454">
        <f t="shared" si="324"/>
        <v>0</v>
      </c>
      <c r="AW531" s="454">
        <f t="shared" si="325"/>
        <v>0</v>
      </c>
      <c r="AX531" s="454">
        <f t="shared" si="326"/>
        <v>0</v>
      </c>
      <c r="AY531" s="2966">
        <f t="shared" si="330"/>
        <v>0</v>
      </c>
      <c r="AZ531" s="2897">
        <f t="shared" si="331"/>
        <v>0</v>
      </c>
      <c r="BA531" s="2897">
        <f t="shared" si="332"/>
        <v>0</v>
      </c>
      <c r="BB531" s="2897">
        <f t="shared" si="333"/>
        <v>0</v>
      </c>
      <c r="BC531" s="2897">
        <f t="shared" si="334"/>
        <v>0</v>
      </c>
      <c r="BD531" s="2897">
        <f t="shared" si="335"/>
        <v>0</v>
      </c>
      <c r="BE531" s="2897">
        <f t="shared" si="336"/>
        <v>0</v>
      </c>
      <c r="BF531" s="2897">
        <f t="shared" si="337"/>
        <v>0</v>
      </c>
      <c r="BG531" s="2897">
        <f t="shared" si="338"/>
        <v>0</v>
      </c>
      <c r="BH531" s="2897">
        <f t="shared" si="339"/>
        <v>0</v>
      </c>
      <c r="BI531" s="2897">
        <f t="shared" si="340"/>
        <v>0</v>
      </c>
      <c r="BJ531" s="2897">
        <f t="shared" si="341"/>
        <v>0</v>
      </c>
      <c r="BK531" s="2897">
        <f t="shared" si="342"/>
        <v>0</v>
      </c>
      <c r="BL531" s="2897">
        <f t="shared" si="343"/>
        <v>0</v>
      </c>
      <c r="BM531" s="2897">
        <f t="shared" si="344"/>
        <v>0</v>
      </c>
      <c r="BN531" s="2897">
        <f t="shared" si="345"/>
        <v>0</v>
      </c>
      <c r="BO531" s="2897">
        <f t="shared" si="346"/>
        <v>0</v>
      </c>
      <c r="BP531" s="2897">
        <f t="shared" si="347"/>
        <v>0</v>
      </c>
      <c r="BQ531" s="2897">
        <f t="shared" si="348"/>
        <v>0</v>
      </c>
      <c r="BR531" s="2897">
        <f t="shared" si="349"/>
        <v>0</v>
      </c>
      <c r="BS531" s="2897">
        <f t="shared" si="350"/>
        <v>0</v>
      </c>
      <c r="BT531" s="2971">
        <f t="shared" si="351"/>
        <v>0</v>
      </c>
    </row>
    <row r="532" spans="1:72">
      <c r="A532" s="2894"/>
      <c r="B532" s="2895"/>
      <c r="C532" s="2895"/>
      <c r="D532" s="2907"/>
      <c r="E532" s="2897">
        <f t="shared" si="323"/>
        <v>0</v>
      </c>
      <c r="F532" s="2898"/>
      <c r="G532" s="2899">
        <f t="shared" si="327"/>
        <v>0</v>
      </c>
      <c r="H532" s="2900">
        <f t="shared" si="328"/>
        <v>0</v>
      </c>
      <c r="I532" s="2918"/>
      <c r="J532" s="2918"/>
      <c r="K532" s="2918"/>
      <c r="L532" s="2918"/>
      <c r="M532" s="2918"/>
      <c r="N532" s="2918"/>
      <c r="O532" s="2918"/>
      <c r="P532" s="2918"/>
      <c r="Q532" s="2918"/>
      <c r="R532" s="2918"/>
      <c r="S532" s="2918"/>
      <c r="T532" s="2918"/>
      <c r="U532" s="2918"/>
      <c r="V532" s="2918"/>
      <c r="W532" s="2918"/>
      <c r="X532" s="2918"/>
      <c r="Y532" s="2918"/>
      <c r="Z532" s="2918"/>
      <c r="AA532" s="2918"/>
      <c r="AB532" s="2918"/>
      <c r="AC532" s="2897">
        <f t="shared" si="329"/>
        <v>0</v>
      </c>
      <c r="AD532" s="2929"/>
      <c r="AE532" s="2929"/>
      <c r="AF532" s="2929"/>
      <c r="AG532" s="2929"/>
      <c r="AH532" s="2929"/>
      <c r="AI532" s="2929"/>
      <c r="AJ532" s="2929"/>
      <c r="AK532" s="2929"/>
      <c r="AL532" s="2929"/>
      <c r="AM532" s="2929"/>
      <c r="AN532" s="2929"/>
      <c r="AO532" s="2929"/>
      <c r="AP532" s="2929"/>
      <c r="AQ532" s="2929"/>
      <c r="AR532" s="2929"/>
      <c r="AS532" s="2929"/>
      <c r="AT532" s="2949"/>
      <c r="AU532" s="2950"/>
      <c r="AV532" s="454">
        <f t="shared" si="324"/>
        <v>0</v>
      </c>
      <c r="AW532" s="454">
        <f t="shared" si="325"/>
        <v>0</v>
      </c>
      <c r="AX532" s="454">
        <f t="shared" si="326"/>
        <v>0</v>
      </c>
      <c r="AY532" s="2966">
        <f t="shared" si="330"/>
        <v>0</v>
      </c>
      <c r="AZ532" s="2897">
        <f t="shared" si="331"/>
        <v>0</v>
      </c>
      <c r="BA532" s="2897">
        <f t="shared" si="332"/>
        <v>0</v>
      </c>
      <c r="BB532" s="2897">
        <f t="shared" si="333"/>
        <v>0</v>
      </c>
      <c r="BC532" s="2897">
        <f t="shared" si="334"/>
        <v>0</v>
      </c>
      <c r="BD532" s="2897">
        <f t="shared" si="335"/>
        <v>0</v>
      </c>
      <c r="BE532" s="2897">
        <f t="shared" si="336"/>
        <v>0</v>
      </c>
      <c r="BF532" s="2897">
        <f t="shared" si="337"/>
        <v>0</v>
      </c>
      <c r="BG532" s="2897">
        <f t="shared" si="338"/>
        <v>0</v>
      </c>
      <c r="BH532" s="2897">
        <f t="shared" si="339"/>
        <v>0</v>
      </c>
      <c r="BI532" s="2897">
        <f t="shared" si="340"/>
        <v>0</v>
      </c>
      <c r="BJ532" s="2897">
        <f t="shared" si="341"/>
        <v>0</v>
      </c>
      <c r="BK532" s="2897">
        <f t="shared" si="342"/>
        <v>0</v>
      </c>
      <c r="BL532" s="2897">
        <f t="shared" si="343"/>
        <v>0</v>
      </c>
      <c r="BM532" s="2897">
        <f t="shared" si="344"/>
        <v>0</v>
      </c>
      <c r="BN532" s="2897">
        <f t="shared" si="345"/>
        <v>0</v>
      </c>
      <c r="BO532" s="2897">
        <f t="shared" si="346"/>
        <v>0</v>
      </c>
      <c r="BP532" s="2897">
        <f t="shared" si="347"/>
        <v>0</v>
      </c>
      <c r="BQ532" s="2897">
        <f t="shared" si="348"/>
        <v>0</v>
      </c>
      <c r="BR532" s="2897">
        <f t="shared" si="349"/>
        <v>0</v>
      </c>
      <c r="BS532" s="2897">
        <f t="shared" si="350"/>
        <v>0</v>
      </c>
      <c r="BT532" s="2971">
        <f t="shared" si="351"/>
        <v>0</v>
      </c>
    </row>
    <row r="533" spans="1:72">
      <c r="A533" s="2894"/>
      <c r="B533" s="2895"/>
      <c r="C533" s="2895"/>
      <c r="D533" s="2907"/>
      <c r="E533" s="2897">
        <f t="shared" si="323"/>
        <v>0</v>
      </c>
      <c r="F533" s="2898"/>
      <c r="G533" s="2899">
        <f t="shared" si="327"/>
        <v>0</v>
      </c>
      <c r="H533" s="2900">
        <f t="shared" si="328"/>
        <v>0</v>
      </c>
      <c r="I533" s="2918"/>
      <c r="J533" s="2918"/>
      <c r="K533" s="2918"/>
      <c r="L533" s="2918"/>
      <c r="M533" s="2918"/>
      <c r="N533" s="2918"/>
      <c r="O533" s="2918"/>
      <c r="P533" s="2918"/>
      <c r="Q533" s="2918"/>
      <c r="R533" s="2918"/>
      <c r="S533" s="2918"/>
      <c r="T533" s="2918"/>
      <c r="U533" s="2918"/>
      <c r="V533" s="2918"/>
      <c r="W533" s="2918"/>
      <c r="X533" s="2918"/>
      <c r="Y533" s="2918"/>
      <c r="Z533" s="2918"/>
      <c r="AA533" s="2918"/>
      <c r="AB533" s="2918"/>
      <c r="AC533" s="2897">
        <f t="shared" si="329"/>
        <v>0</v>
      </c>
      <c r="AD533" s="2929"/>
      <c r="AE533" s="2929"/>
      <c r="AF533" s="2929"/>
      <c r="AG533" s="2929"/>
      <c r="AH533" s="2929"/>
      <c r="AI533" s="2929"/>
      <c r="AJ533" s="2929"/>
      <c r="AK533" s="2929"/>
      <c r="AL533" s="2929"/>
      <c r="AM533" s="2929"/>
      <c r="AN533" s="2929"/>
      <c r="AO533" s="2929"/>
      <c r="AP533" s="2929"/>
      <c r="AQ533" s="2929"/>
      <c r="AR533" s="2929"/>
      <c r="AS533" s="2929"/>
      <c r="AT533" s="2949"/>
      <c r="AU533" s="2950"/>
      <c r="AV533" s="454">
        <f t="shared" si="324"/>
        <v>0</v>
      </c>
      <c r="AW533" s="454">
        <f t="shared" si="325"/>
        <v>0</v>
      </c>
      <c r="AX533" s="454">
        <f t="shared" si="326"/>
        <v>0</v>
      </c>
      <c r="AY533" s="2966">
        <f t="shared" si="330"/>
        <v>0</v>
      </c>
      <c r="AZ533" s="2897">
        <f t="shared" si="331"/>
        <v>0</v>
      </c>
      <c r="BA533" s="2897">
        <f t="shared" si="332"/>
        <v>0</v>
      </c>
      <c r="BB533" s="2897">
        <f t="shared" si="333"/>
        <v>0</v>
      </c>
      <c r="BC533" s="2897">
        <f t="shared" si="334"/>
        <v>0</v>
      </c>
      <c r="BD533" s="2897">
        <f t="shared" si="335"/>
        <v>0</v>
      </c>
      <c r="BE533" s="2897">
        <f t="shared" si="336"/>
        <v>0</v>
      </c>
      <c r="BF533" s="2897">
        <f t="shared" si="337"/>
        <v>0</v>
      </c>
      <c r="BG533" s="2897">
        <f t="shared" si="338"/>
        <v>0</v>
      </c>
      <c r="BH533" s="2897">
        <f t="shared" si="339"/>
        <v>0</v>
      </c>
      <c r="BI533" s="2897">
        <f t="shared" si="340"/>
        <v>0</v>
      </c>
      <c r="BJ533" s="2897">
        <f t="shared" si="341"/>
        <v>0</v>
      </c>
      <c r="BK533" s="2897">
        <f t="shared" si="342"/>
        <v>0</v>
      </c>
      <c r="BL533" s="2897">
        <f t="shared" si="343"/>
        <v>0</v>
      </c>
      <c r="BM533" s="2897">
        <f t="shared" si="344"/>
        <v>0</v>
      </c>
      <c r="BN533" s="2897">
        <f t="shared" si="345"/>
        <v>0</v>
      </c>
      <c r="BO533" s="2897">
        <f t="shared" si="346"/>
        <v>0</v>
      </c>
      <c r="BP533" s="2897">
        <f t="shared" si="347"/>
        <v>0</v>
      </c>
      <c r="BQ533" s="2897">
        <f t="shared" si="348"/>
        <v>0</v>
      </c>
      <c r="BR533" s="2897">
        <f t="shared" si="349"/>
        <v>0</v>
      </c>
      <c r="BS533" s="2897">
        <f t="shared" si="350"/>
        <v>0</v>
      </c>
      <c r="BT533" s="2971">
        <f t="shared" si="351"/>
        <v>0</v>
      </c>
    </row>
    <row r="534" spans="1:72">
      <c r="A534" s="2894"/>
      <c r="B534" s="2895"/>
      <c r="C534" s="2895"/>
      <c r="D534" s="2907"/>
      <c r="E534" s="2897">
        <f t="shared" si="323"/>
        <v>0</v>
      </c>
      <c r="F534" s="2898"/>
      <c r="G534" s="2899">
        <f t="shared" si="327"/>
        <v>0</v>
      </c>
      <c r="H534" s="2900">
        <f t="shared" si="328"/>
        <v>0</v>
      </c>
      <c r="I534" s="2918"/>
      <c r="J534" s="2918"/>
      <c r="K534" s="2918"/>
      <c r="L534" s="2918"/>
      <c r="M534" s="2918"/>
      <c r="N534" s="2918"/>
      <c r="O534" s="2918"/>
      <c r="P534" s="2918"/>
      <c r="Q534" s="2918"/>
      <c r="R534" s="2918"/>
      <c r="S534" s="2918"/>
      <c r="T534" s="2918"/>
      <c r="U534" s="2918"/>
      <c r="V534" s="2918"/>
      <c r="W534" s="2918"/>
      <c r="X534" s="2918"/>
      <c r="Y534" s="2918"/>
      <c r="Z534" s="2918"/>
      <c r="AA534" s="2918"/>
      <c r="AB534" s="2918"/>
      <c r="AC534" s="2897">
        <f t="shared" si="329"/>
        <v>0</v>
      </c>
      <c r="AD534" s="2929"/>
      <c r="AE534" s="2929"/>
      <c r="AF534" s="2929"/>
      <c r="AG534" s="2929"/>
      <c r="AH534" s="2929"/>
      <c r="AI534" s="2929"/>
      <c r="AJ534" s="2929"/>
      <c r="AK534" s="2929"/>
      <c r="AL534" s="2929"/>
      <c r="AM534" s="2929"/>
      <c r="AN534" s="2929"/>
      <c r="AO534" s="2929"/>
      <c r="AP534" s="2929"/>
      <c r="AQ534" s="2929"/>
      <c r="AR534" s="2929"/>
      <c r="AS534" s="2929"/>
      <c r="AT534" s="2949"/>
      <c r="AU534" s="2950"/>
      <c r="AV534" s="454">
        <f t="shared" si="324"/>
        <v>0</v>
      </c>
      <c r="AW534" s="454">
        <f t="shared" si="325"/>
        <v>0</v>
      </c>
      <c r="AX534" s="454">
        <f t="shared" si="326"/>
        <v>0</v>
      </c>
      <c r="AY534" s="2966">
        <f t="shared" si="330"/>
        <v>0</v>
      </c>
      <c r="AZ534" s="2897">
        <f t="shared" si="331"/>
        <v>0</v>
      </c>
      <c r="BA534" s="2897">
        <f t="shared" si="332"/>
        <v>0</v>
      </c>
      <c r="BB534" s="2897">
        <f t="shared" si="333"/>
        <v>0</v>
      </c>
      <c r="BC534" s="2897">
        <f t="shared" si="334"/>
        <v>0</v>
      </c>
      <c r="BD534" s="2897">
        <f t="shared" si="335"/>
        <v>0</v>
      </c>
      <c r="BE534" s="2897">
        <f t="shared" si="336"/>
        <v>0</v>
      </c>
      <c r="BF534" s="2897">
        <f t="shared" si="337"/>
        <v>0</v>
      </c>
      <c r="BG534" s="2897">
        <f t="shared" si="338"/>
        <v>0</v>
      </c>
      <c r="BH534" s="2897">
        <f t="shared" si="339"/>
        <v>0</v>
      </c>
      <c r="BI534" s="2897">
        <f t="shared" si="340"/>
        <v>0</v>
      </c>
      <c r="BJ534" s="2897">
        <f t="shared" si="341"/>
        <v>0</v>
      </c>
      <c r="BK534" s="2897">
        <f t="shared" si="342"/>
        <v>0</v>
      </c>
      <c r="BL534" s="2897">
        <f t="shared" si="343"/>
        <v>0</v>
      </c>
      <c r="BM534" s="2897">
        <f t="shared" si="344"/>
        <v>0</v>
      </c>
      <c r="BN534" s="2897">
        <f t="shared" si="345"/>
        <v>0</v>
      </c>
      <c r="BO534" s="2897">
        <f t="shared" si="346"/>
        <v>0</v>
      </c>
      <c r="BP534" s="2897">
        <f t="shared" si="347"/>
        <v>0</v>
      </c>
      <c r="BQ534" s="2897">
        <f t="shared" si="348"/>
        <v>0</v>
      </c>
      <c r="BR534" s="2897">
        <f t="shared" si="349"/>
        <v>0</v>
      </c>
      <c r="BS534" s="2897">
        <f t="shared" si="350"/>
        <v>0</v>
      </c>
      <c r="BT534" s="2971">
        <f t="shared" si="351"/>
        <v>0</v>
      </c>
    </row>
    <row r="535" spans="1:72">
      <c r="A535" s="2894"/>
      <c r="B535" s="2895"/>
      <c r="C535" s="2895"/>
      <c r="D535" s="2907"/>
      <c r="E535" s="2897">
        <f t="shared" si="323"/>
        <v>0</v>
      </c>
      <c r="F535" s="2898"/>
      <c r="G535" s="2899">
        <f t="shared" si="327"/>
        <v>0</v>
      </c>
      <c r="H535" s="2900">
        <f t="shared" si="328"/>
        <v>0</v>
      </c>
      <c r="I535" s="2918"/>
      <c r="J535" s="2918"/>
      <c r="K535" s="2918"/>
      <c r="L535" s="2918"/>
      <c r="M535" s="2918"/>
      <c r="N535" s="2918"/>
      <c r="O535" s="2918"/>
      <c r="P535" s="2918"/>
      <c r="Q535" s="2918"/>
      <c r="R535" s="2918"/>
      <c r="S535" s="2918"/>
      <c r="T535" s="2918"/>
      <c r="U535" s="2918"/>
      <c r="V535" s="2918"/>
      <c r="W535" s="2918"/>
      <c r="X535" s="2918"/>
      <c r="Y535" s="2918"/>
      <c r="Z535" s="2918"/>
      <c r="AA535" s="2918"/>
      <c r="AB535" s="2918"/>
      <c r="AC535" s="2897">
        <f t="shared" si="329"/>
        <v>0</v>
      </c>
      <c r="AD535" s="2929"/>
      <c r="AE535" s="2929"/>
      <c r="AF535" s="2929"/>
      <c r="AG535" s="2929"/>
      <c r="AH535" s="2929"/>
      <c r="AI535" s="2929"/>
      <c r="AJ535" s="2929"/>
      <c r="AK535" s="2929"/>
      <c r="AL535" s="2929"/>
      <c r="AM535" s="2929"/>
      <c r="AN535" s="2929"/>
      <c r="AO535" s="2929"/>
      <c r="AP535" s="2929"/>
      <c r="AQ535" s="2929"/>
      <c r="AR535" s="2929"/>
      <c r="AS535" s="2929"/>
      <c r="AT535" s="2949"/>
      <c r="AU535" s="2950"/>
      <c r="AV535" s="454">
        <f t="shared" si="324"/>
        <v>0</v>
      </c>
      <c r="AW535" s="454">
        <f t="shared" si="325"/>
        <v>0</v>
      </c>
      <c r="AX535" s="454">
        <f t="shared" si="326"/>
        <v>0</v>
      </c>
      <c r="AY535" s="2966">
        <f t="shared" si="330"/>
        <v>0</v>
      </c>
      <c r="AZ535" s="2897">
        <f t="shared" si="331"/>
        <v>0</v>
      </c>
      <c r="BA535" s="2897">
        <f t="shared" si="332"/>
        <v>0</v>
      </c>
      <c r="BB535" s="2897">
        <f t="shared" si="333"/>
        <v>0</v>
      </c>
      <c r="BC535" s="2897">
        <f t="shared" si="334"/>
        <v>0</v>
      </c>
      <c r="BD535" s="2897">
        <f t="shared" si="335"/>
        <v>0</v>
      </c>
      <c r="BE535" s="2897">
        <f t="shared" si="336"/>
        <v>0</v>
      </c>
      <c r="BF535" s="2897">
        <f t="shared" si="337"/>
        <v>0</v>
      </c>
      <c r="BG535" s="2897">
        <f t="shared" si="338"/>
        <v>0</v>
      </c>
      <c r="BH535" s="2897">
        <f t="shared" si="339"/>
        <v>0</v>
      </c>
      <c r="BI535" s="2897">
        <f t="shared" si="340"/>
        <v>0</v>
      </c>
      <c r="BJ535" s="2897">
        <f t="shared" si="341"/>
        <v>0</v>
      </c>
      <c r="BK535" s="2897">
        <f t="shared" si="342"/>
        <v>0</v>
      </c>
      <c r="BL535" s="2897">
        <f t="shared" si="343"/>
        <v>0</v>
      </c>
      <c r="BM535" s="2897">
        <f t="shared" si="344"/>
        <v>0</v>
      </c>
      <c r="BN535" s="2897">
        <f t="shared" si="345"/>
        <v>0</v>
      </c>
      <c r="BO535" s="2897">
        <f t="shared" si="346"/>
        <v>0</v>
      </c>
      <c r="BP535" s="2897">
        <f t="shared" si="347"/>
        <v>0</v>
      </c>
      <c r="BQ535" s="2897">
        <f t="shared" si="348"/>
        <v>0</v>
      </c>
      <c r="BR535" s="2897">
        <f t="shared" si="349"/>
        <v>0</v>
      </c>
      <c r="BS535" s="2897">
        <f t="shared" si="350"/>
        <v>0</v>
      </c>
      <c r="BT535" s="2971">
        <f t="shared" si="351"/>
        <v>0</v>
      </c>
    </row>
    <row r="536" spans="1:72">
      <c r="A536" s="2894"/>
      <c r="B536" s="2895"/>
      <c r="C536" s="2895"/>
      <c r="D536" s="2907"/>
      <c r="E536" s="2897">
        <f t="shared" si="323"/>
        <v>0</v>
      </c>
      <c r="F536" s="2898"/>
      <c r="G536" s="2899">
        <f t="shared" si="327"/>
        <v>0</v>
      </c>
      <c r="H536" s="2900">
        <f t="shared" si="328"/>
        <v>0</v>
      </c>
      <c r="I536" s="2918"/>
      <c r="J536" s="2918"/>
      <c r="K536" s="2918"/>
      <c r="L536" s="2918"/>
      <c r="M536" s="2918"/>
      <c r="N536" s="2918"/>
      <c r="O536" s="2918"/>
      <c r="P536" s="2918"/>
      <c r="Q536" s="2918"/>
      <c r="R536" s="2918"/>
      <c r="S536" s="2918"/>
      <c r="T536" s="2918"/>
      <c r="U536" s="2918"/>
      <c r="V536" s="2918"/>
      <c r="W536" s="2918"/>
      <c r="X536" s="2918"/>
      <c r="Y536" s="2918"/>
      <c r="Z536" s="2918"/>
      <c r="AA536" s="2918"/>
      <c r="AB536" s="2918"/>
      <c r="AC536" s="2897">
        <f t="shared" si="329"/>
        <v>0</v>
      </c>
      <c r="AD536" s="2929"/>
      <c r="AE536" s="2929"/>
      <c r="AF536" s="2929"/>
      <c r="AG536" s="2929"/>
      <c r="AH536" s="2929"/>
      <c r="AI536" s="2929"/>
      <c r="AJ536" s="2929"/>
      <c r="AK536" s="2929"/>
      <c r="AL536" s="2929"/>
      <c r="AM536" s="2929"/>
      <c r="AN536" s="2929"/>
      <c r="AO536" s="2929"/>
      <c r="AP536" s="2929"/>
      <c r="AQ536" s="2929"/>
      <c r="AR536" s="2929"/>
      <c r="AS536" s="2929"/>
      <c r="AT536" s="2949"/>
      <c r="AU536" s="2950"/>
      <c r="AV536" s="454">
        <f t="shared" si="324"/>
        <v>0</v>
      </c>
      <c r="AW536" s="454">
        <f t="shared" si="325"/>
        <v>0</v>
      </c>
      <c r="AX536" s="454">
        <f t="shared" si="326"/>
        <v>0</v>
      </c>
      <c r="AY536" s="2966">
        <f t="shared" si="330"/>
        <v>0</v>
      </c>
      <c r="AZ536" s="2897">
        <f t="shared" si="331"/>
        <v>0</v>
      </c>
      <c r="BA536" s="2897">
        <f t="shared" si="332"/>
        <v>0</v>
      </c>
      <c r="BB536" s="2897">
        <f t="shared" si="333"/>
        <v>0</v>
      </c>
      <c r="BC536" s="2897">
        <f t="shared" si="334"/>
        <v>0</v>
      </c>
      <c r="BD536" s="2897">
        <f t="shared" si="335"/>
        <v>0</v>
      </c>
      <c r="BE536" s="2897">
        <f t="shared" si="336"/>
        <v>0</v>
      </c>
      <c r="BF536" s="2897">
        <f t="shared" si="337"/>
        <v>0</v>
      </c>
      <c r="BG536" s="2897">
        <f t="shared" si="338"/>
        <v>0</v>
      </c>
      <c r="BH536" s="2897">
        <f t="shared" si="339"/>
        <v>0</v>
      </c>
      <c r="BI536" s="2897">
        <f t="shared" si="340"/>
        <v>0</v>
      </c>
      <c r="BJ536" s="2897">
        <f t="shared" si="341"/>
        <v>0</v>
      </c>
      <c r="BK536" s="2897">
        <f t="shared" si="342"/>
        <v>0</v>
      </c>
      <c r="BL536" s="2897">
        <f t="shared" si="343"/>
        <v>0</v>
      </c>
      <c r="BM536" s="2897">
        <f t="shared" si="344"/>
        <v>0</v>
      </c>
      <c r="BN536" s="2897">
        <f t="shared" si="345"/>
        <v>0</v>
      </c>
      <c r="BO536" s="2897">
        <f t="shared" si="346"/>
        <v>0</v>
      </c>
      <c r="BP536" s="2897">
        <f t="shared" si="347"/>
        <v>0</v>
      </c>
      <c r="BQ536" s="2897">
        <f t="shared" si="348"/>
        <v>0</v>
      </c>
      <c r="BR536" s="2897">
        <f t="shared" si="349"/>
        <v>0</v>
      </c>
      <c r="BS536" s="2897">
        <f t="shared" si="350"/>
        <v>0</v>
      </c>
      <c r="BT536" s="2971">
        <f t="shared" si="351"/>
        <v>0</v>
      </c>
    </row>
    <row r="537" spans="1:72">
      <c r="A537" s="2894"/>
      <c r="B537" s="2895"/>
      <c r="C537" s="2895"/>
      <c r="D537" s="2907"/>
      <c r="E537" s="2897">
        <f t="shared" ref="E537:E572" si="352">IF($C$3="是",ROUND($A$3*G537/$B$3,2),ROUND($A$3*(G537-AT537)/$B$3,2))</f>
        <v>0</v>
      </c>
      <c r="F537" s="2898"/>
      <c r="G537" s="2899">
        <f t="shared" si="327"/>
        <v>0</v>
      </c>
      <c r="H537" s="2900">
        <f t="shared" si="328"/>
        <v>0</v>
      </c>
      <c r="I537" s="2918"/>
      <c r="J537" s="2918"/>
      <c r="K537" s="2918"/>
      <c r="L537" s="2918"/>
      <c r="M537" s="2918"/>
      <c r="N537" s="2918"/>
      <c r="O537" s="2918"/>
      <c r="P537" s="2918"/>
      <c r="Q537" s="2918"/>
      <c r="R537" s="2918"/>
      <c r="S537" s="2918"/>
      <c r="T537" s="2918"/>
      <c r="U537" s="2918"/>
      <c r="V537" s="2918"/>
      <c r="W537" s="2918"/>
      <c r="X537" s="2918"/>
      <c r="Y537" s="2918"/>
      <c r="Z537" s="2918"/>
      <c r="AA537" s="2918"/>
      <c r="AB537" s="2918"/>
      <c r="AC537" s="2897">
        <f t="shared" si="329"/>
        <v>0</v>
      </c>
      <c r="AD537" s="2929"/>
      <c r="AE537" s="2929"/>
      <c r="AF537" s="2929"/>
      <c r="AG537" s="2929"/>
      <c r="AH537" s="2929"/>
      <c r="AI537" s="2929"/>
      <c r="AJ537" s="2929"/>
      <c r="AK537" s="2929"/>
      <c r="AL537" s="2929"/>
      <c r="AM537" s="2929"/>
      <c r="AN537" s="2929"/>
      <c r="AO537" s="2929"/>
      <c r="AP537" s="2929"/>
      <c r="AQ537" s="2929"/>
      <c r="AR537" s="2929"/>
      <c r="AS537" s="2929"/>
      <c r="AT537" s="2949"/>
      <c r="AU537" s="2950"/>
      <c r="AV537" s="454">
        <f t="shared" si="324"/>
        <v>0</v>
      </c>
      <c r="AW537" s="454">
        <f t="shared" si="325"/>
        <v>0</v>
      </c>
      <c r="AX537" s="454">
        <f t="shared" si="326"/>
        <v>0</v>
      </c>
      <c r="AY537" s="2966">
        <f t="shared" si="330"/>
        <v>0</v>
      </c>
      <c r="AZ537" s="2897">
        <f t="shared" si="331"/>
        <v>0</v>
      </c>
      <c r="BA537" s="2897">
        <f t="shared" si="332"/>
        <v>0</v>
      </c>
      <c r="BB537" s="2897">
        <f t="shared" si="333"/>
        <v>0</v>
      </c>
      <c r="BC537" s="2897">
        <f t="shared" si="334"/>
        <v>0</v>
      </c>
      <c r="BD537" s="2897">
        <f t="shared" si="335"/>
        <v>0</v>
      </c>
      <c r="BE537" s="2897">
        <f t="shared" si="336"/>
        <v>0</v>
      </c>
      <c r="BF537" s="2897">
        <f t="shared" si="337"/>
        <v>0</v>
      </c>
      <c r="BG537" s="2897">
        <f t="shared" si="338"/>
        <v>0</v>
      </c>
      <c r="BH537" s="2897">
        <f t="shared" si="339"/>
        <v>0</v>
      </c>
      <c r="BI537" s="2897">
        <f t="shared" si="340"/>
        <v>0</v>
      </c>
      <c r="BJ537" s="2897">
        <f t="shared" si="341"/>
        <v>0</v>
      </c>
      <c r="BK537" s="2897">
        <f t="shared" si="342"/>
        <v>0</v>
      </c>
      <c r="BL537" s="2897">
        <f t="shared" si="343"/>
        <v>0</v>
      </c>
      <c r="BM537" s="2897">
        <f t="shared" si="344"/>
        <v>0</v>
      </c>
      <c r="BN537" s="2897">
        <f t="shared" si="345"/>
        <v>0</v>
      </c>
      <c r="BO537" s="2897">
        <f t="shared" si="346"/>
        <v>0</v>
      </c>
      <c r="BP537" s="2897">
        <f t="shared" si="347"/>
        <v>0</v>
      </c>
      <c r="BQ537" s="2897">
        <f t="shared" si="348"/>
        <v>0</v>
      </c>
      <c r="BR537" s="2897">
        <f t="shared" si="349"/>
        <v>0</v>
      </c>
      <c r="BS537" s="2897">
        <f t="shared" si="350"/>
        <v>0</v>
      </c>
      <c r="BT537" s="2971">
        <f t="shared" si="351"/>
        <v>0</v>
      </c>
    </row>
    <row r="538" spans="1:72">
      <c r="A538" s="2894"/>
      <c r="B538" s="2895"/>
      <c r="C538" s="2895"/>
      <c r="D538" s="2907"/>
      <c r="E538" s="2897">
        <f t="shared" si="352"/>
        <v>0</v>
      </c>
      <c r="F538" s="2898"/>
      <c r="G538" s="2899">
        <f t="shared" ref="G538:G572" si="353">H538+AC538+AT538</f>
        <v>0</v>
      </c>
      <c r="H538" s="2900">
        <f t="shared" ref="H538:H572" si="354">SUMIF(I$12:AB$12,"总值",I538:AB538)</f>
        <v>0</v>
      </c>
      <c r="I538" s="2918"/>
      <c r="J538" s="2918"/>
      <c r="K538" s="2918"/>
      <c r="L538" s="2918"/>
      <c r="M538" s="2918"/>
      <c r="N538" s="2918"/>
      <c r="O538" s="2918"/>
      <c r="P538" s="2918"/>
      <c r="Q538" s="2918"/>
      <c r="R538" s="2918"/>
      <c r="S538" s="2918"/>
      <c r="T538" s="2918"/>
      <c r="U538" s="2918"/>
      <c r="V538" s="2918"/>
      <c r="W538" s="2918"/>
      <c r="X538" s="2918"/>
      <c r="Y538" s="2918"/>
      <c r="Z538" s="2918"/>
      <c r="AA538" s="2918"/>
      <c r="AB538" s="2918"/>
      <c r="AC538" s="2897">
        <f t="shared" ref="AC538:AC572" si="355">SUMIF(AD$12:AS$12,"总值",AD538:AS538)</f>
        <v>0</v>
      </c>
      <c r="AD538" s="2929"/>
      <c r="AE538" s="2929"/>
      <c r="AF538" s="2929"/>
      <c r="AG538" s="2929"/>
      <c r="AH538" s="2929"/>
      <c r="AI538" s="2929"/>
      <c r="AJ538" s="2929"/>
      <c r="AK538" s="2929"/>
      <c r="AL538" s="2929"/>
      <c r="AM538" s="2929"/>
      <c r="AN538" s="2929"/>
      <c r="AO538" s="2929"/>
      <c r="AP538" s="2929"/>
      <c r="AQ538" s="2929"/>
      <c r="AR538" s="2929"/>
      <c r="AS538" s="2929"/>
      <c r="AT538" s="2949"/>
      <c r="AU538" s="2950"/>
      <c r="AV538" s="454">
        <f t="shared" ref="AV538:AV572" si="356">A538</f>
        <v>0</v>
      </c>
      <c r="AW538" s="454">
        <f t="shared" ref="AW538:AW572" si="357">B538</f>
        <v>0</v>
      </c>
      <c r="AX538" s="454">
        <f t="shared" ref="AX538:AX572" si="358">C538</f>
        <v>0</v>
      </c>
      <c r="AY538" s="2966">
        <f t="shared" ref="AY538:AY572" si="359">ROUND($AY$6*AZ538/$AZ$5,2)</f>
        <v>0</v>
      </c>
      <c r="AZ538" s="2897">
        <f t="shared" ref="AZ538:AZ572" si="360">BA538+BL538</f>
        <v>0</v>
      </c>
      <c r="BA538" s="2897">
        <f t="shared" ref="BA538:BA572" si="361">SUM(BB538:BK538)</f>
        <v>0</v>
      </c>
      <c r="BB538" s="2897">
        <f t="shared" ref="BB538:BB572" si="362">IF($D538="是",I538-J538,0)</f>
        <v>0</v>
      </c>
      <c r="BC538" s="2897">
        <f t="shared" ref="BC538:BC572" si="363">IF($D538="是",K538-L538,0)</f>
        <v>0</v>
      </c>
      <c r="BD538" s="2897">
        <f t="shared" ref="BD538:BD572" si="364">IF($D538="是",M538-N538,0)</f>
        <v>0</v>
      </c>
      <c r="BE538" s="2897">
        <f t="shared" ref="BE538:BE572" si="365">IF($D538="是",O538-P538,0)</f>
        <v>0</v>
      </c>
      <c r="BF538" s="2897">
        <f t="shared" ref="BF538:BF572" si="366">IF($D538="是",Q538-R538,0)</f>
        <v>0</v>
      </c>
      <c r="BG538" s="2897">
        <f t="shared" ref="BG538:BG572" si="367">IF($D538="是",S538-T538,0)</f>
        <v>0</v>
      </c>
      <c r="BH538" s="2897">
        <f t="shared" ref="BH538:BH572" si="368">IF($D538="是",U538-V538,0)</f>
        <v>0</v>
      </c>
      <c r="BI538" s="2897">
        <f t="shared" ref="BI538:BI572" si="369">IF($D538="是",W538-X538,0)</f>
        <v>0</v>
      </c>
      <c r="BJ538" s="2897">
        <f t="shared" ref="BJ538:BJ572" si="370">IF($D538="是",Y538-Z538,0)</f>
        <v>0</v>
      </c>
      <c r="BK538" s="2897">
        <f t="shared" ref="BK538:BK572" si="371">IF($D538="是",AA538-AB538,0)</f>
        <v>0</v>
      </c>
      <c r="BL538" s="2897">
        <f t="shared" ref="BL538:BL572" si="372">SUM(BM538:BT538)</f>
        <v>0</v>
      </c>
      <c r="BM538" s="2897">
        <f t="shared" ref="BM538:BM572" si="373">IF($D538="是",AD538-AE538,0)</f>
        <v>0</v>
      </c>
      <c r="BN538" s="2897">
        <f t="shared" ref="BN538:BN572" si="374">IF($D538="是",AF538-AG538,0)</f>
        <v>0</v>
      </c>
      <c r="BO538" s="2897">
        <f t="shared" ref="BO538:BO572" si="375">IF($D538="是",AH538-AI538,0)</f>
        <v>0</v>
      </c>
      <c r="BP538" s="2897">
        <f t="shared" ref="BP538:BP572" si="376">IF($D538="是",AJ538-AK538,0)</f>
        <v>0</v>
      </c>
      <c r="BQ538" s="2897">
        <f t="shared" ref="BQ538:BQ572" si="377">IF($D538="是",AL538-AM538,0)</f>
        <v>0</v>
      </c>
      <c r="BR538" s="2897">
        <f t="shared" ref="BR538:BR572" si="378">IF($D538="是",AN538-AO538,0)</f>
        <v>0</v>
      </c>
      <c r="BS538" s="2897">
        <f t="shared" ref="BS538:BS572" si="379">IF($D538="是",AP538-AQ538,0)</f>
        <v>0</v>
      </c>
      <c r="BT538" s="2971">
        <f t="shared" ref="BT538:BT572" si="380">IF($D538="是",AR538-AS538,0)</f>
        <v>0</v>
      </c>
    </row>
    <row r="539" spans="1:72">
      <c r="A539" s="2894"/>
      <c r="B539" s="2895"/>
      <c r="C539" s="2895"/>
      <c r="D539" s="2907"/>
      <c r="E539" s="2897">
        <f t="shared" si="352"/>
        <v>0</v>
      </c>
      <c r="F539" s="2898"/>
      <c r="G539" s="2899">
        <f t="shared" si="353"/>
        <v>0</v>
      </c>
      <c r="H539" s="2900">
        <f t="shared" si="354"/>
        <v>0</v>
      </c>
      <c r="I539" s="2918"/>
      <c r="J539" s="2918"/>
      <c r="K539" s="2918"/>
      <c r="L539" s="2918"/>
      <c r="M539" s="2918"/>
      <c r="N539" s="2918"/>
      <c r="O539" s="2918"/>
      <c r="P539" s="2918"/>
      <c r="Q539" s="2918"/>
      <c r="R539" s="2918"/>
      <c r="S539" s="2918"/>
      <c r="T539" s="2918"/>
      <c r="U539" s="2918"/>
      <c r="V539" s="2918"/>
      <c r="W539" s="2918"/>
      <c r="X539" s="2918"/>
      <c r="Y539" s="2918"/>
      <c r="Z539" s="2918"/>
      <c r="AA539" s="2918"/>
      <c r="AB539" s="2918"/>
      <c r="AC539" s="2897">
        <f t="shared" si="355"/>
        <v>0</v>
      </c>
      <c r="AD539" s="2929"/>
      <c r="AE539" s="2929"/>
      <c r="AF539" s="2929"/>
      <c r="AG539" s="2929"/>
      <c r="AH539" s="2929"/>
      <c r="AI539" s="2929"/>
      <c r="AJ539" s="2929"/>
      <c r="AK539" s="2929"/>
      <c r="AL539" s="2929"/>
      <c r="AM539" s="2929"/>
      <c r="AN539" s="2929"/>
      <c r="AO539" s="2929"/>
      <c r="AP539" s="2929"/>
      <c r="AQ539" s="2929"/>
      <c r="AR539" s="2929"/>
      <c r="AS539" s="2929"/>
      <c r="AT539" s="2949"/>
      <c r="AU539" s="2950"/>
      <c r="AV539" s="454">
        <f t="shared" si="356"/>
        <v>0</v>
      </c>
      <c r="AW539" s="454">
        <f t="shared" si="357"/>
        <v>0</v>
      </c>
      <c r="AX539" s="454">
        <f t="shared" si="358"/>
        <v>0</v>
      </c>
      <c r="AY539" s="2966">
        <f t="shared" si="359"/>
        <v>0</v>
      </c>
      <c r="AZ539" s="2897">
        <f t="shared" si="360"/>
        <v>0</v>
      </c>
      <c r="BA539" s="2897">
        <f t="shared" si="361"/>
        <v>0</v>
      </c>
      <c r="BB539" s="2897">
        <f t="shared" si="362"/>
        <v>0</v>
      </c>
      <c r="BC539" s="2897">
        <f t="shared" si="363"/>
        <v>0</v>
      </c>
      <c r="BD539" s="2897">
        <f t="shared" si="364"/>
        <v>0</v>
      </c>
      <c r="BE539" s="2897">
        <f t="shared" si="365"/>
        <v>0</v>
      </c>
      <c r="BF539" s="2897">
        <f t="shared" si="366"/>
        <v>0</v>
      </c>
      <c r="BG539" s="2897">
        <f t="shared" si="367"/>
        <v>0</v>
      </c>
      <c r="BH539" s="2897">
        <f t="shared" si="368"/>
        <v>0</v>
      </c>
      <c r="BI539" s="2897">
        <f t="shared" si="369"/>
        <v>0</v>
      </c>
      <c r="BJ539" s="2897">
        <f t="shared" si="370"/>
        <v>0</v>
      </c>
      <c r="BK539" s="2897">
        <f t="shared" si="371"/>
        <v>0</v>
      </c>
      <c r="BL539" s="2897">
        <f t="shared" si="372"/>
        <v>0</v>
      </c>
      <c r="BM539" s="2897">
        <f t="shared" si="373"/>
        <v>0</v>
      </c>
      <c r="BN539" s="2897">
        <f t="shared" si="374"/>
        <v>0</v>
      </c>
      <c r="BO539" s="2897">
        <f t="shared" si="375"/>
        <v>0</v>
      </c>
      <c r="BP539" s="2897">
        <f t="shared" si="376"/>
        <v>0</v>
      </c>
      <c r="BQ539" s="2897">
        <f t="shared" si="377"/>
        <v>0</v>
      </c>
      <c r="BR539" s="2897">
        <f t="shared" si="378"/>
        <v>0</v>
      </c>
      <c r="BS539" s="2897">
        <f t="shared" si="379"/>
        <v>0</v>
      </c>
      <c r="BT539" s="2971">
        <f t="shared" si="380"/>
        <v>0</v>
      </c>
    </row>
    <row r="540" spans="1:72">
      <c r="A540" s="2894"/>
      <c r="B540" s="2895"/>
      <c r="C540" s="2895"/>
      <c r="D540" s="2907"/>
      <c r="E540" s="2897">
        <f t="shared" si="352"/>
        <v>0</v>
      </c>
      <c r="F540" s="2898"/>
      <c r="G540" s="2899">
        <f t="shared" si="353"/>
        <v>0</v>
      </c>
      <c r="H540" s="2900">
        <f t="shared" si="354"/>
        <v>0</v>
      </c>
      <c r="I540" s="2918"/>
      <c r="J540" s="2918"/>
      <c r="K540" s="2918"/>
      <c r="L540" s="2918"/>
      <c r="M540" s="2918"/>
      <c r="N540" s="2918"/>
      <c r="O540" s="2918"/>
      <c r="P540" s="2918"/>
      <c r="Q540" s="2918"/>
      <c r="R540" s="2918"/>
      <c r="S540" s="2918"/>
      <c r="T540" s="2918"/>
      <c r="U540" s="2918"/>
      <c r="V540" s="2918"/>
      <c r="W540" s="2918"/>
      <c r="X540" s="2918"/>
      <c r="Y540" s="2918"/>
      <c r="Z540" s="2918"/>
      <c r="AA540" s="2918"/>
      <c r="AB540" s="2918"/>
      <c r="AC540" s="2897">
        <f t="shared" si="355"/>
        <v>0</v>
      </c>
      <c r="AD540" s="2929"/>
      <c r="AE540" s="2929"/>
      <c r="AF540" s="2929"/>
      <c r="AG540" s="2929"/>
      <c r="AH540" s="2929"/>
      <c r="AI540" s="2929"/>
      <c r="AJ540" s="2929"/>
      <c r="AK540" s="2929"/>
      <c r="AL540" s="2929"/>
      <c r="AM540" s="2929"/>
      <c r="AN540" s="2929"/>
      <c r="AO540" s="2929"/>
      <c r="AP540" s="2929"/>
      <c r="AQ540" s="2929"/>
      <c r="AR540" s="2929"/>
      <c r="AS540" s="2929"/>
      <c r="AT540" s="2949"/>
      <c r="AU540" s="2950"/>
      <c r="AV540" s="454">
        <f t="shared" si="356"/>
        <v>0</v>
      </c>
      <c r="AW540" s="454">
        <f t="shared" si="357"/>
        <v>0</v>
      </c>
      <c r="AX540" s="454">
        <f t="shared" si="358"/>
        <v>0</v>
      </c>
      <c r="AY540" s="2966">
        <f t="shared" si="359"/>
        <v>0</v>
      </c>
      <c r="AZ540" s="2897">
        <f t="shared" si="360"/>
        <v>0</v>
      </c>
      <c r="BA540" s="2897">
        <f t="shared" si="361"/>
        <v>0</v>
      </c>
      <c r="BB540" s="2897">
        <f t="shared" si="362"/>
        <v>0</v>
      </c>
      <c r="BC540" s="2897">
        <f t="shared" si="363"/>
        <v>0</v>
      </c>
      <c r="BD540" s="2897">
        <f t="shared" si="364"/>
        <v>0</v>
      </c>
      <c r="BE540" s="2897">
        <f t="shared" si="365"/>
        <v>0</v>
      </c>
      <c r="BF540" s="2897">
        <f t="shared" si="366"/>
        <v>0</v>
      </c>
      <c r="BG540" s="2897">
        <f t="shared" si="367"/>
        <v>0</v>
      </c>
      <c r="BH540" s="2897">
        <f t="shared" si="368"/>
        <v>0</v>
      </c>
      <c r="BI540" s="2897">
        <f t="shared" si="369"/>
        <v>0</v>
      </c>
      <c r="BJ540" s="2897">
        <f t="shared" si="370"/>
        <v>0</v>
      </c>
      <c r="BK540" s="2897">
        <f t="shared" si="371"/>
        <v>0</v>
      </c>
      <c r="BL540" s="2897">
        <f t="shared" si="372"/>
        <v>0</v>
      </c>
      <c r="BM540" s="2897">
        <f t="shared" si="373"/>
        <v>0</v>
      </c>
      <c r="BN540" s="2897">
        <f t="shared" si="374"/>
        <v>0</v>
      </c>
      <c r="BO540" s="2897">
        <f t="shared" si="375"/>
        <v>0</v>
      </c>
      <c r="BP540" s="2897">
        <f t="shared" si="376"/>
        <v>0</v>
      </c>
      <c r="BQ540" s="2897">
        <f t="shared" si="377"/>
        <v>0</v>
      </c>
      <c r="BR540" s="2897">
        <f t="shared" si="378"/>
        <v>0</v>
      </c>
      <c r="BS540" s="2897">
        <f t="shared" si="379"/>
        <v>0</v>
      </c>
      <c r="BT540" s="2971">
        <f t="shared" si="380"/>
        <v>0</v>
      </c>
    </row>
    <row r="541" spans="1:72">
      <c r="A541" s="2894"/>
      <c r="B541" s="2895"/>
      <c r="C541" s="2895"/>
      <c r="D541" s="2907"/>
      <c r="E541" s="2897">
        <f t="shared" si="352"/>
        <v>0</v>
      </c>
      <c r="F541" s="2898"/>
      <c r="G541" s="2899">
        <f t="shared" si="353"/>
        <v>0</v>
      </c>
      <c r="H541" s="2900">
        <f t="shared" si="354"/>
        <v>0</v>
      </c>
      <c r="I541" s="2918"/>
      <c r="J541" s="2918"/>
      <c r="K541" s="2918"/>
      <c r="L541" s="2918"/>
      <c r="M541" s="2918"/>
      <c r="N541" s="2918"/>
      <c r="O541" s="2918"/>
      <c r="P541" s="2918"/>
      <c r="Q541" s="2918"/>
      <c r="R541" s="2918"/>
      <c r="S541" s="2918"/>
      <c r="T541" s="2918"/>
      <c r="U541" s="2918"/>
      <c r="V541" s="2918"/>
      <c r="W541" s="2918"/>
      <c r="X541" s="2918"/>
      <c r="Y541" s="2918"/>
      <c r="Z541" s="2918"/>
      <c r="AA541" s="2918"/>
      <c r="AB541" s="2918"/>
      <c r="AC541" s="2897">
        <f t="shared" si="355"/>
        <v>0</v>
      </c>
      <c r="AD541" s="2929"/>
      <c r="AE541" s="2929"/>
      <c r="AF541" s="2929"/>
      <c r="AG541" s="2929"/>
      <c r="AH541" s="2929"/>
      <c r="AI541" s="2929"/>
      <c r="AJ541" s="2929"/>
      <c r="AK541" s="2929"/>
      <c r="AL541" s="2929"/>
      <c r="AM541" s="2929"/>
      <c r="AN541" s="2929"/>
      <c r="AO541" s="2929"/>
      <c r="AP541" s="2929"/>
      <c r="AQ541" s="2929"/>
      <c r="AR541" s="2929"/>
      <c r="AS541" s="2929"/>
      <c r="AT541" s="2949"/>
      <c r="AU541" s="2950"/>
      <c r="AV541" s="454">
        <f t="shared" si="356"/>
        <v>0</v>
      </c>
      <c r="AW541" s="454">
        <f t="shared" si="357"/>
        <v>0</v>
      </c>
      <c r="AX541" s="454">
        <f t="shared" si="358"/>
        <v>0</v>
      </c>
      <c r="AY541" s="2966">
        <f t="shared" si="359"/>
        <v>0</v>
      </c>
      <c r="AZ541" s="2897">
        <f t="shared" si="360"/>
        <v>0</v>
      </c>
      <c r="BA541" s="2897">
        <f t="shared" si="361"/>
        <v>0</v>
      </c>
      <c r="BB541" s="2897">
        <f t="shared" si="362"/>
        <v>0</v>
      </c>
      <c r="BC541" s="2897">
        <f t="shared" si="363"/>
        <v>0</v>
      </c>
      <c r="BD541" s="2897">
        <f t="shared" si="364"/>
        <v>0</v>
      </c>
      <c r="BE541" s="2897">
        <f t="shared" si="365"/>
        <v>0</v>
      </c>
      <c r="BF541" s="2897">
        <f t="shared" si="366"/>
        <v>0</v>
      </c>
      <c r="BG541" s="2897">
        <f t="shared" si="367"/>
        <v>0</v>
      </c>
      <c r="BH541" s="2897">
        <f t="shared" si="368"/>
        <v>0</v>
      </c>
      <c r="BI541" s="2897">
        <f t="shared" si="369"/>
        <v>0</v>
      </c>
      <c r="BJ541" s="2897">
        <f t="shared" si="370"/>
        <v>0</v>
      </c>
      <c r="BK541" s="2897">
        <f t="shared" si="371"/>
        <v>0</v>
      </c>
      <c r="BL541" s="2897">
        <f t="shared" si="372"/>
        <v>0</v>
      </c>
      <c r="BM541" s="2897">
        <f t="shared" si="373"/>
        <v>0</v>
      </c>
      <c r="BN541" s="2897">
        <f t="shared" si="374"/>
        <v>0</v>
      </c>
      <c r="BO541" s="2897">
        <f t="shared" si="375"/>
        <v>0</v>
      </c>
      <c r="BP541" s="2897">
        <f t="shared" si="376"/>
        <v>0</v>
      </c>
      <c r="BQ541" s="2897">
        <f t="shared" si="377"/>
        <v>0</v>
      </c>
      <c r="BR541" s="2897">
        <f t="shared" si="378"/>
        <v>0</v>
      </c>
      <c r="BS541" s="2897">
        <f t="shared" si="379"/>
        <v>0</v>
      </c>
      <c r="BT541" s="2971">
        <f t="shared" si="380"/>
        <v>0</v>
      </c>
    </row>
    <row r="542" spans="1:72">
      <c r="A542" s="2894"/>
      <c r="B542" s="2895"/>
      <c r="C542" s="2895"/>
      <c r="D542" s="2907"/>
      <c r="E542" s="2897">
        <f t="shared" si="352"/>
        <v>0</v>
      </c>
      <c r="F542" s="2898"/>
      <c r="G542" s="2899">
        <f t="shared" si="353"/>
        <v>0</v>
      </c>
      <c r="H542" s="2900">
        <f t="shared" si="354"/>
        <v>0</v>
      </c>
      <c r="I542" s="2918"/>
      <c r="J542" s="2918"/>
      <c r="K542" s="2918"/>
      <c r="L542" s="2918"/>
      <c r="M542" s="2918"/>
      <c r="N542" s="2918"/>
      <c r="O542" s="2918"/>
      <c r="P542" s="2918"/>
      <c r="Q542" s="2918"/>
      <c r="R542" s="2918"/>
      <c r="S542" s="2918"/>
      <c r="T542" s="2918"/>
      <c r="U542" s="2918"/>
      <c r="V542" s="2918"/>
      <c r="W542" s="2918"/>
      <c r="X542" s="2918"/>
      <c r="Y542" s="2918"/>
      <c r="Z542" s="2918"/>
      <c r="AA542" s="2918"/>
      <c r="AB542" s="2918"/>
      <c r="AC542" s="2897">
        <f t="shared" si="355"/>
        <v>0</v>
      </c>
      <c r="AD542" s="2929"/>
      <c r="AE542" s="2929"/>
      <c r="AF542" s="2929"/>
      <c r="AG542" s="2929"/>
      <c r="AH542" s="2929"/>
      <c r="AI542" s="2929"/>
      <c r="AJ542" s="2929"/>
      <c r="AK542" s="2929"/>
      <c r="AL542" s="2929"/>
      <c r="AM542" s="2929"/>
      <c r="AN542" s="2929"/>
      <c r="AO542" s="2929"/>
      <c r="AP542" s="2929"/>
      <c r="AQ542" s="2929"/>
      <c r="AR542" s="2929"/>
      <c r="AS542" s="2929"/>
      <c r="AT542" s="2949"/>
      <c r="AU542" s="2950"/>
      <c r="AV542" s="454">
        <f t="shared" si="356"/>
        <v>0</v>
      </c>
      <c r="AW542" s="454">
        <f t="shared" si="357"/>
        <v>0</v>
      </c>
      <c r="AX542" s="454">
        <f t="shared" si="358"/>
        <v>0</v>
      </c>
      <c r="AY542" s="2966">
        <f t="shared" si="359"/>
        <v>0</v>
      </c>
      <c r="AZ542" s="2897">
        <f t="shared" si="360"/>
        <v>0</v>
      </c>
      <c r="BA542" s="2897">
        <f t="shared" si="361"/>
        <v>0</v>
      </c>
      <c r="BB542" s="2897">
        <f t="shared" si="362"/>
        <v>0</v>
      </c>
      <c r="BC542" s="2897">
        <f t="shared" si="363"/>
        <v>0</v>
      </c>
      <c r="BD542" s="2897">
        <f t="shared" si="364"/>
        <v>0</v>
      </c>
      <c r="BE542" s="2897">
        <f t="shared" si="365"/>
        <v>0</v>
      </c>
      <c r="BF542" s="2897">
        <f t="shared" si="366"/>
        <v>0</v>
      </c>
      <c r="BG542" s="2897">
        <f t="shared" si="367"/>
        <v>0</v>
      </c>
      <c r="BH542" s="2897">
        <f t="shared" si="368"/>
        <v>0</v>
      </c>
      <c r="BI542" s="2897">
        <f t="shared" si="369"/>
        <v>0</v>
      </c>
      <c r="BJ542" s="2897">
        <f t="shared" si="370"/>
        <v>0</v>
      </c>
      <c r="BK542" s="2897">
        <f t="shared" si="371"/>
        <v>0</v>
      </c>
      <c r="BL542" s="2897">
        <f t="shared" si="372"/>
        <v>0</v>
      </c>
      <c r="BM542" s="2897">
        <f t="shared" si="373"/>
        <v>0</v>
      </c>
      <c r="BN542" s="2897">
        <f t="shared" si="374"/>
        <v>0</v>
      </c>
      <c r="BO542" s="2897">
        <f t="shared" si="375"/>
        <v>0</v>
      </c>
      <c r="BP542" s="2897">
        <f t="shared" si="376"/>
        <v>0</v>
      </c>
      <c r="BQ542" s="2897">
        <f t="shared" si="377"/>
        <v>0</v>
      </c>
      <c r="BR542" s="2897">
        <f t="shared" si="378"/>
        <v>0</v>
      </c>
      <c r="BS542" s="2897">
        <f t="shared" si="379"/>
        <v>0</v>
      </c>
      <c r="BT542" s="2971">
        <f t="shared" si="380"/>
        <v>0</v>
      </c>
    </row>
    <row r="543" spans="1:72">
      <c r="A543" s="2894"/>
      <c r="B543" s="2895"/>
      <c r="C543" s="2895"/>
      <c r="D543" s="2907"/>
      <c r="E543" s="2897">
        <f t="shared" si="352"/>
        <v>0</v>
      </c>
      <c r="F543" s="2898"/>
      <c r="G543" s="2899">
        <f t="shared" si="353"/>
        <v>0</v>
      </c>
      <c r="H543" s="2900">
        <f t="shared" si="354"/>
        <v>0</v>
      </c>
      <c r="I543" s="2918"/>
      <c r="J543" s="2918"/>
      <c r="K543" s="2918"/>
      <c r="L543" s="2918"/>
      <c r="M543" s="2918"/>
      <c r="N543" s="2918"/>
      <c r="O543" s="2918"/>
      <c r="P543" s="2918"/>
      <c r="Q543" s="2918"/>
      <c r="R543" s="2918"/>
      <c r="S543" s="2918"/>
      <c r="T543" s="2918"/>
      <c r="U543" s="2918"/>
      <c r="V543" s="2918"/>
      <c r="W543" s="2918"/>
      <c r="X543" s="2918"/>
      <c r="Y543" s="2918"/>
      <c r="Z543" s="2918"/>
      <c r="AA543" s="2918"/>
      <c r="AB543" s="2918"/>
      <c r="AC543" s="2897">
        <f t="shared" si="355"/>
        <v>0</v>
      </c>
      <c r="AD543" s="2929"/>
      <c r="AE543" s="2929"/>
      <c r="AF543" s="2929"/>
      <c r="AG543" s="2929"/>
      <c r="AH543" s="2929"/>
      <c r="AI543" s="2929"/>
      <c r="AJ543" s="2929"/>
      <c r="AK543" s="2929"/>
      <c r="AL543" s="2929"/>
      <c r="AM543" s="2929"/>
      <c r="AN543" s="2929"/>
      <c r="AO543" s="2929"/>
      <c r="AP543" s="2929"/>
      <c r="AQ543" s="2929"/>
      <c r="AR543" s="2929"/>
      <c r="AS543" s="2929"/>
      <c r="AT543" s="2949"/>
      <c r="AU543" s="2950"/>
      <c r="AV543" s="454">
        <f t="shared" si="356"/>
        <v>0</v>
      </c>
      <c r="AW543" s="454">
        <f t="shared" si="357"/>
        <v>0</v>
      </c>
      <c r="AX543" s="454">
        <f t="shared" si="358"/>
        <v>0</v>
      </c>
      <c r="AY543" s="2966">
        <f t="shared" si="359"/>
        <v>0</v>
      </c>
      <c r="AZ543" s="2897">
        <f t="shared" si="360"/>
        <v>0</v>
      </c>
      <c r="BA543" s="2897">
        <f t="shared" si="361"/>
        <v>0</v>
      </c>
      <c r="BB543" s="2897">
        <f t="shared" si="362"/>
        <v>0</v>
      </c>
      <c r="BC543" s="2897">
        <f t="shared" si="363"/>
        <v>0</v>
      </c>
      <c r="BD543" s="2897">
        <f t="shared" si="364"/>
        <v>0</v>
      </c>
      <c r="BE543" s="2897">
        <f t="shared" si="365"/>
        <v>0</v>
      </c>
      <c r="BF543" s="2897">
        <f t="shared" si="366"/>
        <v>0</v>
      </c>
      <c r="BG543" s="2897">
        <f t="shared" si="367"/>
        <v>0</v>
      </c>
      <c r="BH543" s="2897">
        <f t="shared" si="368"/>
        <v>0</v>
      </c>
      <c r="BI543" s="2897">
        <f t="shared" si="369"/>
        <v>0</v>
      </c>
      <c r="BJ543" s="2897">
        <f t="shared" si="370"/>
        <v>0</v>
      </c>
      <c r="BK543" s="2897">
        <f t="shared" si="371"/>
        <v>0</v>
      </c>
      <c r="BL543" s="2897">
        <f t="shared" si="372"/>
        <v>0</v>
      </c>
      <c r="BM543" s="2897">
        <f t="shared" si="373"/>
        <v>0</v>
      </c>
      <c r="BN543" s="2897">
        <f t="shared" si="374"/>
        <v>0</v>
      </c>
      <c r="BO543" s="2897">
        <f t="shared" si="375"/>
        <v>0</v>
      </c>
      <c r="BP543" s="2897">
        <f t="shared" si="376"/>
        <v>0</v>
      </c>
      <c r="BQ543" s="2897">
        <f t="shared" si="377"/>
        <v>0</v>
      </c>
      <c r="BR543" s="2897">
        <f t="shared" si="378"/>
        <v>0</v>
      </c>
      <c r="BS543" s="2897">
        <f t="shared" si="379"/>
        <v>0</v>
      </c>
      <c r="BT543" s="2971">
        <f t="shared" si="380"/>
        <v>0</v>
      </c>
    </row>
    <row r="544" spans="1:72">
      <c r="A544" s="2894"/>
      <c r="B544" s="2895"/>
      <c r="C544" s="2895"/>
      <c r="D544" s="2907"/>
      <c r="E544" s="2897">
        <f t="shared" si="352"/>
        <v>0</v>
      </c>
      <c r="F544" s="2898"/>
      <c r="G544" s="2899">
        <f t="shared" si="353"/>
        <v>0</v>
      </c>
      <c r="H544" s="2900">
        <f t="shared" si="354"/>
        <v>0</v>
      </c>
      <c r="I544" s="2918"/>
      <c r="J544" s="2918"/>
      <c r="K544" s="2918"/>
      <c r="L544" s="2918"/>
      <c r="M544" s="2918"/>
      <c r="N544" s="2918"/>
      <c r="O544" s="2918"/>
      <c r="P544" s="2918"/>
      <c r="Q544" s="2918"/>
      <c r="R544" s="2918"/>
      <c r="S544" s="2918"/>
      <c r="T544" s="2918"/>
      <c r="U544" s="2918"/>
      <c r="V544" s="2918"/>
      <c r="W544" s="2918"/>
      <c r="X544" s="2918"/>
      <c r="Y544" s="2918"/>
      <c r="Z544" s="2918"/>
      <c r="AA544" s="2918"/>
      <c r="AB544" s="2918"/>
      <c r="AC544" s="2897">
        <f t="shared" si="355"/>
        <v>0</v>
      </c>
      <c r="AD544" s="2929"/>
      <c r="AE544" s="2929"/>
      <c r="AF544" s="2929"/>
      <c r="AG544" s="2929"/>
      <c r="AH544" s="2929"/>
      <c r="AI544" s="2929"/>
      <c r="AJ544" s="2929"/>
      <c r="AK544" s="2929"/>
      <c r="AL544" s="2929"/>
      <c r="AM544" s="2929"/>
      <c r="AN544" s="2929"/>
      <c r="AO544" s="2929"/>
      <c r="AP544" s="2929"/>
      <c r="AQ544" s="2929"/>
      <c r="AR544" s="2929"/>
      <c r="AS544" s="2929"/>
      <c r="AT544" s="2949"/>
      <c r="AU544" s="2950"/>
      <c r="AV544" s="454">
        <f t="shared" si="356"/>
        <v>0</v>
      </c>
      <c r="AW544" s="454">
        <f t="shared" si="357"/>
        <v>0</v>
      </c>
      <c r="AX544" s="454">
        <f t="shared" si="358"/>
        <v>0</v>
      </c>
      <c r="AY544" s="2966">
        <f t="shared" si="359"/>
        <v>0</v>
      </c>
      <c r="AZ544" s="2897">
        <f t="shared" si="360"/>
        <v>0</v>
      </c>
      <c r="BA544" s="2897">
        <f t="shared" si="361"/>
        <v>0</v>
      </c>
      <c r="BB544" s="2897">
        <f t="shared" si="362"/>
        <v>0</v>
      </c>
      <c r="BC544" s="2897">
        <f t="shared" si="363"/>
        <v>0</v>
      </c>
      <c r="BD544" s="2897">
        <f t="shared" si="364"/>
        <v>0</v>
      </c>
      <c r="BE544" s="2897">
        <f t="shared" si="365"/>
        <v>0</v>
      </c>
      <c r="BF544" s="2897">
        <f t="shared" si="366"/>
        <v>0</v>
      </c>
      <c r="BG544" s="2897">
        <f t="shared" si="367"/>
        <v>0</v>
      </c>
      <c r="BH544" s="2897">
        <f t="shared" si="368"/>
        <v>0</v>
      </c>
      <c r="BI544" s="2897">
        <f t="shared" si="369"/>
        <v>0</v>
      </c>
      <c r="BJ544" s="2897">
        <f t="shared" si="370"/>
        <v>0</v>
      </c>
      <c r="BK544" s="2897">
        <f t="shared" si="371"/>
        <v>0</v>
      </c>
      <c r="BL544" s="2897">
        <f t="shared" si="372"/>
        <v>0</v>
      </c>
      <c r="BM544" s="2897">
        <f t="shared" si="373"/>
        <v>0</v>
      </c>
      <c r="BN544" s="2897">
        <f t="shared" si="374"/>
        <v>0</v>
      </c>
      <c r="BO544" s="2897">
        <f t="shared" si="375"/>
        <v>0</v>
      </c>
      <c r="BP544" s="2897">
        <f t="shared" si="376"/>
        <v>0</v>
      </c>
      <c r="BQ544" s="2897">
        <f t="shared" si="377"/>
        <v>0</v>
      </c>
      <c r="BR544" s="2897">
        <f t="shared" si="378"/>
        <v>0</v>
      </c>
      <c r="BS544" s="2897">
        <f t="shared" si="379"/>
        <v>0</v>
      </c>
      <c r="BT544" s="2971">
        <f t="shared" si="380"/>
        <v>0</v>
      </c>
    </row>
    <row r="545" spans="1:72">
      <c r="A545" s="2894"/>
      <c r="B545" s="2895"/>
      <c r="C545" s="2895"/>
      <c r="D545" s="2907"/>
      <c r="E545" s="2897">
        <f t="shared" si="352"/>
        <v>0</v>
      </c>
      <c r="F545" s="2898"/>
      <c r="G545" s="2899">
        <f t="shared" si="353"/>
        <v>0</v>
      </c>
      <c r="H545" s="2900">
        <f t="shared" si="354"/>
        <v>0</v>
      </c>
      <c r="I545" s="2918"/>
      <c r="J545" s="2918"/>
      <c r="K545" s="2918"/>
      <c r="L545" s="2918"/>
      <c r="M545" s="2918"/>
      <c r="N545" s="2918"/>
      <c r="O545" s="2918"/>
      <c r="P545" s="2918"/>
      <c r="Q545" s="2918"/>
      <c r="R545" s="2918"/>
      <c r="S545" s="2918"/>
      <c r="T545" s="2918"/>
      <c r="U545" s="2918"/>
      <c r="V545" s="2918"/>
      <c r="W545" s="2918"/>
      <c r="X545" s="2918"/>
      <c r="Y545" s="2918"/>
      <c r="Z545" s="2918"/>
      <c r="AA545" s="2918"/>
      <c r="AB545" s="2918"/>
      <c r="AC545" s="2897">
        <f t="shared" si="355"/>
        <v>0</v>
      </c>
      <c r="AD545" s="2929"/>
      <c r="AE545" s="2929"/>
      <c r="AF545" s="2929"/>
      <c r="AG545" s="2929"/>
      <c r="AH545" s="2929"/>
      <c r="AI545" s="2929"/>
      <c r="AJ545" s="2929"/>
      <c r="AK545" s="2929"/>
      <c r="AL545" s="2929"/>
      <c r="AM545" s="2929"/>
      <c r="AN545" s="2929"/>
      <c r="AO545" s="2929"/>
      <c r="AP545" s="2929"/>
      <c r="AQ545" s="2929"/>
      <c r="AR545" s="2929"/>
      <c r="AS545" s="2929"/>
      <c r="AT545" s="2949"/>
      <c r="AU545" s="2950"/>
      <c r="AV545" s="454">
        <f t="shared" si="356"/>
        <v>0</v>
      </c>
      <c r="AW545" s="454">
        <f t="shared" si="357"/>
        <v>0</v>
      </c>
      <c r="AX545" s="454">
        <f t="shared" si="358"/>
        <v>0</v>
      </c>
      <c r="AY545" s="2966">
        <f t="shared" si="359"/>
        <v>0</v>
      </c>
      <c r="AZ545" s="2897">
        <f t="shared" si="360"/>
        <v>0</v>
      </c>
      <c r="BA545" s="2897">
        <f t="shared" si="361"/>
        <v>0</v>
      </c>
      <c r="BB545" s="2897">
        <f t="shared" si="362"/>
        <v>0</v>
      </c>
      <c r="BC545" s="2897">
        <f t="shared" si="363"/>
        <v>0</v>
      </c>
      <c r="BD545" s="2897">
        <f t="shared" si="364"/>
        <v>0</v>
      </c>
      <c r="BE545" s="2897">
        <f t="shared" si="365"/>
        <v>0</v>
      </c>
      <c r="BF545" s="2897">
        <f t="shared" si="366"/>
        <v>0</v>
      </c>
      <c r="BG545" s="2897">
        <f t="shared" si="367"/>
        <v>0</v>
      </c>
      <c r="BH545" s="2897">
        <f t="shared" si="368"/>
        <v>0</v>
      </c>
      <c r="BI545" s="2897">
        <f t="shared" si="369"/>
        <v>0</v>
      </c>
      <c r="BJ545" s="2897">
        <f t="shared" si="370"/>
        <v>0</v>
      </c>
      <c r="BK545" s="2897">
        <f t="shared" si="371"/>
        <v>0</v>
      </c>
      <c r="BL545" s="2897">
        <f t="shared" si="372"/>
        <v>0</v>
      </c>
      <c r="BM545" s="2897">
        <f t="shared" si="373"/>
        <v>0</v>
      </c>
      <c r="BN545" s="2897">
        <f t="shared" si="374"/>
        <v>0</v>
      </c>
      <c r="BO545" s="2897">
        <f t="shared" si="375"/>
        <v>0</v>
      </c>
      <c r="BP545" s="2897">
        <f t="shared" si="376"/>
        <v>0</v>
      </c>
      <c r="BQ545" s="2897">
        <f t="shared" si="377"/>
        <v>0</v>
      </c>
      <c r="BR545" s="2897">
        <f t="shared" si="378"/>
        <v>0</v>
      </c>
      <c r="BS545" s="2897">
        <f t="shared" si="379"/>
        <v>0</v>
      </c>
      <c r="BT545" s="2971">
        <f t="shared" si="380"/>
        <v>0</v>
      </c>
    </row>
    <row r="546" spans="1:72">
      <c r="A546" s="2894"/>
      <c r="B546" s="2895"/>
      <c r="C546" s="2895"/>
      <c r="D546" s="2907"/>
      <c r="E546" s="2897">
        <f t="shared" si="352"/>
        <v>0</v>
      </c>
      <c r="F546" s="2898"/>
      <c r="G546" s="2899">
        <f t="shared" si="353"/>
        <v>0</v>
      </c>
      <c r="H546" s="2900">
        <f t="shared" si="354"/>
        <v>0</v>
      </c>
      <c r="I546" s="2918"/>
      <c r="J546" s="2918"/>
      <c r="K546" s="2918"/>
      <c r="L546" s="2918"/>
      <c r="M546" s="2918"/>
      <c r="N546" s="2918"/>
      <c r="O546" s="2918"/>
      <c r="P546" s="2918"/>
      <c r="Q546" s="2918"/>
      <c r="R546" s="2918"/>
      <c r="S546" s="2918"/>
      <c r="T546" s="2918"/>
      <c r="U546" s="2918"/>
      <c r="V546" s="2918"/>
      <c r="W546" s="2918"/>
      <c r="X546" s="2918"/>
      <c r="Y546" s="2918"/>
      <c r="Z546" s="2918"/>
      <c r="AA546" s="2918"/>
      <c r="AB546" s="2918"/>
      <c r="AC546" s="2897">
        <f t="shared" si="355"/>
        <v>0</v>
      </c>
      <c r="AD546" s="2929"/>
      <c r="AE546" s="2929"/>
      <c r="AF546" s="2929"/>
      <c r="AG546" s="2929"/>
      <c r="AH546" s="2929"/>
      <c r="AI546" s="2929"/>
      <c r="AJ546" s="2929"/>
      <c r="AK546" s="2929"/>
      <c r="AL546" s="2929"/>
      <c r="AM546" s="2929"/>
      <c r="AN546" s="2929"/>
      <c r="AO546" s="2929"/>
      <c r="AP546" s="2929"/>
      <c r="AQ546" s="2929"/>
      <c r="AR546" s="2929"/>
      <c r="AS546" s="2929"/>
      <c r="AT546" s="2949"/>
      <c r="AU546" s="2950"/>
      <c r="AV546" s="454">
        <f t="shared" si="356"/>
        <v>0</v>
      </c>
      <c r="AW546" s="454">
        <f t="shared" si="357"/>
        <v>0</v>
      </c>
      <c r="AX546" s="454">
        <f t="shared" si="358"/>
        <v>0</v>
      </c>
      <c r="AY546" s="2966">
        <f t="shared" si="359"/>
        <v>0</v>
      </c>
      <c r="AZ546" s="2897">
        <f t="shared" si="360"/>
        <v>0</v>
      </c>
      <c r="BA546" s="2897">
        <f t="shared" si="361"/>
        <v>0</v>
      </c>
      <c r="BB546" s="2897">
        <f t="shared" si="362"/>
        <v>0</v>
      </c>
      <c r="BC546" s="2897">
        <f t="shared" si="363"/>
        <v>0</v>
      </c>
      <c r="BD546" s="2897">
        <f t="shared" si="364"/>
        <v>0</v>
      </c>
      <c r="BE546" s="2897">
        <f t="shared" si="365"/>
        <v>0</v>
      </c>
      <c r="BF546" s="2897">
        <f t="shared" si="366"/>
        <v>0</v>
      </c>
      <c r="BG546" s="2897">
        <f t="shared" si="367"/>
        <v>0</v>
      </c>
      <c r="BH546" s="2897">
        <f t="shared" si="368"/>
        <v>0</v>
      </c>
      <c r="BI546" s="2897">
        <f t="shared" si="369"/>
        <v>0</v>
      </c>
      <c r="BJ546" s="2897">
        <f t="shared" si="370"/>
        <v>0</v>
      </c>
      <c r="BK546" s="2897">
        <f t="shared" si="371"/>
        <v>0</v>
      </c>
      <c r="BL546" s="2897">
        <f t="shared" si="372"/>
        <v>0</v>
      </c>
      <c r="BM546" s="2897">
        <f t="shared" si="373"/>
        <v>0</v>
      </c>
      <c r="BN546" s="2897">
        <f t="shared" si="374"/>
        <v>0</v>
      </c>
      <c r="BO546" s="2897">
        <f t="shared" si="375"/>
        <v>0</v>
      </c>
      <c r="BP546" s="2897">
        <f t="shared" si="376"/>
        <v>0</v>
      </c>
      <c r="BQ546" s="2897">
        <f t="shared" si="377"/>
        <v>0</v>
      </c>
      <c r="BR546" s="2897">
        <f t="shared" si="378"/>
        <v>0</v>
      </c>
      <c r="BS546" s="2897">
        <f t="shared" si="379"/>
        <v>0</v>
      </c>
      <c r="BT546" s="2971">
        <f t="shared" si="380"/>
        <v>0</v>
      </c>
    </row>
    <row r="547" spans="1:72">
      <c r="A547" s="2894"/>
      <c r="B547" s="2895"/>
      <c r="C547" s="2895"/>
      <c r="D547" s="2907"/>
      <c r="E547" s="2897">
        <f t="shared" si="352"/>
        <v>0</v>
      </c>
      <c r="F547" s="2898"/>
      <c r="G547" s="2899">
        <f t="shared" si="353"/>
        <v>0</v>
      </c>
      <c r="H547" s="2900">
        <f t="shared" si="354"/>
        <v>0</v>
      </c>
      <c r="I547" s="2918"/>
      <c r="J547" s="2918"/>
      <c r="K547" s="2918"/>
      <c r="L547" s="2918"/>
      <c r="M547" s="2918"/>
      <c r="N547" s="2918"/>
      <c r="O547" s="2918"/>
      <c r="P547" s="2918"/>
      <c r="Q547" s="2918"/>
      <c r="R547" s="2918"/>
      <c r="S547" s="2918"/>
      <c r="T547" s="2918"/>
      <c r="U547" s="2918"/>
      <c r="V547" s="2918"/>
      <c r="W547" s="2918"/>
      <c r="X547" s="2918"/>
      <c r="Y547" s="2918"/>
      <c r="Z547" s="2918"/>
      <c r="AA547" s="2918"/>
      <c r="AB547" s="2918"/>
      <c r="AC547" s="2897">
        <f t="shared" si="355"/>
        <v>0</v>
      </c>
      <c r="AD547" s="2929"/>
      <c r="AE547" s="2929"/>
      <c r="AF547" s="2929"/>
      <c r="AG547" s="2929"/>
      <c r="AH547" s="2929"/>
      <c r="AI547" s="2929"/>
      <c r="AJ547" s="2929"/>
      <c r="AK547" s="2929"/>
      <c r="AL547" s="2929"/>
      <c r="AM547" s="2929"/>
      <c r="AN547" s="2929"/>
      <c r="AO547" s="2929"/>
      <c r="AP547" s="2929"/>
      <c r="AQ547" s="2929"/>
      <c r="AR547" s="2929"/>
      <c r="AS547" s="2929"/>
      <c r="AT547" s="2949"/>
      <c r="AU547" s="2950"/>
      <c r="AV547" s="454">
        <f t="shared" si="356"/>
        <v>0</v>
      </c>
      <c r="AW547" s="454">
        <f t="shared" si="357"/>
        <v>0</v>
      </c>
      <c r="AX547" s="454">
        <f t="shared" si="358"/>
        <v>0</v>
      </c>
      <c r="AY547" s="2966">
        <f t="shared" si="359"/>
        <v>0</v>
      </c>
      <c r="AZ547" s="2897">
        <f t="shared" si="360"/>
        <v>0</v>
      </c>
      <c r="BA547" s="2897">
        <f t="shared" si="361"/>
        <v>0</v>
      </c>
      <c r="BB547" s="2897">
        <f t="shared" si="362"/>
        <v>0</v>
      </c>
      <c r="BC547" s="2897">
        <f t="shared" si="363"/>
        <v>0</v>
      </c>
      <c r="BD547" s="2897">
        <f t="shared" si="364"/>
        <v>0</v>
      </c>
      <c r="BE547" s="2897">
        <f t="shared" si="365"/>
        <v>0</v>
      </c>
      <c r="BF547" s="2897">
        <f t="shared" si="366"/>
        <v>0</v>
      </c>
      <c r="BG547" s="2897">
        <f t="shared" si="367"/>
        <v>0</v>
      </c>
      <c r="BH547" s="2897">
        <f t="shared" si="368"/>
        <v>0</v>
      </c>
      <c r="BI547" s="2897">
        <f t="shared" si="369"/>
        <v>0</v>
      </c>
      <c r="BJ547" s="2897">
        <f t="shared" si="370"/>
        <v>0</v>
      </c>
      <c r="BK547" s="2897">
        <f t="shared" si="371"/>
        <v>0</v>
      </c>
      <c r="BL547" s="2897">
        <f t="shared" si="372"/>
        <v>0</v>
      </c>
      <c r="BM547" s="2897">
        <f t="shared" si="373"/>
        <v>0</v>
      </c>
      <c r="BN547" s="2897">
        <f t="shared" si="374"/>
        <v>0</v>
      </c>
      <c r="BO547" s="2897">
        <f t="shared" si="375"/>
        <v>0</v>
      </c>
      <c r="BP547" s="2897">
        <f t="shared" si="376"/>
        <v>0</v>
      </c>
      <c r="BQ547" s="2897">
        <f t="shared" si="377"/>
        <v>0</v>
      </c>
      <c r="BR547" s="2897">
        <f t="shared" si="378"/>
        <v>0</v>
      </c>
      <c r="BS547" s="2897">
        <f t="shared" si="379"/>
        <v>0</v>
      </c>
      <c r="BT547" s="2971">
        <f t="shared" si="380"/>
        <v>0</v>
      </c>
    </row>
    <row r="548" spans="1:72">
      <c r="A548" s="2894"/>
      <c r="B548" s="2895"/>
      <c r="C548" s="2895"/>
      <c r="D548" s="2907"/>
      <c r="E548" s="2897">
        <f t="shared" si="352"/>
        <v>0</v>
      </c>
      <c r="F548" s="2898"/>
      <c r="G548" s="2899">
        <f t="shared" si="353"/>
        <v>0</v>
      </c>
      <c r="H548" s="2900">
        <f t="shared" si="354"/>
        <v>0</v>
      </c>
      <c r="I548" s="2918"/>
      <c r="J548" s="2918"/>
      <c r="K548" s="2918"/>
      <c r="L548" s="2918"/>
      <c r="M548" s="2918"/>
      <c r="N548" s="2918"/>
      <c r="O548" s="2918"/>
      <c r="P548" s="2918"/>
      <c r="Q548" s="2918"/>
      <c r="R548" s="2918"/>
      <c r="S548" s="2918"/>
      <c r="T548" s="2918"/>
      <c r="U548" s="2918"/>
      <c r="V548" s="2918"/>
      <c r="W548" s="2918"/>
      <c r="X548" s="2918"/>
      <c r="Y548" s="2918"/>
      <c r="Z548" s="2918"/>
      <c r="AA548" s="2918"/>
      <c r="AB548" s="2918"/>
      <c r="AC548" s="2897">
        <f t="shared" si="355"/>
        <v>0</v>
      </c>
      <c r="AD548" s="2929"/>
      <c r="AE548" s="2929"/>
      <c r="AF548" s="2929"/>
      <c r="AG548" s="2929"/>
      <c r="AH548" s="2929"/>
      <c r="AI548" s="2929"/>
      <c r="AJ548" s="2929"/>
      <c r="AK548" s="2929"/>
      <c r="AL548" s="2929"/>
      <c r="AM548" s="2929"/>
      <c r="AN548" s="2929"/>
      <c r="AO548" s="2929"/>
      <c r="AP548" s="2929"/>
      <c r="AQ548" s="2929"/>
      <c r="AR548" s="2929"/>
      <c r="AS548" s="2929"/>
      <c r="AT548" s="2949"/>
      <c r="AU548" s="2950"/>
      <c r="AV548" s="454">
        <f t="shared" si="356"/>
        <v>0</v>
      </c>
      <c r="AW548" s="454">
        <f t="shared" si="357"/>
        <v>0</v>
      </c>
      <c r="AX548" s="454">
        <f t="shared" si="358"/>
        <v>0</v>
      </c>
      <c r="AY548" s="2966">
        <f t="shared" si="359"/>
        <v>0</v>
      </c>
      <c r="AZ548" s="2897">
        <f t="shared" si="360"/>
        <v>0</v>
      </c>
      <c r="BA548" s="2897">
        <f t="shared" si="361"/>
        <v>0</v>
      </c>
      <c r="BB548" s="2897">
        <f t="shared" si="362"/>
        <v>0</v>
      </c>
      <c r="BC548" s="2897">
        <f t="shared" si="363"/>
        <v>0</v>
      </c>
      <c r="BD548" s="2897">
        <f t="shared" si="364"/>
        <v>0</v>
      </c>
      <c r="BE548" s="2897">
        <f t="shared" si="365"/>
        <v>0</v>
      </c>
      <c r="BF548" s="2897">
        <f t="shared" si="366"/>
        <v>0</v>
      </c>
      <c r="BG548" s="2897">
        <f t="shared" si="367"/>
        <v>0</v>
      </c>
      <c r="BH548" s="2897">
        <f t="shared" si="368"/>
        <v>0</v>
      </c>
      <c r="BI548" s="2897">
        <f t="shared" si="369"/>
        <v>0</v>
      </c>
      <c r="BJ548" s="2897">
        <f t="shared" si="370"/>
        <v>0</v>
      </c>
      <c r="BK548" s="2897">
        <f t="shared" si="371"/>
        <v>0</v>
      </c>
      <c r="BL548" s="2897">
        <f t="shared" si="372"/>
        <v>0</v>
      </c>
      <c r="BM548" s="2897">
        <f t="shared" si="373"/>
        <v>0</v>
      </c>
      <c r="BN548" s="2897">
        <f t="shared" si="374"/>
        <v>0</v>
      </c>
      <c r="BO548" s="2897">
        <f t="shared" si="375"/>
        <v>0</v>
      </c>
      <c r="BP548" s="2897">
        <f t="shared" si="376"/>
        <v>0</v>
      </c>
      <c r="BQ548" s="2897">
        <f t="shared" si="377"/>
        <v>0</v>
      </c>
      <c r="BR548" s="2897">
        <f t="shared" si="378"/>
        <v>0</v>
      </c>
      <c r="BS548" s="2897">
        <f t="shared" si="379"/>
        <v>0</v>
      </c>
      <c r="BT548" s="2971">
        <f t="shared" si="380"/>
        <v>0</v>
      </c>
    </row>
    <row r="549" spans="1:72">
      <c r="A549" s="2894"/>
      <c r="B549" s="2895"/>
      <c r="C549" s="2895"/>
      <c r="D549" s="2907"/>
      <c r="E549" s="2897">
        <f t="shared" si="352"/>
        <v>0</v>
      </c>
      <c r="F549" s="2898"/>
      <c r="G549" s="2899">
        <f t="shared" si="353"/>
        <v>0</v>
      </c>
      <c r="H549" s="2900">
        <f t="shared" si="354"/>
        <v>0</v>
      </c>
      <c r="I549" s="2918"/>
      <c r="J549" s="2918"/>
      <c r="K549" s="2918"/>
      <c r="L549" s="2918"/>
      <c r="M549" s="2918"/>
      <c r="N549" s="2918"/>
      <c r="O549" s="2918"/>
      <c r="P549" s="2918"/>
      <c r="Q549" s="2918"/>
      <c r="R549" s="2918"/>
      <c r="S549" s="2918"/>
      <c r="T549" s="2918"/>
      <c r="U549" s="2918"/>
      <c r="V549" s="2918"/>
      <c r="W549" s="2918"/>
      <c r="X549" s="2918"/>
      <c r="Y549" s="2918"/>
      <c r="Z549" s="2918"/>
      <c r="AA549" s="2918"/>
      <c r="AB549" s="2918"/>
      <c r="AC549" s="2897">
        <f t="shared" si="355"/>
        <v>0</v>
      </c>
      <c r="AD549" s="2929"/>
      <c r="AE549" s="2929"/>
      <c r="AF549" s="2929"/>
      <c r="AG549" s="2929"/>
      <c r="AH549" s="2929"/>
      <c r="AI549" s="2929"/>
      <c r="AJ549" s="2929"/>
      <c r="AK549" s="2929"/>
      <c r="AL549" s="2929"/>
      <c r="AM549" s="2929"/>
      <c r="AN549" s="2929"/>
      <c r="AO549" s="2929"/>
      <c r="AP549" s="2929"/>
      <c r="AQ549" s="2929"/>
      <c r="AR549" s="2929"/>
      <c r="AS549" s="2929"/>
      <c r="AT549" s="2949"/>
      <c r="AU549" s="2950"/>
      <c r="AV549" s="454">
        <f t="shared" si="356"/>
        <v>0</v>
      </c>
      <c r="AW549" s="454">
        <f t="shared" si="357"/>
        <v>0</v>
      </c>
      <c r="AX549" s="454">
        <f t="shared" si="358"/>
        <v>0</v>
      </c>
      <c r="AY549" s="2966">
        <f t="shared" si="359"/>
        <v>0</v>
      </c>
      <c r="AZ549" s="2897">
        <f t="shared" si="360"/>
        <v>0</v>
      </c>
      <c r="BA549" s="2897">
        <f t="shared" si="361"/>
        <v>0</v>
      </c>
      <c r="BB549" s="2897">
        <f t="shared" si="362"/>
        <v>0</v>
      </c>
      <c r="BC549" s="2897">
        <f t="shared" si="363"/>
        <v>0</v>
      </c>
      <c r="BD549" s="2897">
        <f t="shared" si="364"/>
        <v>0</v>
      </c>
      <c r="BE549" s="2897">
        <f t="shared" si="365"/>
        <v>0</v>
      </c>
      <c r="BF549" s="2897">
        <f t="shared" si="366"/>
        <v>0</v>
      </c>
      <c r="BG549" s="2897">
        <f t="shared" si="367"/>
        <v>0</v>
      </c>
      <c r="BH549" s="2897">
        <f t="shared" si="368"/>
        <v>0</v>
      </c>
      <c r="BI549" s="2897">
        <f t="shared" si="369"/>
        <v>0</v>
      </c>
      <c r="BJ549" s="2897">
        <f t="shared" si="370"/>
        <v>0</v>
      </c>
      <c r="BK549" s="2897">
        <f t="shared" si="371"/>
        <v>0</v>
      </c>
      <c r="BL549" s="2897">
        <f t="shared" si="372"/>
        <v>0</v>
      </c>
      <c r="BM549" s="2897">
        <f t="shared" si="373"/>
        <v>0</v>
      </c>
      <c r="BN549" s="2897">
        <f t="shared" si="374"/>
        <v>0</v>
      </c>
      <c r="BO549" s="2897">
        <f t="shared" si="375"/>
        <v>0</v>
      </c>
      <c r="BP549" s="2897">
        <f t="shared" si="376"/>
        <v>0</v>
      </c>
      <c r="BQ549" s="2897">
        <f t="shared" si="377"/>
        <v>0</v>
      </c>
      <c r="BR549" s="2897">
        <f t="shared" si="378"/>
        <v>0</v>
      </c>
      <c r="BS549" s="2897">
        <f t="shared" si="379"/>
        <v>0</v>
      </c>
      <c r="BT549" s="2971">
        <f t="shared" si="380"/>
        <v>0</v>
      </c>
    </row>
    <row r="550" spans="1:72">
      <c r="A550" s="2894"/>
      <c r="B550" s="2895"/>
      <c r="C550" s="2895"/>
      <c r="D550" s="2907"/>
      <c r="E550" s="2897">
        <f t="shared" si="352"/>
        <v>0</v>
      </c>
      <c r="F550" s="2898"/>
      <c r="G550" s="2899">
        <f t="shared" si="353"/>
        <v>0</v>
      </c>
      <c r="H550" s="2900">
        <f t="shared" si="354"/>
        <v>0</v>
      </c>
      <c r="I550" s="2918"/>
      <c r="J550" s="2918"/>
      <c r="K550" s="2918"/>
      <c r="L550" s="2918"/>
      <c r="M550" s="2918"/>
      <c r="N550" s="2918"/>
      <c r="O550" s="2918"/>
      <c r="P550" s="2918"/>
      <c r="Q550" s="2918"/>
      <c r="R550" s="2918"/>
      <c r="S550" s="2918"/>
      <c r="T550" s="2918"/>
      <c r="U550" s="2918"/>
      <c r="V550" s="2918"/>
      <c r="W550" s="2918"/>
      <c r="X550" s="2918"/>
      <c r="Y550" s="2918"/>
      <c r="Z550" s="2918"/>
      <c r="AA550" s="2918"/>
      <c r="AB550" s="2918"/>
      <c r="AC550" s="2897">
        <f t="shared" si="355"/>
        <v>0</v>
      </c>
      <c r="AD550" s="2929"/>
      <c r="AE550" s="2929"/>
      <c r="AF550" s="2929"/>
      <c r="AG550" s="2929"/>
      <c r="AH550" s="2929"/>
      <c r="AI550" s="2929"/>
      <c r="AJ550" s="2929"/>
      <c r="AK550" s="2929"/>
      <c r="AL550" s="2929"/>
      <c r="AM550" s="2929"/>
      <c r="AN550" s="2929"/>
      <c r="AO550" s="2929"/>
      <c r="AP550" s="2929"/>
      <c r="AQ550" s="2929"/>
      <c r="AR550" s="2929"/>
      <c r="AS550" s="2929"/>
      <c r="AT550" s="2949"/>
      <c r="AU550" s="2950"/>
      <c r="AV550" s="454">
        <f t="shared" si="356"/>
        <v>0</v>
      </c>
      <c r="AW550" s="454">
        <f t="shared" si="357"/>
        <v>0</v>
      </c>
      <c r="AX550" s="454">
        <f t="shared" si="358"/>
        <v>0</v>
      </c>
      <c r="AY550" s="2966">
        <f t="shared" si="359"/>
        <v>0</v>
      </c>
      <c r="AZ550" s="2897">
        <f t="shared" si="360"/>
        <v>0</v>
      </c>
      <c r="BA550" s="2897">
        <f t="shared" si="361"/>
        <v>0</v>
      </c>
      <c r="BB550" s="2897">
        <f t="shared" si="362"/>
        <v>0</v>
      </c>
      <c r="BC550" s="2897">
        <f t="shared" si="363"/>
        <v>0</v>
      </c>
      <c r="BD550" s="2897">
        <f t="shared" si="364"/>
        <v>0</v>
      </c>
      <c r="BE550" s="2897">
        <f t="shared" si="365"/>
        <v>0</v>
      </c>
      <c r="BF550" s="2897">
        <f t="shared" si="366"/>
        <v>0</v>
      </c>
      <c r="BG550" s="2897">
        <f t="shared" si="367"/>
        <v>0</v>
      </c>
      <c r="BH550" s="2897">
        <f t="shared" si="368"/>
        <v>0</v>
      </c>
      <c r="BI550" s="2897">
        <f t="shared" si="369"/>
        <v>0</v>
      </c>
      <c r="BJ550" s="2897">
        <f t="shared" si="370"/>
        <v>0</v>
      </c>
      <c r="BK550" s="2897">
        <f t="shared" si="371"/>
        <v>0</v>
      </c>
      <c r="BL550" s="2897">
        <f t="shared" si="372"/>
        <v>0</v>
      </c>
      <c r="BM550" s="2897">
        <f t="shared" si="373"/>
        <v>0</v>
      </c>
      <c r="BN550" s="2897">
        <f t="shared" si="374"/>
        <v>0</v>
      </c>
      <c r="BO550" s="2897">
        <f t="shared" si="375"/>
        <v>0</v>
      </c>
      <c r="BP550" s="2897">
        <f t="shared" si="376"/>
        <v>0</v>
      </c>
      <c r="BQ550" s="2897">
        <f t="shared" si="377"/>
        <v>0</v>
      </c>
      <c r="BR550" s="2897">
        <f t="shared" si="378"/>
        <v>0</v>
      </c>
      <c r="BS550" s="2897">
        <f t="shared" si="379"/>
        <v>0</v>
      </c>
      <c r="BT550" s="2971">
        <f t="shared" si="380"/>
        <v>0</v>
      </c>
    </row>
    <row r="551" spans="1:72">
      <c r="A551" s="2894"/>
      <c r="B551" s="2895"/>
      <c r="C551" s="2895"/>
      <c r="D551" s="2907"/>
      <c r="E551" s="2897">
        <f t="shared" si="352"/>
        <v>0</v>
      </c>
      <c r="F551" s="2898"/>
      <c r="G551" s="2899">
        <f t="shared" si="353"/>
        <v>0</v>
      </c>
      <c r="H551" s="2900">
        <f t="shared" si="354"/>
        <v>0</v>
      </c>
      <c r="I551" s="2918"/>
      <c r="J551" s="2918"/>
      <c r="K551" s="2918"/>
      <c r="L551" s="2918"/>
      <c r="M551" s="2918"/>
      <c r="N551" s="2918"/>
      <c r="O551" s="2918"/>
      <c r="P551" s="2918"/>
      <c r="Q551" s="2918"/>
      <c r="R551" s="2918"/>
      <c r="S551" s="2918"/>
      <c r="T551" s="2918"/>
      <c r="U551" s="2918"/>
      <c r="V551" s="2918"/>
      <c r="W551" s="2918"/>
      <c r="X551" s="2918"/>
      <c r="Y551" s="2918"/>
      <c r="Z551" s="2918"/>
      <c r="AA551" s="2918"/>
      <c r="AB551" s="2918"/>
      <c r="AC551" s="2897">
        <f t="shared" si="355"/>
        <v>0</v>
      </c>
      <c r="AD551" s="2929"/>
      <c r="AE551" s="2929"/>
      <c r="AF551" s="2929"/>
      <c r="AG551" s="2929"/>
      <c r="AH551" s="2929"/>
      <c r="AI551" s="2929"/>
      <c r="AJ551" s="2929"/>
      <c r="AK551" s="2929"/>
      <c r="AL551" s="2929"/>
      <c r="AM551" s="2929"/>
      <c r="AN551" s="2929"/>
      <c r="AO551" s="2929"/>
      <c r="AP551" s="2929"/>
      <c r="AQ551" s="2929"/>
      <c r="AR551" s="2929"/>
      <c r="AS551" s="2929"/>
      <c r="AT551" s="2949"/>
      <c r="AU551" s="2950"/>
      <c r="AV551" s="454">
        <f t="shared" si="356"/>
        <v>0</v>
      </c>
      <c r="AW551" s="454">
        <f t="shared" si="357"/>
        <v>0</v>
      </c>
      <c r="AX551" s="454">
        <f t="shared" si="358"/>
        <v>0</v>
      </c>
      <c r="AY551" s="2966">
        <f t="shared" si="359"/>
        <v>0</v>
      </c>
      <c r="AZ551" s="2897">
        <f t="shared" si="360"/>
        <v>0</v>
      </c>
      <c r="BA551" s="2897">
        <f t="shared" si="361"/>
        <v>0</v>
      </c>
      <c r="BB551" s="2897">
        <f t="shared" si="362"/>
        <v>0</v>
      </c>
      <c r="BC551" s="2897">
        <f t="shared" si="363"/>
        <v>0</v>
      </c>
      <c r="BD551" s="2897">
        <f t="shared" si="364"/>
        <v>0</v>
      </c>
      <c r="BE551" s="2897">
        <f t="shared" si="365"/>
        <v>0</v>
      </c>
      <c r="BF551" s="2897">
        <f t="shared" si="366"/>
        <v>0</v>
      </c>
      <c r="BG551" s="2897">
        <f t="shared" si="367"/>
        <v>0</v>
      </c>
      <c r="BH551" s="2897">
        <f t="shared" si="368"/>
        <v>0</v>
      </c>
      <c r="BI551" s="2897">
        <f t="shared" si="369"/>
        <v>0</v>
      </c>
      <c r="BJ551" s="2897">
        <f t="shared" si="370"/>
        <v>0</v>
      </c>
      <c r="BK551" s="2897">
        <f t="shared" si="371"/>
        <v>0</v>
      </c>
      <c r="BL551" s="2897">
        <f t="shared" si="372"/>
        <v>0</v>
      </c>
      <c r="BM551" s="2897">
        <f t="shared" si="373"/>
        <v>0</v>
      </c>
      <c r="BN551" s="2897">
        <f t="shared" si="374"/>
        <v>0</v>
      </c>
      <c r="BO551" s="2897">
        <f t="shared" si="375"/>
        <v>0</v>
      </c>
      <c r="BP551" s="2897">
        <f t="shared" si="376"/>
        <v>0</v>
      </c>
      <c r="BQ551" s="2897">
        <f t="shared" si="377"/>
        <v>0</v>
      </c>
      <c r="BR551" s="2897">
        <f t="shared" si="378"/>
        <v>0</v>
      </c>
      <c r="BS551" s="2897">
        <f t="shared" si="379"/>
        <v>0</v>
      </c>
      <c r="BT551" s="2971">
        <f t="shared" si="380"/>
        <v>0</v>
      </c>
    </row>
    <row r="552" spans="1:72">
      <c r="A552" s="2894"/>
      <c r="B552" s="2895"/>
      <c r="C552" s="2895"/>
      <c r="D552" s="2907"/>
      <c r="E552" s="2897">
        <f t="shared" si="352"/>
        <v>0</v>
      </c>
      <c r="F552" s="2898"/>
      <c r="G552" s="2899">
        <f t="shared" si="353"/>
        <v>0</v>
      </c>
      <c r="H552" s="2900">
        <f t="shared" si="354"/>
        <v>0</v>
      </c>
      <c r="I552" s="2918"/>
      <c r="J552" s="2918"/>
      <c r="K552" s="2918"/>
      <c r="L552" s="2918"/>
      <c r="M552" s="2918"/>
      <c r="N552" s="2918"/>
      <c r="O552" s="2918"/>
      <c r="P552" s="2918"/>
      <c r="Q552" s="2918"/>
      <c r="R552" s="2918"/>
      <c r="S552" s="2918"/>
      <c r="T552" s="2918"/>
      <c r="U552" s="2918"/>
      <c r="V552" s="2918"/>
      <c r="W552" s="2918"/>
      <c r="X552" s="2918"/>
      <c r="Y552" s="2918"/>
      <c r="Z552" s="2918"/>
      <c r="AA552" s="2918"/>
      <c r="AB552" s="2918"/>
      <c r="AC552" s="2897">
        <f t="shared" si="355"/>
        <v>0</v>
      </c>
      <c r="AD552" s="2929"/>
      <c r="AE552" s="2929"/>
      <c r="AF552" s="2929"/>
      <c r="AG552" s="2929"/>
      <c r="AH552" s="2929"/>
      <c r="AI552" s="2929"/>
      <c r="AJ552" s="2929"/>
      <c r="AK552" s="2929"/>
      <c r="AL552" s="2929"/>
      <c r="AM552" s="2929"/>
      <c r="AN552" s="2929"/>
      <c r="AO552" s="2929"/>
      <c r="AP552" s="2929"/>
      <c r="AQ552" s="2929"/>
      <c r="AR552" s="2929"/>
      <c r="AS552" s="2929"/>
      <c r="AT552" s="2949"/>
      <c r="AU552" s="2950"/>
      <c r="AV552" s="454">
        <f t="shared" si="356"/>
        <v>0</v>
      </c>
      <c r="AW552" s="454">
        <f t="shared" si="357"/>
        <v>0</v>
      </c>
      <c r="AX552" s="454">
        <f t="shared" si="358"/>
        <v>0</v>
      </c>
      <c r="AY552" s="2966">
        <f t="shared" si="359"/>
        <v>0</v>
      </c>
      <c r="AZ552" s="2897">
        <f t="shared" si="360"/>
        <v>0</v>
      </c>
      <c r="BA552" s="2897">
        <f t="shared" si="361"/>
        <v>0</v>
      </c>
      <c r="BB552" s="2897">
        <f t="shared" si="362"/>
        <v>0</v>
      </c>
      <c r="BC552" s="2897">
        <f t="shared" si="363"/>
        <v>0</v>
      </c>
      <c r="BD552" s="2897">
        <f t="shared" si="364"/>
        <v>0</v>
      </c>
      <c r="BE552" s="2897">
        <f t="shared" si="365"/>
        <v>0</v>
      </c>
      <c r="BF552" s="2897">
        <f t="shared" si="366"/>
        <v>0</v>
      </c>
      <c r="BG552" s="2897">
        <f t="shared" si="367"/>
        <v>0</v>
      </c>
      <c r="BH552" s="2897">
        <f t="shared" si="368"/>
        <v>0</v>
      </c>
      <c r="BI552" s="2897">
        <f t="shared" si="369"/>
        <v>0</v>
      </c>
      <c r="BJ552" s="2897">
        <f t="shared" si="370"/>
        <v>0</v>
      </c>
      <c r="BK552" s="2897">
        <f t="shared" si="371"/>
        <v>0</v>
      </c>
      <c r="BL552" s="2897">
        <f t="shared" si="372"/>
        <v>0</v>
      </c>
      <c r="BM552" s="2897">
        <f t="shared" si="373"/>
        <v>0</v>
      </c>
      <c r="BN552" s="2897">
        <f t="shared" si="374"/>
        <v>0</v>
      </c>
      <c r="BO552" s="2897">
        <f t="shared" si="375"/>
        <v>0</v>
      </c>
      <c r="BP552" s="2897">
        <f t="shared" si="376"/>
        <v>0</v>
      </c>
      <c r="BQ552" s="2897">
        <f t="shared" si="377"/>
        <v>0</v>
      </c>
      <c r="BR552" s="2897">
        <f t="shared" si="378"/>
        <v>0</v>
      </c>
      <c r="BS552" s="2897">
        <f t="shared" si="379"/>
        <v>0</v>
      </c>
      <c r="BT552" s="2971">
        <f t="shared" si="380"/>
        <v>0</v>
      </c>
    </row>
    <row r="553" spans="1:72">
      <c r="A553" s="2894"/>
      <c r="B553" s="2895"/>
      <c r="C553" s="2895"/>
      <c r="D553" s="2907"/>
      <c r="E553" s="2897">
        <f t="shared" si="352"/>
        <v>0</v>
      </c>
      <c r="F553" s="2898"/>
      <c r="G553" s="2899">
        <f t="shared" si="353"/>
        <v>0</v>
      </c>
      <c r="H553" s="2900">
        <f t="shared" si="354"/>
        <v>0</v>
      </c>
      <c r="I553" s="2918"/>
      <c r="J553" s="2918"/>
      <c r="K553" s="2918"/>
      <c r="L553" s="2918"/>
      <c r="M553" s="2918"/>
      <c r="N553" s="2918"/>
      <c r="O553" s="2918"/>
      <c r="P553" s="2918"/>
      <c r="Q553" s="2918"/>
      <c r="R553" s="2918"/>
      <c r="S553" s="2918"/>
      <c r="T553" s="2918"/>
      <c r="U553" s="2918"/>
      <c r="V553" s="2918"/>
      <c r="W553" s="2918"/>
      <c r="X553" s="2918"/>
      <c r="Y553" s="2918"/>
      <c r="Z553" s="2918"/>
      <c r="AA553" s="2918"/>
      <c r="AB553" s="2918"/>
      <c r="AC553" s="2897">
        <f t="shared" si="355"/>
        <v>0</v>
      </c>
      <c r="AD553" s="2929"/>
      <c r="AE553" s="2929"/>
      <c r="AF553" s="2929"/>
      <c r="AG553" s="2929"/>
      <c r="AH553" s="2929"/>
      <c r="AI553" s="2929"/>
      <c r="AJ553" s="2929"/>
      <c r="AK553" s="2929"/>
      <c r="AL553" s="2929"/>
      <c r="AM553" s="2929"/>
      <c r="AN553" s="2929"/>
      <c r="AO553" s="2929"/>
      <c r="AP553" s="2929"/>
      <c r="AQ553" s="2929"/>
      <c r="AR553" s="2929"/>
      <c r="AS553" s="2929"/>
      <c r="AT553" s="2949"/>
      <c r="AU553" s="2950"/>
      <c r="AV553" s="454">
        <f t="shared" si="356"/>
        <v>0</v>
      </c>
      <c r="AW553" s="454">
        <f t="shared" si="357"/>
        <v>0</v>
      </c>
      <c r="AX553" s="454">
        <f t="shared" si="358"/>
        <v>0</v>
      </c>
      <c r="AY553" s="2966">
        <f t="shared" si="359"/>
        <v>0</v>
      </c>
      <c r="AZ553" s="2897">
        <f t="shared" si="360"/>
        <v>0</v>
      </c>
      <c r="BA553" s="2897">
        <f t="shared" si="361"/>
        <v>0</v>
      </c>
      <c r="BB553" s="2897">
        <f t="shared" si="362"/>
        <v>0</v>
      </c>
      <c r="BC553" s="2897">
        <f t="shared" si="363"/>
        <v>0</v>
      </c>
      <c r="BD553" s="2897">
        <f t="shared" si="364"/>
        <v>0</v>
      </c>
      <c r="BE553" s="2897">
        <f t="shared" si="365"/>
        <v>0</v>
      </c>
      <c r="BF553" s="2897">
        <f t="shared" si="366"/>
        <v>0</v>
      </c>
      <c r="BG553" s="2897">
        <f t="shared" si="367"/>
        <v>0</v>
      </c>
      <c r="BH553" s="2897">
        <f t="shared" si="368"/>
        <v>0</v>
      </c>
      <c r="BI553" s="2897">
        <f t="shared" si="369"/>
        <v>0</v>
      </c>
      <c r="BJ553" s="2897">
        <f t="shared" si="370"/>
        <v>0</v>
      </c>
      <c r="BK553" s="2897">
        <f t="shared" si="371"/>
        <v>0</v>
      </c>
      <c r="BL553" s="2897">
        <f t="shared" si="372"/>
        <v>0</v>
      </c>
      <c r="BM553" s="2897">
        <f t="shared" si="373"/>
        <v>0</v>
      </c>
      <c r="BN553" s="2897">
        <f t="shared" si="374"/>
        <v>0</v>
      </c>
      <c r="BO553" s="2897">
        <f t="shared" si="375"/>
        <v>0</v>
      </c>
      <c r="BP553" s="2897">
        <f t="shared" si="376"/>
        <v>0</v>
      </c>
      <c r="BQ553" s="2897">
        <f t="shared" si="377"/>
        <v>0</v>
      </c>
      <c r="BR553" s="2897">
        <f t="shared" si="378"/>
        <v>0</v>
      </c>
      <c r="BS553" s="2897">
        <f t="shared" si="379"/>
        <v>0</v>
      </c>
      <c r="BT553" s="2971">
        <f t="shared" si="380"/>
        <v>0</v>
      </c>
    </row>
    <row r="554" spans="1:72">
      <c r="A554" s="2894"/>
      <c r="B554" s="2895"/>
      <c r="C554" s="2895"/>
      <c r="D554" s="2907"/>
      <c r="E554" s="2897">
        <f t="shared" si="352"/>
        <v>0</v>
      </c>
      <c r="F554" s="2898"/>
      <c r="G554" s="2899">
        <f t="shared" si="353"/>
        <v>0</v>
      </c>
      <c r="H554" s="2900">
        <f t="shared" si="354"/>
        <v>0</v>
      </c>
      <c r="I554" s="2918"/>
      <c r="J554" s="2918"/>
      <c r="K554" s="2918"/>
      <c r="L554" s="2918"/>
      <c r="M554" s="2918"/>
      <c r="N554" s="2918"/>
      <c r="O554" s="2918"/>
      <c r="P554" s="2918"/>
      <c r="Q554" s="2918"/>
      <c r="R554" s="2918"/>
      <c r="S554" s="2918"/>
      <c r="T554" s="2918"/>
      <c r="U554" s="2918"/>
      <c r="V554" s="2918"/>
      <c r="W554" s="2918"/>
      <c r="X554" s="2918"/>
      <c r="Y554" s="2918"/>
      <c r="Z554" s="2918"/>
      <c r="AA554" s="2918"/>
      <c r="AB554" s="2918"/>
      <c r="AC554" s="2897">
        <f t="shared" si="355"/>
        <v>0</v>
      </c>
      <c r="AD554" s="2929"/>
      <c r="AE554" s="2929"/>
      <c r="AF554" s="2929"/>
      <c r="AG554" s="2929"/>
      <c r="AH554" s="2929"/>
      <c r="AI554" s="2929"/>
      <c r="AJ554" s="2929"/>
      <c r="AK554" s="2929"/>
      <c r="AL554" s="2929"/>
      <c r="AM554" s="2929"/>
      <c r="AN554" s="2929"/>
      <c r="AO554" s="2929"/>
      <c r="AP554" s="2929"/>
      <c r="AQ554" s="2929"/>
      <c r="AR554" s="2929"/>
      <c r="AS554" s="2929"/>
      <c r="AT554" s="2949"/>
      <c r="AU554" s="2950"/>
      <c r="AV554" s="454">
        <f t="shared" si="356"/>
        <v>0</v>
      </c>
      <c r="AW554" s="454">
        <f t="shared" si="357"/>
        <v>0</v>
      </c>
      <c r="AX554" s="454">
        <f t="shared" si="358"/>
        <v>0</v>
      </c>
      <c r="AY554" s="2966">
        <f t="shared" si="359"/>
        <v>0</v>
      </c>
      <c r="AZ554" s="2897">
        <f t="shared" si="360"/>
        <v>0</v>
      </c>
      <c r="BA554" s="2897">
        <f t="shared" si="361"/>
        <v>0</v>
      </c>
      <c r="BB554" s="2897">
        <f t="shared" si="362"/>
        <v>0</v>
      </c>
      <c r="BC554" s="2897">
        <f t="shared" si="363"/>
        <v>0</v>
      </c>
      <c r="BD554" s="2897">
        <f t="shared" si="364"/>
        <v>0</v>
      </c>
      <c r="BE554" s="2897">
        <f t="shared" si="365"/>
        <v>0</v>
      </c>
      <c r="BF554" s="2897">
        <f t="shared" si="366"/>
        <v>0</v>
      </c>
      <c r="BG554" s="2897">
        <f t="shared" si="367"/>
        <v>0</v>
      </c>
      <c r="BH554" s="2897">
        <f t="shared" si="368"/>
        <v>0</v>
      </c>
      <c r="BI554" s="2897">
        <f t="shared" si="369"/>
        <v>0</v>
      </c>
      <c r="BJ554" s="2897">
        <f t="shared" si="370"/>
        <v>0</v>
      </c>
      <c r="BK554" s="2897">
        <f t="shared" si="371"/>
        <v>0</v>
      </c>
      <c r="BL554" s="2897">
        <f t="shared" si="372"/>
        <v>0</v>
      </c>
      <c r="BM554" s="2897">
        <f t="shared" si="373"/>
        <v>0</v>
      </c>
      <c r="BN554" s="2897">
        <f t="shared" si="374"/>
        <v>0</v>
      </c>
      <c r="BO554" s="2897">
        <f t="shared" si="375"/>
        <v>0</v>
      </c>
      <c r="BP554" s="2897">
        <f t="shared" si="376"/>
        <v>0</v>
      </c>
      <c r="BQ554" s="2897">
        <f t="shared" si="377"/>
        <v>0</v>
      </c>
      <c r="BR554" s="2897">
        <f t="shared" si="378"/>
        <v>0</v>
      </c>
      <c r="BS554" s="2897">
        <f t="shared" si="379"/>
        <v>0</v>
      </c>
      <c r="BT554" s="2971">
        <f t="shared" si="380"/>
        <v>0</v>
      </c>
    </row>
    <row r="555" spans="1:72">
      <c r="A555" s="2894"/>
      <c r="B555" s="2895"/>
      <c r="C555" s="2895"/>
      <c r="D555" s="2907"/>
      <c r="E555" s="2897">
        <f t="shared" si="352"/>
        <v>0</v>
      </c>
      <c r="F555" s="2898"/>
      <c r="G555" s="2899">
        <f t="shared" si="353"/>
        <v>0</v>
      </c>
      <c r="H555" s="2900">
        <f t="shared" si="354"/>
        <v>0</v>
      </c>
      <c r="I555" s="2918"/>
      <c r="J555" s="2918"/>
      <c r="K555" s="2918"/>
      <c r="L555" s="2918"/>
      <c r="M555" s="2918"/>
      <c r="N555" s="2918"/>
      <c r="O555" s="2918"/>
      <c r="P555" s="2918"/>
      <c r="Q555" s="2918"/>
      <c r="R555" s="2918"/>
      <c r="S555" s="2918"/>
      <c r="T555" s="2918"/>
      <c r="U555" s="2918"/>
      <c r="V555" s="2918"/>
      <c r="W555" s="2918"/>
      <c r="X555" s="2918"/>
      <c r="Y555" s="2918"/>
      <c r="Z555" s="2918"/>
      <c r="AA555" s="2918"/>
      <c r="AB555" s="2918"/>
      <c r="AC555" s="2897">
        <f t="shared" si="355"/>
        <v>0</v>
      </c>
      <c r="AD555" s="2929"/>
      <c r="AE555" s="2929"/>
      <c r="AF555" s="2929"/>
      <c r="AG555" s="2929"/>
      <c r="AH555" s="2929"/>
      <c r="AI555" s="2929"/>
      <c r="AJ555" s="2929"/>
      <c r="AK555" s="2929"/>
      <c r="AL555" s="2929"/>
      <c r="AM555" s="2929"/>
      <c r="AN555" s="2929"/>
      <c r="AO555" s="2929"/>
      <c r="AP555" s="2929"/>
      <c r="AQ555" s="2929"/>
      <c r="AR555" s="2929"/>
      <c r="AS555" s="2929"/>
      <c r="AT555" s="2949"/>
      <c r="AU555" s="2950"/>
      <c r="AV555" s="454">
        <f t="shared" si="356"/>
        <v>0</v>
      </c>
      <c r="AW555" s="454">
        <f t="shared" si="357"/>
        <v>0</v>
      </c>
      <c r="AX555" s="454">
        <f t="shared" si="358"/>
        <v>0</v>
      </c>
      <c r="AY555" s="2966">
        <f t="shared" si="359"/>
        <v>0</v>
      </c>
      <c r="AZ555" s="2897">
        <f t="shared" si="360"/>
        <v>0</v>
      </c>
      <c r="BA555" s="2897">
        <f t="shared" si="361"/>
        <v>0</v>
      </c>
      <c r="BB555" s="2897">
        <f t="shared" si="362"/>
        <v>0</v>
      </c>
      <c r="BC555" s="2897">
        <f t="shared" si="363"/>
        <v>0</v>
      </c>
      <c r="BD555" s="2897">
        <f t="shared" si="364"/>
        <v>0</v>
      </c>
      <c r="BE555" s="2897">
        <f t="shared" si="365"/>
        <v>0</v>
      </c>
      <c r="BF555" s="2897">
        <f t="shared" si="366"/>
        <v>0</v>
      </c>
      <c r="BG555" s="2897">
        <f t="shared" si="367"/>
        <v>0</v>
      </c>
      <c r="BH555" s="2897">
        <f t="shared" si="368"/>
        <v>0</v>
      </c>
      <c r="BI555" s="2897">
        <f t="shared" si="369"/>
        <v>0</v>
      </c>
      <c r="BJ555" s="2897">
        <f t="shared" si="370"/>
        <v>0</v>
      </c>
      <c r="BK555" s="2897">
        <f t="shared" si="371"/>
        <v>0</v>
      </c>
      <c r="BL555" s="2897">
        <f t="shared" si="372"/>
        <v>0</v>
      </c>
      <c r="BM555" s="2897">
        <f t="shared" si="373"/>
        <v>0</v>
      </c>
      <c r="BN555" s="2897">
        <f t="shared" si="374"/>
        <v>0</v>
      </c>
      <c r="BO555" s="2897">
        <f t="shared" si="375"/>
        <v>0</v>
      </c>
      <c r="BP555" s="2897">
        <f t="shared" si="376"/>
        <v>0</v>
      </c>
      <c r="BQ555" s="2897">
        <f t="shared" si="377"/>
        <v>0</v>
      </c>
      <c r="BR555" s="2897">
        <f t="shared" si="378"/>
        <v>0</v>
      </c>
      <c r="BS555" s="2897">
        <f t="shared" si="379"/>
        <v>0</v>
      </c>
      <c r="BT555" s="2971">
        <f t="shared" si="380"/>
        <v>0</v>
      </c>
    </row>
    <row r="556" spans="1:72">
      <c r="A556" s="2894"/>
      <c r="B556" s="2895"/>
      <c r="C556" s="2895"/>
      <c r="D556" s="2907"/>
      <c r="E556" s="2897">
        <f t="shared" si="352"/>
        <v>0</v>
      </c>
      <c r="F556" s="2898"/>
      <c r="G556" s="2899">
        <f t="shared" si="353"/>
        <v>0</v>
      </c>
      <c r="H556" s="2900">
        <f t="shared" si="354"/>
        <v>0</v>
      </c>
      <c r="I556" s="2918"/>
      <c r="J556" s="2918"/>
      <c r="K556" s="2918"/>
      <c r="L556" s="2918"/>
      <c r="M556" s="2918"/>
      <c r="N556" s="2918"/>
      <c r="O556" s="2918"/>
      <c r="P556" s="2918"/>
      <c r="Q556" s="2918"/>
      <c r="R556" s="2918"/>
      <c r="S556" s="2918"/>
      <c r="T556" s="2918"/>
      <c r="U556" s="2918"/>
      <c r="V556" s="2918"/>
      <c r="W556" s="2918"/>
      <c r="X556" s="2918"/>
      <c r="Y556" s="2918"/>
      <c r="Z556" s="2918"/>
      <c r="AA556" s="2918"/>
      <c r="AB556" s="2918"/>
      <c r="AC556" s="2897">
        <f t="shared" si="355"/>
        <v>0</v>
      </c>
      <c r="AD556" s="2929"/>
      <c r="AE556" s="2929"/>
      <c r="AF556" s="2929"/>
      <c r="AG556" s="2929"/>
      <c r="AH556" s="2929"/>
      <c r="AI556" s="2929"/>
      <c r="AJ556" s="2929"/>
      <c r="AK556" s="2929"/>
      <c r="AL556" s="2929"/>
      <c r="AM556" s="2929"/>
      <c r="AN556" s="2929"/>
      <c r="AO556" s="2929"/>
      <c r="AP556" s="2929"/>
      <c r="AQ556" s="2929"/>
      <c r="AR556" s="2929"/>
      <c r="AS556" s="2929"/>
      <c r="AT556" s="2949"/>
      <c r="AU556" s="2950"/>
      <c r="AV556" s="454">
        <f t="shared" si="356"/>
        <v>0</v>
      </c>
      <c r="AW556" s="454">
        <f t="shared" si="357"/>
        <v>0</v>
      </c>
      <c r="AX556" s="454">
        <f t="shared" si="358"/>
        <v>0</v>
      </c>
      <c r="AY556" s="2966">
        <f t="shared" si="359"/>
        <v>0</v>
      </c>
      <c r="AZ556" s="2897">
        <f t="shared" si="360"/>
        <v>0</v>
      </c>
      <c r="BA556" s="2897">
        <f t="shared" si="361"/>
        <v>0</v>
      </c>
      <c r="BB556" s="2897">
        <f t="shared" si="362"/>
        <v>0</v>
      </c>
      <c r="BC556" s="2897">
        <f t="shared" si="363"/>
        <v>0</v>
      </c>
      <c r="BD556" s="2897">
        <f t="shared" si="364"/>
        <v>0</v>
      </c>
      <c r="BE556" s="2897">
        <f t="shared" si="365"/>
        <v>0</v>
      </c>
      <c r="BF556" s="2897">
        <f t="shared" si="366"/>
        <v>0</v>
      </c>
      <c r="BG556" s="2897">
        <f t="shared" si="367"/>
        <v>0</v>
      </c>
      <c r="BH556" s="2897">
        <f t="shared" si="368"/>
        <v>0</v>
      </c>
      <c r="BI556" s="2897">
        <f t="shared" si="369"/>
        <v>0</v>
      </c>
      <c r="BJ556" s="2897">
        <f t="shared" si="370"/>
        <v>0</v>
      </c>
      <c r="BK556" s="2897">
        <f t="shared" si="371"/>
        <v>0</v>
      </c>
      <c r="BL556" s="2897">
        <f t="shared" si="372"/>
        <v>0</v>
      </c>
      <c r="BM556" s="2897">
        <f t="shared" si="373"/>
        <v>0</v>
      </c>
      <c r="BN556" s="2897">
        <f t="shared" si="374"/>
        <v>0</v>
      </c>
      <c r="BO556" s="2897">
        <f t="shared" si="375"/>
        <v>0</v>
      </c>
      <c r="BP556" s="2897">
        <f t="shared" si="376"/>
        <v>0</v>
      </c>
      <c r="BQ556" s="2897">
        <f t="shared" si="377"/>
        <v>0</v>
      </c>
      <c r="BR556" s="2897">
        <f t="shared" si="378"/>
        <v>0</v>
      </c>
      <c r="BS556" s="2897">
        <f t="shared" si="379"/>
        <v>0</v>
      </c>
      <c r="BT556" s="2971">
        <f t="shared" si="380"/>
        <v>0</v>
      </c>
    </row>
    <row r="557" spans="1:72">
      <c r="A557" s="2894"/>
      <c r="B557" s="2895"/>
      <c r="C557" s="2895"/>
      <c r="D557" s="2907"/>
      <c r="E557" s="2897">
        <f t="shared" si="352"/>
        <v>0</v>
      </c>
      <c r="F557" s="2898"/>
      <c r="G557" s="2899">
        <f t="shared" si="353"/>
        <v>0</v>
      </c>
      <c r="H557" s="2900">
        <f t="shared" si="354"/>
        <v>0</v>
      </c>
      <c r="I557" s="2918"/>
      <c r="J557" s="2918"/>
      <c r="K557" s="2918"/>
      <c r="L557" s="2918"/>
      <c r="M557" s="2918"/>
      <c r="N557" s="2918"/>
      <c r="O557" s="2918"/>
      <c r="P557" s="2918"/>
      <c r="Q557" s="2918"/>
      <c r="R557" s="2918"/>
      <c r="S557" s="2918"/>
      <c r="T557" s="2918"/>
      <c r="U557" s="2918"/>
      <c r="V557" s="2918"/>
      <c r="W557" s="2918"/>
      <c r="X557" s="2918"/>
      <c r="Y557" s="2918"/>
      <c r="Z557" s="2918"/>
      <c r="AA557" s="2918"/>
      <c r="AB557" s="2918"/>
      <c r="AC557" s="2897">
        <f t="shared" si="355"/>
        <v>0</v>
      </c>
      <c r="AD557" s="2929"/>
      <c r="AE557" s="2929"/>
      <c r="AF557" s="2929"/>
      <c r="AG557" s="2929"/>
      <c r="AH557" s="2929"/>
      <c r="AI557" s="2929"/>
      <c r="AJ557" s="2929"/>
      <c r="AK557" s="2929"/>
      <c r="AL557" s="2929"/>
      <c r="AM557" s="2929"/>
      <c r="AN557" s="2929"/>
      <c r="AO557" s="2929"/>
      <c r="AP557" s="2929"/>
      <c r="AQ557" s="2929"/>
      <c r="AR557" s="2929"/>
      <c r="AS557" s="2929"/>
      <c r="AT557" s="2949"/>
      <c r="AU557" s="2950"/>
      <c r="AV557" s="454">
        <f t="shared" si="356"/>
        <v>0</v>
      </c>
      <c r="AW557" s="454">
        <f t="shared" si="357"/>
        <v>0</v>
      </c>
      <c r="AX557" s="454">
        <f t="shared" si="358"/>
        <v>0</v>
      </c>
      <c r="AY557" s="2966">
        <f t="shared" si="359"/>
        <v>0</v>
      </c>
      <c r="AZ557" s="2897">
        <f t="shared" si="360"/>
        <v>0</v>
      </c>
      <c r="BA557" s="2897">
        <f t="shared" si="361"/>
        <v>0</v>
      </c>
      <c r="BB557" s="2897">
        <f t="shared" si="362"/>
        <v>0</v>
      </c>
      <c r="BC557" s="2897">
        <f t="shared" si="363"/>
        <v>0</v>
      </c>
      <c r="BD557" s="2897">
        <f t="shared" si="364"/>
        <v>0</v>
      </c>
      <c r="BE557" s="2897">
        <f t="shared" si="365"/>
        <v>0</v>
      </c>
      <c r="BF557" s="2897">
        <f t="shared" si="366"/>
        <v>0</v>
      </c>
      <c r="BG557" s="2897">
        <f t="shared" si="367"/>
        <v>0</v>
      </c>
      <c r="BH557" s="2897">
        <f t="shared" si="368"/>
        <v>0</v>
      </c>
      <c r="BI557" s="2897">
        <f t="shared" si="369"/>
        <v>0</v>
      </c>
      <c r="BJ557" s="2897">
        <f t="shared" si="370"/>
        <v>0</v>
      </c>
      <c r="BK557" s="2897">
        <f t="shared" si="371"/>
        <v>0</v>
      </c>
      <c r="BL557" s="2897">
        <f t="shared" si="372"/>
        <v>0</v>
      </c>
      <c r="BM557" s="2897">
        <f t="shared" si="373"/>
        <v>0</v>
      </c>
      <c r="BN557" s="2897">
        <f t="shared" si="374"/>
        <v>0</v>
      </c>
      <c r="BO557" s="2897">
        <f t="shared" si="375"/>
        <v>0</v>
      </c>
      <c r="BP557" s="2897">
        <f t="shared" si="376"/>
        <v>0</v>
      </c>
      <c r="BQ557" s="2897">
        <f t="shared" si="377"/>
        <v>0</v>
      </c>
      <c r="BR557" s="2897">
        <f t="shared" si="378"/>
        <v>0</v>
      </c>
      <c r="BS557" s="2897">
        <f t="shared" si="379"/>
        <v>0</v>
      </c>
      <c r="BT557" s="2971">
        <f t="shared" si="380"/>
        <v>0</v>
      </c>
    </row>
    <row r="558" spans="1:72">
      <c r="A558" s="2894"/>
      <c r="B558" s="2895"/>
      <c r="C558" s="2895"/>
      <c r="D558" s="2907"/>
      <c r="E558" s="2897">
        <f t="shared" si="352"/>
        <v>0</v>
      </c>
      <c r="F558" s="2898"/>
      <c r="G558" s="2899">
        <f t="shared" si="353"/>
        <v>0</v>
      </c>
      <c r="H558" s="2900">
        <f t="shared" si="354"/>
        <v>0</v>
      </c>
      <c r="I558" s="2918"/>
      <c r="J558" s="2918"/>
      <c r="K558" s="2918"/>
      <c r="L558" s="2918"/>
      <c r="M558" s="2918"/>
      <c r="N558" s="2918"/>
      <c r="O558" s="2918"/>
      <c r="P558" s="2918"/>
      <c r="Q558" s="2918"/>
      <c r="R558" s="2918"/>
      <c r="S558" s="2918"/>
      <c r="T558" s="2918"/>
      <c r="U558" s="2918"/>
      <c r="V558" s="2918"/>
      <c r="W558" s="2918"/>
      <c r="X558" s="2918"/>
      <c r="Y558" s="2918"/>
      <c r="Z558" s="2918"/>
      <c r="AA558" s="2918"/>
      <c r="AB558" s="2918"/>
      <c r="AC558" s="2897">
        <f t="shared" si="355"/>
        <v>0</v>
      </c>
      <c r="AD558" s="2929"/>
      <c r="AE558" s="2929"/>
      <c r="AF558" s="2929"/>
      <c r="AG558" s="2929"/>
      <c r="AH558" s="2929"/>
      <c r="AI558" s="2929"/>
      <c r="AJ558" s="2929"/>
      <c r="AK558" s="2929"/>
      <c r="AL558" s="2929"/>
      <c r="AM558" s="2929"/>
      <c r="AN558" s="2929"/>
      <c r="AO558" s="2929"/>
      <c r="AP558" s="2929"/>
      <c r="AQ558" s="2929"/>
      <c r="AR558" s="2929"/>
      <c r="AS558" s="2929"/>
      <c r="AT558" s="2949"/>
      <c r="AU558" s="2950"/>
      <c r="AV558" s="454">
        <f t="shared" si="356"/>
        <v>0</v>
      </c>
      <c r="AW558" s="454">
        <f t="shared" si="357"/>
        <v>0</v>
      </c>
      <c r="AX558" s="454">
        <f t="shared" si="358"/>
        <v>0</v>
      </c>
      <c r="AY558" s="2966">
        <f t="shared" si="359"/>
        <v>0</v>
      </c>
      <c r="AZ558" s="2897">
        <f t="shared" si="360"/>
        <v>0</v>
      </c>
      <c r="BA558" s="2897">
        <f t="shared" si="361"/>
        <v>0</v>
      </c>
      <c r="BB558" s="2897">
        <f t="shared" si="362"/>
        <v>0</v>
      </c>
      <c r="BC558" s="2897">
        <f t="shared" si="363"/>
        <v>0</v>
      </c>
      <c r="BD558" s="2897">
        <f t="shared" si="364"/>
        <v>0</v>
      </c>
      <c r="BE558" s="2897">
        <f t="shared" si="365"/>
        <v>0</v>
      </c>
      <c r="BF558" s="2897">
        <f t="shared" si="366"/>
        <v>0</v>
      </c>
      <c r="BG558" s="2897">
        <f t="shared" si="367"/>
        <v>0</v>
      </c>
      <c r="BH558" s="2897">
        <f t="shared" si="368"/>
        <v>0</v>
      </c>
      <c r="BI558" s="2897">
        <f t="shared" si="369"/>
        <v>0</v>
      </c>
      <c r="BJ558" s="2897">
        <f t="shared" si="370"/>
        <v>0</v>
      </c>
      <c r="BK558" s="2897">
        <f t="shared" si="371"/>
        <v>0</v>
      </c>
      <c r="BL558" s="2897">
        <f t="shared" si="372"/>
        <v>0</v>
      </c>
      <c r="BM558" s="2897">
        <f t="shared" si="373"/>
        <v>0</v>
      </c>
      <c r="BN558" s="2897">
        <f t="shared" si="374"/>
        <v>0</v>
      </c>
      <c r="BO558" s="2897">
        <f t="shared" si="375"/>
        <v>0</v>
      </c>
      <c r="BP558" s="2897">
        <f t="shared" si="376"/>
        <v>0</v>
      </c>
      <c r="BQ558" s="2897">
        <f t="shared" si="377"/>
        <v>0</v>
      </c>
      <c r="BR558" s="2897">
        <f t="shared" si="378"/>
        <v>0</v>
      </c>
      <c r="BS558" s="2897">
        <f t="shared" si="379"/>
        <v>0</v>
      </c>
      <c r="BT558" s="2971">
        <f t="shared" si="380"/>
        <v>0</v>
      </c>
    </row>
    <row r="559" spans="1:72">
      <c r="A559" s="2894"/>
      <c r="B559" s="2895"/>
      <c r="C559" s="2895"/>
      <c r="D559" s="2907"/>
      <c r="E559" s="2897">
        <f t="shared" si="352"/>
        <v>0</v>
      </c>
      <c r="F559" s="2898"/>
      <c r="G559" s="2899">
        <f t="shared" si="353"/>
        <v>0</v>
      </c>
      <c r="H559" s="2900">
        <f t="shared" si="354"/>
        <v>0</v>
      </c>
      <c r="I559" s="2918"/>
      <c r="J559" s="2918"/>
      <c r="K559" s="2918"/>
      <c r="L559" s="2918"/>
      <c r="M559" s="2918"/>
      <c r="N559" s="2918"/>
      <c r="O559" s="2918"/>
      <c r="P559" s="2918"/>
      <c r="Q559" s="2918"/>
      <c r="R559" s="2918"/>
      <c r="S559" s="2918"/>
      <c r="T559" s="2918"/>
      <c r="U559" s="2918"/>
      <c r="V559" s="2918"/>
      <c r="W559" s="2918"/>
      <c r="X559" s="2918"/>
      <c r="Y559" s="2918"/>
      <c r="Z559" s="2918"/>
      <c r="AA559" s="2918"/>
      <c r="AB559" s="2918"/>
      <c r="AC559" s="2897">
        <f t="shared" si="355"/>
        <v>0</v>
      </c>
      <c r="AD559" s="2929"/>
      <c r="AE559" s="2929"/>
      <c r="AF559" s="2929"/>
      <c r="AG559" s="2929"/>
      <c r="AH559" s="2929"/>
      <c r="AI559" s="2929"/>
      <c r="AJ559" s="2929"/>
      <c r="AK559" s="2929"/>
      <c r="AL559" s="2929"/>
      <c r="AM559" s="2929"/>
      <c r="AN559" s="2929"/>
      <c r="AO559" s="2929"/>
      <c r="AP559" s="2929"/>
      <c r="AQ559" s="2929"/>
      <c r="AR559" s="2929"/>
      <c r="AS559" s="2929"/>
      <c r="AT559" s="2949"/>
      <c r="AU559" s="2950"/>
      <c r="AV559" s="454">
        <f t="shared" si="356"/>
        <v>0</v>
      </c>
      <c r="AW559" s="454">
        <f t="shared" si="357"/>
        <v>0</v>
      </c>
      <c r="AX559" s="454">
        <f t="shared" si="358"/>
        <v>0</v>
      </c>
      <c r="AY559" s="2966">
        <f t="shared" si="359"/>
        <v>0</v>
      </c>
      <c r="AZ559" s="2897">
        <f t="shared" si="360"/>
        <v>0</v>
      </c>
      <c r="BA559" s="2897">
        <f t="shared" si="361"/>
        <v>0</v>
      </c>
      <c r="BB559" s="2897">
        <f t="shared" si="362"/>
        <v>0</v>
      </c>
      <c r="BC559" s="2897">
        <f t="shared" si="363"/>
        <v>0</v>
      </c>
      <c r="BD559" s="2897">
        <f t="shared" si="364"/>
        <v>0</v>
      </c>
      <c r="BE559" s="2897">
        <f t="shared" si="365"/>
        <v>0</v>
      </c>
      <c r="BF559" s="2897">
        <f t="shared" si="366"/>
        <v>0</v>
      </c>
      <c r="BG559" s="2897">
        <f t="shared" si="367"/>
        <v>0</v>
      </c>
      <c r="BH559" s="2897">
        <f t="shared" si="368"/>
        <v>0</v>
      </c>
      <c r="BI559" s="2897">
        <f t="shared" si="369"/>
        <v>0</v>
      </c>
      <c r="BJ559" s="2897">
        <f t="shared" si="370"/>
        <v>0</v>
      </c>
      <c r="BK559" s="2897">
        <f t="shared" si="371"/>
        <v>0</v>
      </c>
      <c r="BL559" s="2897">
        <f t="shared" si="372"/>
        <v>0</v>
      </c>
      <c r="BM559" s="2897">
        <f t="shared" si="373"/>
        <v>0</v>
      </c>
      <c r="BN559" s="2897">
        <f t="shared" si="374"/>
        <v>0</v>
      </c>
      <c r="BO559" s="2897">
        <f t="shared" si="375"/>
        <v>0</v>
      </c>
      <c r="BP559" s="2897">
        <f t="shared" si="376"/>
        <v>0</v>
      </c>
      <c r="BQ559" s="2897">
        <f t="shared" si="377"/>
        <v>0</v>
      </c>
      <c r="BR559" s="2897">
        <f t="shared" si="378"/>
        <v>0</v>
      </c>
      <c r="BS559" s="2897">
        <f t="shared" si="379"/>
        <v>0</v>
      </c>
      <c r="BT559" s="2971">
        <f t="shared" si="380"/>
        <v>0</v>
      </c>
    </row>
    <row r="560" spans="1:72">
      <c r="A560" s="2894"/>
      <c r="B560" s="2895"/>
      <c r="C560" s="2895"/>
      <c r="D560" s="2907"/>
      <c r="E560" s="2897">
        <f t="shared" si="352"/>
        <v>0</v>
      </c>
      <c r="F560" s="2898"/>
      <c r="G560" s="2899">
        <f t="shared" si="353"/>
        <v>0</v>
      </c>
      <c r="H560" s="2900">
        <f t="shared" si="354"/>
        <v>0</v>
      </c>
      <c r="I560" s="2918"/>
      <c r="J560" s="2918"/>
      <c r="K560" s="2918"/>
      <c r="L560" s="2918"/>
      <c r="M560" s="2918"/>
      <c r="N560" s="2918"/>
      <c r="O560" s="2918"/>
      <c r="P560" s="2918"/>
      <c r="Q560" s="2918"/>
      <c r="R560" s="2918"/>
      <c r="S560" s="2918"/>
      <c r="T560" s="2918"/>
      <c r="U560" s="2918"/>
      <c r="V560" s="2918"/>
      <c r="W560" s="2918"/>
      <c r="X560" s="2918"/>
      <c r="Y560" s="2918"/>
      <c r="Z560" s="2918"/>
      <c r="AA560" s="2918"/>
      <c r="AB560" s="2918"/>
      <c r="AC560" s="2897">
        <f t="shared" si="355"/>
        <v>0</v>
      </c>
      <c r="AD560" s="2929"/>
      <c r="AE560" s="2929"/>
      <c r="AF560" s="2929"/>
      <c r="AG560" s="2929"/>
      <c r="AH560" s="2929"/>
      <c r="AI560" s="2929"/>
      <c r="AJ560" s="2929"/>
      <c r="AK560" s="2929"/>
      <c r="AL560" s="2929"/>
      <c r="AM560" s="2929"/>
      <c r="AN560" s="2929"/>
      <c r="AO560" s="2929"/>
      <c r="AP560" s="2929"/>
      <c r="AQ560" s="2929"/>
      <c r="AR560" s="2929"/>
      <c r="AS560" s="2929"/>
      <c r="AT560" s="2949"/>
      <c r="AU560" s="2950"/>
      <c r="AV560" s="454">
        <f t="shared" si="356"/>
        <v>0</v>
      </c>
      <c r="AW560" s="454">
        <f t="shared" si="357"/>
        <v>0</v>
      </c>
      <c r="AX560" s="454">
        <f t="shared" si="358"/>
        <v>0</v>
      </c>
      <c r="AY560" s="2966">
        <f t="shared" si="359"/>
        <v>0</v>
      </c>
      <c r="AZ560" s="2897">
        <f t="shared" si="360"/>
        <v>0</v>
      </c>
      <c r="BA560" s="2897">
        <f t="shared" si="361"/>
        <v>0</v>
      </c>
      <c r="BB560" s="2897">
        <f t="shared" si="362"/>
        <v>0</v>
      </c>
      <c r="BC560" s="2897">
        <f t="shared" si="363"/>
        <v>0</v>
      </c>
      <c r="BD560" s="2897">
        <f t="shared" si="364"/>
        <v>0</v>
      </c>
      <c r="BE560" s="2897">
        <f t="shared" si="365"/>
        <v>0</v>
      </c>
      <c r="BF560" s="2897">
        <f t="shared" si="366"/>
        <v>0</v>
      </c>
      <c r="BG560" s="2897">
        <f t="shared" si="367"/>
        <v>0</v>
      </c>
      <c r="BH560" s="2897">
        <f t="shared" si="368"/>
        <v>0</v>
      </c>
      <c r="BI560" s="2897">
        <f t="shared" si="369"/>
        <v>0</v>
      </c>
      <c r="BJ560" s="2897">
        <f t="shared" si="370"/>
        <v>0</v>
      </c>
      <c r="BK560" s="2897">
        <f t="shared" si="371"/>
        <v>0</v>
      </c>
      <c r="BL560" s="2897">
        <f t="shared" si="372"/>
        <v>0</v>
      </c>
      <c r="BM560" s="2897">
        <f t="shared" si="373"/>
        <v>0</v>
      </c>
      <c r="BN560" s="2897">
        <f t="shared" si="374"/>
        <v>0</v>
      </c>
      <c r="BO560" s="2897">
        <f t="shared" si="375"/>
        <v>0</v>
      </c>
      <c r="BP560" s="2897">
        <f t="shared" si="376"/>
        <v>0</v>
      </c>
      <c r="BQ560" s="2897">
        <f t="shared" si="377"/>
        <v>0</v>
      </c>
      <c r="BR560" s="2897">
        <f t="shared" si="378"/>
        <v>0</v>
      </c>
      <c r="BS560" s="2897">
        <f t="shared" si="379"/>
        <v>0</v>
      </c>
      <c r="BT560" s="2971">
        <f t="shared" si="380"/>
        <v>0</v>
      </c>
    </row>
    <row r="561" spans="1:72">
      <c r="A561" s="2894"/>
      <c r="B561" s="2895"/>
      <c r="C561" s="2895"/>
      <c r="D561" s="2907"/>
      <c r="E561" s="2897">
        <f t="shared" si="352"/>
        <v>0</v>
      </c>
      <c r="F561" s="2898"/>
      <c r="G561" s="2899">
        <f t="shared" si="353"/>
        <v>0</v>
      </c>
      <c r="H561" s="2900">
        <f t="shared" si="354"/>
        <v>0</v>
      </c>
      <c r="I561" s="2918"/>
      <c r="J561" s="2918"/>
      <c r="K561" s="2918"/>
      <c r="L561" s="2918"/>
      <c r="M561" s="2918"/>
      <c r="N561" s="2918"/>
      <c r="O561" s="2918"/>
      <c r="P561" s="2918"/>
      <c r="Q561" s="2918"/>
      <c r="R561" s="2918"/>
      <c r="S561" s="2918"/>
      <c r="T561" s="2918"/>
      <c r="U561" s="2918"/>
      <c r="V561" s="2918"/>
      <c r="W561" s="2918"/>
      <c r="X561" s="2918"/>
      <c r="Y561" s="2918"/>
      <c r="Z561" s="2918"/>
      <c r="AA561" s="2918"/>
      <c r="AB561" s="2918"/>
      <c r="AC561" s="2897">
        <f t="shared" si="355"/>
        <v>0</v>
      </c>
      <c r="AD561" s="2929"/>
      <c r="AE561" s="2929"/>
      <c r="AF561" s="2929"/>
      <c r="AG561" s="2929"/>
      <c r="AH561" s="2929"/>
      <c r="AI561" s="2929"/>
      <c r="AJ561" s="2929"/>
      <c r="AK561" s="2929"/>
      <c r="AL561" s="2929"/>
      <c r="AM561" s="2929"/>
      <c r="AN561" s="2929"/>
      <c r="AO561" s="2929"/>
      <c r="AP561" s="2929"/>
      <c r="AQ561" s="2929"/>
      <c r="AR561" s="2929"/>
      <c r="AS561" s="2929"/>
      <c r="AT561" s="2949"/>
      <c r="AU561" s="2950"/>
      <c r="AV561" s="454">
        <f t="shared" si="356"/>
        <v>0</v>
      </c>
      <c r="AW561" s="454">
        <f t="shared" si="357"/>
        <v>0</v>
      </c>
      <c r="AX561" s="454">
        <f t="shared" si="358"/>
        <v>0</v>
      </c>
      <c r="AY561" s="2966">
        <f t="shared" si="359"/>
        <v>0</v>
      </c>
      <c r="AZ561" s="2897">
        <f t="shared" si="360"/>
        <v>0</v>
      </c>
      <c r="BA561" s="2897">
        <f t="shared" si="361"/>
        <v>0</v>
      </c>
      <c r="BB561" s="2897">
        <f t="shared" si="362"/>
        <v>0</v>
      </c>
      <c r="BC561" s="2897">
        <f t="shared" si="363"/>
        <v>0</v>
      </c>
      <c r="BD561" s="2897">
        <f t="shared" si="364"/>
        <v>0</v>
      </c>
      <c r="BE561" s="2897">
        <f t="shared" si="365"/>
        <v>0</v>
      </c>
      <c r="BF561" s="2897">
        <f t="shared" si="366"/>
        <v>0</v>
      </c>
      <c r="BG561" s="2897">
        <f t="shared" si="367"/>
        <v>0</v>
      </c>
      <c r="BH561" s="2897">
        <f t="shared" si="368"/>
        <v>0</v>
      </c>
      <c r="BI561" s="2897">
        <f t="shared" si="369"/>
        <v>0</v>
      </c>
      <c r="BJ561" s="2897">
        <f t="shared" si="370"/>
        <v>0</v>
      </c>
      <c r="BK561" s="2897">
        <f t="shared" si="371"/>
        <v>0</v>
      </c>
      <c r="BL561" s="2897">
        <f t="shared" si="372"/>
        <v>0</v>
      </c>
      <c r="BM561" s="2897">
        <f t="shared" si="373"/>
        <v>0</v>
      </c>
      <c r="BN561" s="2897">
        <f t="shared" si="374"/>
        <v>0</v>
      </c>
      <c r="BO561" s="2897">
        <f t="shared" si="375"/>
        <v>0</v>
      </c>
      <c r="BP561" s="2897">
        <f t="shared" si="376"/>
        <v>0</v>
      </c>
      <c r="BQ561" s="2897">
        <f t="shared" si="377"/>
        <v>0</v>
      </c>
      <c r="BR561" s="2897">
        <f t="shared" si="378"/>
        <v>0</v>
      </c>
      <c r="BS561" s="2897">
        <f t="shared" si="379"/>
        <v>0</v>
      </c>
      <c r="BT561" s="2971">
        <f t="shared" si="380"/>
        <v>0</v>
      </c>
    </row>
    <row r="562" spans="1:72">
      <c r="A562" s="2894"/>
      <c r="B562" s="2895"/>
      <c r="C562" s="2895"/>
      <c r="D562" s="2907"/>
      <c r="E562" s="2897">
        <f t="shared" si="352"/>
        <v>0</v>
      </c>
      <c r="F562" s="2898"/>
      <c r="G562" s="2899">
        <f t="shared" si="353"/>
        <v>0</v>
      </c>
      <c r="H562" s="2900">
        <f t="shared" si="354"/>
        <v>0</v>
      </c>
      <c r="I562" s="2918"/>
      <c r="J562" s="2918"/>
      <c r="K562" s="2918"/>
      <c r="L562" s="2918"/>
      <c r="M562" s="2918"/>
      <c r="N562" s="2918"/>
      <c r="O562" s="2918"/>
      <c r="P562" s="2918"/>
      <c r="Q562" s="2918"/>
      <c r="R562" s="2918"/>
      <c r="S562" s="2918"/>
      <c r="T562" s="2918"/>
      <c r="U562" s="2918"/>
      <c r="V562" s="2918"/>
      <c r="W562" s="2918"/>
      <c r="X562" s="2918"/>
      <c r="Y562" s="2918"/>
      <c r="Z562" s="2918"/>
      <c r="AA562" s="2918"/>
      <c r="AB562" s="2918"/>
      <c r="AC562" s="2897">
        <f t="shared" si="355"/>
        <v>0</v>
      </c>
      <c r="AD562" s="2929"/>
      <c r="AE562" s="2929"/>
      <c r="AF562" s="2929"/>
      <c r="AG562" s="2929"/>
      <c r="AH562" s="2929"/>
      <c r="AI562" s="2929"/>
      <c r="AJ562" s="2929"/>
      <c r="AK562" s="2929"/>
      <c r="AL562" s="2929"/>
      <c r="AM562" s="2929"/>
      <c r="AN562" s="2929"/>
      <c r="AO562" s="2929"/>
      <c r="AP562" s="2929"/>
      <c r="AQ562" s="2929"/>
      <c r="AR562" s="2929"/>
      <c r="AS562" s="2929"/>
      <c r="AT562" s="2949"/>
      <c r="AU562" s="2950"/>
      <c r="AV562" s="454">
        <f t="shared" si="356"/>
        <v>0</v>
      </c>
      <c r="AW562" s="454">
        <f t="shared" si="357"/>
        <v>0</v>
      </c>
      <c r="AX562" s="454">
        <f t="shared" si="358"/>
        <v>0</v>
      </c>
      <c r="AY562" s="2966">
        <f t="shared" si="359"/>
        <v>0</v>
      </c>
      <c r="AZ562" s="2897">
        <f t="shared" si="360"/>
        <v>0</v>
      </c>
      <c r="BA562" s="2897">
        <f t="shared" si="361"/>
        <v>0</v>
      </c>
      <c r="BB562" s="2897">
        <f t="shared" si="362"/>
        <v>0</v>
      </c>
      <c r="BC562" s="2897">
        <f t="shared" si="363"/>
        <v>0</v>
      </c>
      <c r="BD562" s="2897">
        <f t="shared" si="364"/>
        <v>0</v>
      </c>
      <c r="BE562" s="2897">
        <f t="shared" si="365"/>
        <v>0</v>
      </c>
      <c r="BF562" s="2897">
        <f t="shared" si="366"/>
        <v>0</v>
      </c>
      <c r="BG562" s="2897">
        <f t="shared" si="367"/>
        <v>0</v>
      </c>
      <c r="BH562" s="2897">
        <f t="shared" si="368"/>
        <v>0</v>
      </c>
      <c r="BI562" s="2897">
        <f t="shared" si="369"/>
        <v>0</v>
      </c>
      <c r="BJ562" s="2897">
        <f t="shared" si="370"/>
        <v>0</v>
      </c>
      <c r="BK562" s="2897">
        <f t="shared" si="371"/>
        <v>0</v>
      </c>
      <c r="BL562" s="2897">
        <f t="shared" si="372"/>
        <v>0</v>
      </c>
      <c r="BM562" s="2897">
        <f t="shared" si="373"/>
        <v>0</v>
      </c>
      <c r="BN562" s="2897">
        <f t="shared" si="374"/>
        <v>0</v>
      </c>
      <c r="BO562" s="2897">
        <f t="shared" si="375"/>
        <v>0</v>
      </c>
      <c r="BP562" s="2897">
        <f t="shared" si="376"/>
        <v>0</v>
      </c>
      <c r="BQ562" s="2897">
        <f t="shared" si="377"/>
        <v>0</v>
      </c>
      <c r="BR562" s="2897">
        <f t="shared" si="378"/>
        <v>0</v>
      </c>
      <c r="BS562" s="2897">
        <f t="shared" si="379"/>
        <v>0</v>
      </c>
      <c r="BT562" s="2971">
        <f t="shared" si="380"/>
        <v>0</v>
      </c>
    </row>
    <row r="563" spans="1:72">
      <c r="A563" s="2894"/>
      <c r="B563" s="2895"/>
      <c r="C563" s="2895"/>
      <c r="D563" s="2907"/>
      <c r="E563" s="2897">
        <f t="shared" si="352"/>
        <v>0</v>
      </c>
      <c r="F563" s="2898"/>
      <c r="G563" s="2899">
        <f t="shared" si="353"/>
        <v>0</v>
      </c>
      <c r="H563" s="2900">
        <f t="shared" si="354"/>
        <v>0</v>
      </c>
      <c r="I563" s="2918"/>
      <c r="J563" s="2918"/>
      <c r="K563" s="2918"/>
      <c r="L563" s="2918"/>
      <c r="M563" s="2918"/>
      <c r="N563" s="2918"/>
      <c r="O563" s="2918"/>
      <c r="P563" s="2918"/>
      <c r="Q563" s="2918"/>
      <c r="R563" s="2918"/>
      <c r="S563" s="2918"/>
      <c r="T563" s="2918"/>
      <c r="U563" s="2918"/>
      <c r="V563" s="2918"/>
      <c r="W563" s="2918"/>
      <c r="X563" s="2918"/>
      <c r="Y563" s="2918"/>
      <c r="Z563" s="2918"/>
      <c r="AA563" s="2918"/>
      <c r="AB563" s="2918"/>
      <c r="AC563" s="2897">
        <f t="shared" si="355"/>
        <v>0</v>
      </c>
      <c r="AD563" s="2929"/>
      <c r="AE563" s="2929"/>
      <c r="AF563" s="2929"/>
      <c r="AG563" s="2929"/>
      <c r="AH563" s="2929"/>
      <c r="AI563" s="2929"/>
      <c r="AJ563" s="2929"/>
      <c r="AK563" s="2929"/>
      <c r="AL563" s="2929"/>
      <c r="AM563" s="2929"/>
      <c r="AN563" s="2929"/>
      <c r="AO563" s="2929"/>
      <c r="AP563" s="2929"/>
      <c r="AQ563" s="2929"/>
      <c r="AR563" s="2929"/>
      <c r="AS563" s="2929"/>
      <c r="AT563" s="2949"/>
      <c r="AU563" s="2950"/>
      <c r="AV563" s="454">
        <f t="shared" si="356"/>
        <v>0</v>
      </c>
      <c r="AW563" s="454">
        <f t="shared" si="357"/>
        <v>0</v>
      </c>
      <c r="AX563" s="454">
        <f t="shared" si="358"/>
        <v>0</v>
      </c>
      <c r="AY563" s="2966">
        <f t="shared" si="359"/>
        <v>0</v>
      </c>
      <c r="AZ563" s="2897">
        <f t="shared" si="360"/>
        <v>0</v>
      </c>
      <c r="BA563" s="2897">
        <f t="shared" si="361"/>
        <v>0</v>
      </c>
      <c r="BB563" s="2897">
        <f t="shared" si="362"/>
        <v>0</v>
      </c>
      <c r="BC563" s="2897">
        <f t="shared" si="363"/>
        <v>0</v>
      </c>
      <c r="BD563" s="2897">
        <f t="shared" si="364"/>
        <v>0</v>
      </c>
      <c r="BE563" s="2897">
        <f t="shared" si="365"/>
        <v>0</v>
      </c>
      <c r="BF563" s="2897">
        <f t="shared" si="366"/>
        <v>0</v>
      </c>
      <c r="BG563" s="2897">
        <f t="shared" si="367"/>
        <v>0</v>
      </c>
      <c r="BH563" s="2897">
        <f t="shared" si="368"/>
        <v>0</v>
      </c>
      <c r="BI563" s="2897">
        <f t="shared" si="369"/>
        <v>0</v>
      </c>
      <c r="BJ563" s="2897">
        <f t="shared" si="370"/>
        <v>0</v>
      </c>
      <c r="BK563" s="2897">
        <f t="shared" si="371"/>
        <v>0</v>
      </c>
      <c r="BL563" s="2897">
        <f t="shared" si="372"/>
        <v>0</v>
      </c>
      <c r="BM563" s="2897">
        <f t="shared" si="373"/>
        <v>0</v>
      </c>
      <c r="BN563" s="2897">
        <f t="shared" si="374"/>
        <v>0</v>
      </c>
      <c r="BO563" s="2897">
        <f t="shared" si="375"/>
        <v>0</v>
      </c>
      <c r="BP563" s="2897">
        <f t="shared" si="376"/>
        <v>0</v>
      </c>
      <c r="BQ563" s="2897">
        <f t="shared" si="377"/>
        <v>0</v>
      </c>
      <c r="BR563" s="2897">
        <f t="shared" si="378"/>
        <v>0</v>
      </c>
      <c r="BS563" s="2897">
        <f t="shared" si="379"/>
        <v>0</v>
      </c>
      <c r="BT563" s="2971">
        <f t="shared" si="380"/>
        <v>0</v>
      </c>
    </row>
    <row r="564" spans="1:72">
      <c r="A564" s="2894"/>
      <c r="B564" s="2895"/>
      <c r="C564" s="2895"/>
      <c r="D564" s="2907"/>
      <c r="E564" s="2897">
        <f t="shared" si="352"/>
        <v>0</v>
      </c>
      <c r="F564" s="2898"/>
      <c r="G564" s="2899">
        <f t="shared" si="353"/>
        <v>0</v>
      </c>
      <c r="H564" s="2900">
        <f t="shared" si="354"/>
        <v>0</v>
      </c>
      <c r="I564" s="2918"/>
      <c r="J564" s="2918"/>
      <c r="K564" s="2918"/>
      <c r="L564" s="2918"/>
      <c r="M564" s="2918"/>
      <c r="N564" s="2918"/>
      <c r="O564" s="2918"/>
      <c r="P564" s="2918"/>
      <c r="Q564" s="2918"/>
      <c r="R564" s="2918"/>
      <c r="S564" s="2918"/>
      <c r="T564" s="2918"/>
      <c r="U564" s="2918"/>
      <c r="V564" s="2918"/>
      <c r="W564" s="2918"/>
      <c r="X564" s="2918"/>
      <c r="Y564" s="2918"/>
      <c r="Z564" s="2918"/>
      <c r="AA564" s="2918"/>
      <c r="AB564" s="2918"/>
      <c r="AC564" s="2897">
        <f t="shared" si="355"/>
        <v>0</v>
      </c>
      <c r="AD564" s="2929"/>
      <c r="AE564" s="2929"/>
      <c r="AF564" s="2929"/>
      <c r="AG564" s="2929"/>
      <c r="AH564" s="2929"/>
      <c r="AI564" s="2929"/>
      <c r="AJ564" s="2929"/>
      <c r="AK564" s="2929"/>
      <c r="AL564" s="2929"/>
      <c r="AM564" s="2929"/>
      <c r="AN564" s="2929"/>
      <c r="AO564" s="2929"/>
      <c r="AP564" s="2929"/>
      <c r="AQ564" s="2929"/>
      <c r="AR564" s="2929"/>
      <c r="AS564" s="2929"/>
      <c r="AT564" s="2949"/>
      <c r="AU564" s="2950"/>
      <c r="AV564" s="454">
        <f t="shared" si="356"/>
        <v>0</v>
      </c>
      <c r="AW564" s="454">
        <f t="shared" si="357"/>
        <v>0</v>
      </c>
      <c r="AX564" s="454">
        <f t="shared" si="358"/>
        <v>0</v>
      </c>
      <c r="AY564" s="2966">
        <f t="shared" si="359"/>
        <v>0</v>
      </c>
      <c r="AZ564" s="2897">
        <f t="shared" si="360"/>
        <v>0</v>
      </c>
      <c r="BA564" s="2897">
        <f t="shared" si="361"/>
        <v>0</v>
      </c>
      <c r="BB564" s="2897">
        <f t="shared" si="362"/>
        <v>0</v>
      </c>
      <c r="BC564" s="2897">
        <f t="shared" si="363"/>
        <v>0</v>
      </c>
      <c r="BD564" s="2897">
        <f t="shared" si="364"/>
        <v>0</v>
      </c>
      <c r="BE564" s="2897">
        <f t="shared" si="365"/>
        <v>0</v>
      </c>
      <c r="BF564" s="2897">
        <f t="shared" si="366"/>
        <v>0</v>
      </c>
      <c r="BG564" s="2897">
        <f t="shared" si="367"/>
        <v>0</v>
      </c>
      <c r="BH564" s="2897">
        <f t="shared" si="368"/>
        <v>0</v>
      </c>
      <c r="BI564" s="2897">
        <f t="shared" si="369"/>
        <v>0</v>
      </c>
      <c r="BJ564" s="2897">
        <f t="shared" si="370"/>
        <v>0</v>
      </c>
      <c r="BK564" s="2897">
        <f t="shared" si="371"/>
        <v>0</v>
      </c>
      <c r="BL564" s="2897">
        <f t="shared" si="372"/>
        <v>0</v>
      </c>
      <c r="BM564" s="2897">
        <f t="shared" si="373"/>
        <v>0</v>
      </c>
      <c r="BN564" s="2897">
        <f t="shared" si="374"/>
        <v>0</v>
      </c>
      <c r="BO564" s="2897">
        <f t="shared" si="375"/>
        <v>0</v>
      </c>
      <c r="BP564" s="2897">
        <f t="shared" si="376"/>
        <v>0</v>
      </c>
      <c r="BQ564" s="2897">
        <f t="shared" si="377"/>
        <v>0</v>
      </c>
      <c r="BR564" s="2897">
        <f t="shared" si="378"/>
        <v>0</v>
      </c>
      <c r="BS564" s="2897">
        <f t="shared" si="379"/>
        <v>0</v>
      </c>
      <c r="BT564" s="2971">
        <f t="shared" si="380"/>
        <v>0</v>
      </c>
    </row>
    <row r="565" spans="1:72">
      <c r="A565" s="2894"/>
      <c r="B565" s="2895"/>
      <c r="C565" s="2895"/>
      <c r="D565" s="2907"/>
      <c r="E565" s="2897">
        <f t="shared" si="352"/>
        <v>0</v>
      </c>
      <c r="F565" s="2898"/>
      <c r="G565" s="2899">
        <f t="shared" si="353"/>
        <v>0</v>
      </c>
      <c r="H565" s="2900">
        <f t="shared" si="354"/>
        <v>0</v>
      </c>
      <c r="I565" s="2918"/>
      <c r="J565" s="2918"/>
      <c r="K565" s="2918"/>
      <c r="L565" s="2918"/>
      <c r="M565" s="2918"/>
      <c r="N565" s="2918"/>
      <c r="O565" s="2918"/>
      <c r="P565" s="2918"/>
      <c r="Q565" s="2918"/>
      <c r="R565" s="2918"/>
      <c r="S565" s="2918"/>
      <c r="T565" s="2918"/>
      <c r="U565" s="2918"/>
      <c r="V565" s="2918"/>
      <c r="W565" s="2918"/>
      <c r="X565" s="2918"/>
      <c r="Y565" s="2918"/>
      <c r="Z565" s="2918"/>
      <c r="AA565" s="2918"/>
      <c r="AB565" s="2918"/>
      <c r="AC565" s="2897">
        <f t="shared" si="355"/>
        <v>0</v>
      </c>
      <c r="AD565" s="2929"/>
      <c r="AE565" s="2929"/>
      <c r="AF565" s="2929"/>
      <c r="AG565" s="2929"/>
      <c r="AH565" s="2929"/>
      <c r="AI565" s="2929"/>
      <c r="AJ565" s="2929"/>
      <c r="AK565" s="2929"/>
      <c r="AL565" s="2929"/>
      <c r="AM565" s="2929"/>
      <c r="AN565" s="2929"/>
      <c r="AO565" s="2929"/>
      <c r="AP565" s="2929"/>
      <c r="AQ565" s="2929"/>
      <c r="AR565" s="2929"/>
      <c r="AS565" s="2929"/>
      <c r="AT565" s="2949"/>
      <c r="AU565" s="2950"/>
      <c r="AV565" s="454">
        <f t="shared" si="356"/>
        <v>0</v>
      </c>
      <c r="AW565" s="454">
        <f t="shared" si="357"/>
        <v>0</v>
      </c>
      <c r="AX565" s="454">
        <f t="shared" si="358"/>
        <v>0</v>
      </c>
      <c r="AY565" s="2966">
        <f t="shared" si="359"/>
        <v>0</v>
      </c>
      <c r="AZ565" s="2897">
        <f t="shared" si="360"/>
        <v>0</v>
      </c>
      <c r="BA565" s="2897">
        <f t="shared" si="361"/>
        <v>0</v>
      </c>
      <c r="BB565" s="2897">
        <f t="shared" si="362"/>
        <v>0</v>
      </c>
      <c r="BC565" s="2897">
        <f t="shared" si="363"/>
        <v>0</v>
      </c>
      <c r="BD565" s="2897">
        <f t="shared" si="364"/>
        <v>0</v>
      </c>
      <c r="BE565" s="2897">
        <f t="shared" si="365"/>
        <v>0</v>
      </c>
      <c r="BF565" s="2897">
        <f t="shared" si="366"/>
        <v>0</v>
      </c>
      <c r="BG565" s="2897">
        <f t="shared" si="367"/>
        <v>0</v>
      </c>
      <c r="BH565" s="2897">
        <f t="shared" si="368"/>
        <v>0</v>
      </c>
      <c r="BI565" s="2897">
        <f t="shared" si="369"/>
        <v>0</v>
      </c>
      <c r="BJ565" s="2897">
        <f t="shared" si="370"/>
        <v>0</v>
      </c>
      <c r="BK565" s="2897">
        <f t="shared" si="371"/>
        <v>0</v>
      </c>
      <c r="BL565" s="2897">
        <f t="shared" si="372"/>
        <v>0</v>
      </c>
      <c r="BM565" s="2897">
        <f t="shared" si="373"/>
        <v>0</v>
      </c>
      <c r="BN565" s="2897">
        <f t="shared" si="374"/>
        <v>0</v>
      </c>
      <c r="BO565" s="2897">
        <f t="shared" si="375"/>
        <v>0</v>
      </c>
      <c r="BP565" s="2897">
        <f t="shared" si="376"/>
        <v>0</v>
      </c>
      <c r="BQ565" s="2897">
        <f t="shared" si="377"/>
        <v>0</v>
      </c>
      <c r="BR565" s="2897">
        <f t="shared" si="378"/>
        <v>0</v>
      </c>
      <c r="BS565" s="2897">
        <f t="shared" si="379"/>
        <v>0</v>
      </c>
      <c r="BT565" s="2971">
        <f t="shared" si="380"/>
        <v>0</v>
      </c>
    </row>
    <row r="566" spans="1:72">
      <c r="A566" s="2894"/>
      <c r="B566" s="2895"/>
      <c r="C566" s="2895"/>
      <c r="D566" s="2907"/>
      <c r="E566" s="2897">
        <f t="shared" si="352"/>
        <v>0</v>
      </c>
      <c r="F566" s="2898"/>
      <c r="G566" s="2899">
        <f t="shared" si="353"/>
        <v>0</v>
      </c>
      <c r="H566" s="2900">
        <f t="shared" si="354"/>
        <v>0</v>
      </c>
      <c r="I566" s="2918"/>
      <c r="J566" s="2918"/>
      <c r="K566" s="2918"/>
      <c r="L566" s="2918"/>
      <c r="M566" s="2918"/>
      <c r="N566" s="2918"/>
      <c r="O566" s="2918"/>
      <c r="P566" s="2918"/>
      <c r="Q566" s="2918"/>
      <c r="R566" s="2918"/>
      <c r="S566" s="2918"/>
      <c r="T566" s="2918"/>
      <c r="U566" s="2918"/>
      <c r="V566" s="2918"/>
      <c r="W566" s="2918"/>
      <c r="X566" s="2918"/>
      <c r="Y566" s="2918"/>
      <c r="Z566" s="2918"/>
      <c r="AA566" s="2918"/>
      <c r="AB566" s="2918"/>
      <c r="AC566" s="2897">
        <f t="shared" si="355"/>
        <v>0</v>
      </c>
      <c r="AD566" s="2929"/>
      <c r="AE566" s="2929"/>
      <c r="AF566" s="2929"/>
      <c r="AG566" s="2929"/>
      <c r="AH566" s="2929"/>
      <c r="AI566" s="2929"/>
      <c r="AJ566" s="2929"/>
      <c r="AK566" s="2929"/>
      <c r="AL566" s="2929"/>
      <c r="AM566" s="2929"/>
      <c r="AN566" s="2929"/>
      <c r="AO566" s="2929"/>
      <c r="AP566" s="2929"/>
      <c r="AQ566" s="2929"/>
      <c r="AR566" s="2929"/>
      <c r="AS566" s="2929"/>
      <c r="AT566" s="2949"/>
      <c r="AU566" s="2950"/>
      <c r="AV566" s="454">
        <f t="shared" si="356"/>
        <v>0</v>
      </c>
      <c r="AW566" s="454">
        <f t="shared" si="357"/>
        <v>0</v>
      </c>
      <c r="AX566" s="454">
        <f t="shared" si="358"/>
        <v>0</v>
      </c>
      <c r="AY566" s="2966">
        <f t="shared" si="359"/>
        <v>0</v>
      </c>
      <c r="AZ566" s="2897">
        <f t="shared" si="360"/>
        <v>0</v>
      </c>
      <c r="BA566" s="2897">
        <f t="shared" si="361"/>
        <v>0</v>
      </c>
      <c r="BB566" s="2897">
        <f t="shared" si="362"/>
        <v>0</v>
      </c>
      <c r="BC566" s="2897">
        <f t="shared" si="363"/>
        <v>0</v>
      </c>
      <c r="BD566" s="2897">
        <f t="shared" si="364"/>
        <v>0</v>
      </c>
      <c r="BE566" s="2897">
        <f t="shared" si="365"/>
        <v>0</v>
      </c>
      <c r="BF566" s="2897">
        <f t="shared" si="366"/>
        <v>0</v>
      </c>
      <c r="BG566" s="2897">
        <f t="shared" si="367"/>
        <v>0</v>
      </c>
      <c r="BH566" s="2897">
        <f t="shared" si="368"/>
        <v>0</v>
      </c>
      <c r="BI566" s="2897">
        <f t="shared" si="369"/>
        <v>0</v>
      </c>
      <c r="BJ566" s="2897">
        <f t="shared" si="370"/>
        <v>0</v>
      </c>
      <c r="BK566" s="2897">
        <f t="shared" si="371"/>
        <v>0</v>
      </c>
      <c r="BL566" s="2897">
        <f t="shared" si="372"/>
        <v>0</v>
      </c>
      <c r="BM566" s="2897">
        <f t="shared" si="373"/>
        <v>0</v>
      </c>
      <c r="BN566" s="2897">
        <f t="shared" si="374"/>
        <v>0</v>
      </c>
      <c r="BO566" s="2897">
        <f t="shared" si="375"/>
        <v>0</v>
      </c>
      <c r="BP566" s="2897">
        <f t="shared" si="376"/>
        <v>0</v>
      </c>
      <c r="BQ566" s="2897">
        <f t="shared" si="377"/>
        <v>0</v>
      </c>
      <c r="BR566" s="2897">
        <f t="shared" si="378"/>
        <v>0</v>
      </c>
      <c r="BS566" s="2897">
        <f t="shared" si="379"/>
        <v>0</v>
      </c>
      <c r="BT566" s="2971">
        <f t="shared" si="380"/>
        <v>0</v>
      </c>
    </row>
    <row r="567" spans="1:72">
      <c r="A567" s="2894"/>
      <c r="B567" s="2895"/>
      <c r="C567" s="2895"/>
      <c r="D567" s="2907"/>
      <c r="E567" s="2897">
        <f t="shared" si="352"/>
        <v>0</v>
      </c>
      <c r="F567" s="2898"/>
      <c r="G567" s="2899">
        <f t="shared" si="353"/>
        <v>0</v>
      </c>
      <c r="H567" s="2900">
        <f t="shared" si="354"/>
        <v>0</v>
      </c>
      <c r="I567" s="2918"/>
      <c r="J567" s="2918"/>
      <c r="K567" s="2918"/>
      <c r="L567" s="2918"/>
      <c r="M567" s="2918"/>
      <c r="N567" s="2918"/>
      <c r="O567" s="2918"/>
      <c r="P567" s="2918"/>
      <c r="Q567" s="2918"/>
      <c r="R567" s="2918"/>
      <c r="S567" s="2918"/>
      <c r="T567" s="2918"/>
      <c r="U567" s="2918"/>
      <c r="V567" s="2918"/>
      <c r="W567" s="2918"/>
      <c r="X567" s="2918"/>
      <c r="Y567" s="2918"/>
      <c r="Z567" s="2918"/>
      <c r="AA567" s="2918"/>
      <c r="AB567" s="2918"/>
      <c r="AC567" s="2897">
        <f t="shared" si="355"/>
        <v>0</v>
      </c>
      <c r="AD567" s="2929"/>
      <c r="AE567" s="2929"/>
      <c r="AF567" s="2929"/>
      <c r="AG567" s="2929"/>
      <c r="AH567" s="2929"/>
      <c r="AI567" s="2929"/>
      <c r="AJ567" s="2929"/>
      <c r="AK567" s="2929"/>
      <c r="AL567" s="2929"/>
      <c r="AM567" s="2929"/>
      <c r="AN567" s="2929"/>
      <c r="AO567" s="2929"/>
      <c r="AP567" s="2929"/>
      <c r="AQ567" s="2929"/>
      <c r="AR567" s="2929"/>
      <c r="AS567" s="2929"/>
      <c r="AT567" s="2949"/>
      <c r="AU567" s="2950"/>
      <c r="AV567" s="454">
        <f t="shared" si="356"/>
        <v>0</v>
      </c>
      <c r="AW567" s="454">
        <f t="shared" si="357"/>
        <v>0</v>
      </c>
      <c r="AX567" s="454">
        <f t="shared" si="358"/>
        <v>0</v>
      </c>
      <c r="AY567" s="2966">
        <f t="shared" si="359"/>
        <v>0</v>
      </c>
      <c r="AZ567" s="2897">
        <f t="shared" si="360"/>
        <v>0</v>
      </c>
      <c r="BA567" s="2897">
        <f t="shared" si="361"/>
        <v>0</v>
      </c>
      <c r="BB567" s="2897">
        <f t="shared" si="362"/>
        <v>0</v>
      </c>
      <c r="BC567" s="2897">
        <f t="shared" si="363"/>
        <v>0</v>
      </c>
      <c r="BD567" s="2897">
        <f t="shared" si="364"/>
        <v>0</v>
      </c>
      <c r="BE567" s="2897">
        <f t="shared" si="365"/>
        <v>0</v>
      </c>
      <c r="BF567" s="2897">
        <f t="shared" si="366"/>
        <v>0</v>
      </c>
      <c r="BG567" s="2897">
        <f t="shared" si="367"/>
        <v>0</v>
      </c>
      <c r="BH567" s="2897">
        <f t="shared" si="368"/>
        <v>0</v>
      </c>
      <c r="BI567" s="2897">
        <f t="shared" si="369"/>
        <v>0</v>
      </c>
      <c r="BJ567" s="2897">
        <f t="shared" si="370"/>
        <v>0</v>
      </c>
      <c r="BK567" s="2897">
        <f t="shared" si="371"/>
        <v>0</v>
      </c>
      <c r="BL567" s="2897">
        <f t="shared" si="372"/>
        <v>0</v>
      </c>
      <c r="BM567" s="2897">
        <f t="shared" si="373"/>
        <v>0</v>
      </c>
      <c r="BN567" s="2897">
        <f t="shared" si="374"/>
        <v>0</v>
      </c>
      <c r="BO567" s="2897">
        <f t="shared" si="375"/>
        <v>0</v>
      </c>
      <c r="BP567" s="2897">
        <f t="shared" si="376"/>
        <v>0</v>
      </c>
      <c r="BQ567" s="2897">
        <f t="shared" si="377"/>
        <v>0</v>
      </c>
      <c r="BR567" s="2897">
        <f t="shared" si="378"/>
        <v>0</v>
      </c>
      <c r="BS567" s="2897">
        <f t="shared" si="379"/>
        <v>0</v>
      </c>
      <c r="BT567" s="2971">
        <f t="shared" si="380"/>
        <v>0</v>
      </c>
    </row>
    <row r="568" spans="1:72">
      <c r="A568" s="2894"/>
      <c r="B568" s="2895"/>
      <c r="C568" s="2895"/>
      <c r="D568" s="2907"/>
      <c r="E568" s="2897">
        <f t="shared" si="352"/>
        <v>0</v>
      </c>
      <c r="F568" s="2898"/>
      <c r="G568" s="2899">
        <f t="shared" si="353"/>
        <v>0</v>
      </c>
      <c r="H568" s="2900">
        <f t="shared" si="354"/>
        <v>0</v>
      </c>
      <c r="I568" s="2918"/>
      <c r="J568" s="2918"/>
      <c r="K568" s="2918"/>
      <c r="L568" s="2918"/>
      <c r="M568" s="2918"/>
      <c r="N568" s="2918"/>
      <c r="O568" s="2918"/>
      <c r="P568" s="2918"/>
      <c r="Q568" s="2918"/>
      <c r="R568" s="2918"/>
      <c r="S568" s="2918"/>
      <c r="T568" s="2918"/>
      <c r="U568" s="2918"/>
      <c r="V568" s="2918"/>
      <c r="W568" s="2918"/>
      <c r="X568" s="2918"/>
      <c r="Y568" s="2918"/>
      <c r="Z568" s="2918"/>
      <c r="AA568" s="2918"/>
      <c r="AB568" s="2918"/>
      <c r="AC568" s="2897">
        <f t="shared" si="355"/>
        <v>0</v>
      </c>
      <c r="AD568" s="2929"/>
      <c r="AE568" s="2929"/>
      <c r="AF568" s="2929"/>
      <c r="AG568" s="2929"/>
      <c r="AH568" s="2929"/>
      <c r="AI568" s="2929"/>
      <c r="AJ568" s="2929"/>
      <c r="AK568" s="2929"/>
      <c r="AL568" s="2929"/>
      <c r="AM568" s="2929"/>
      <c r="AN568" s="2929"/>
      <c r="AO568" s="2929"/>
      <c r="AP568" s="2929"/>
      <c r="AQ568" s="2929"/>
      <c r="AR568" s="2929"/>
      <c r="AS568" s="2929"/>
      <c r="AT568" s="2949"/>
      <c r="AU568" s="2950"/>
      <c r="AV568" s="454">
        <f t="shared" si="356"/>
        <v>0</v>
      </c>
      <c r="AW568" s="454">
        <f t="shared" si="357"/>
        <v>0</v>
      </c>
      <c r="AX568" s="454">
        <f t="shared" si="358"/>
        <v>0</v>
      </c>
      <c r="AY568" s="2966">
        <f t="shared" si="359"/>
        <v>0</v>
      </c>
      <c r="AZ568" s="2897">
        <f t="shared" si="360"/>
        <v>0</v>
      </c>
      <c r="BA568" s="2897">
        <f t="shared" si="361"/>
        <v>0</v>
      </c>
      <c r="BB568" s="2897">
        <f t="shared" si="362"/>
        <v>0</v>
      </c>
      <c r="BC568" s="2897">
        <f t="shared" si="363"/>
        <v>0</v>
      </c>
      <c r="BD568" s="2897">
        <f t="shared" si="364"/>
        <v>0</v>
      </c>
      <c r="BE568" s="2897">
        <f t="shared" si="365"/>
        <v>0</v>
      </c>
      <c r="BF568" s="2897">
        <f t="shared" si="366"/>
        <v>0</v>
      </c>
      <c r="BG568" s="2897">
        <f t="shared" si="367"/>
        <v>0</v>
      </c>
      <c r="BH568" s="2897">
        <f t="shared" si="368"/>
        <v>0</v>
      </c>
      <c r="BI568" s="2897">
        <f t="shared" si="369"/>
        <v>0</v>
      </c>
      <c r="BJ568" s="2897">
        <f t="shared" si="370"/>
        <v>0</v>
      </c>
      <c r="BK568" s="2897">
        <f t="shared" si="371"/>
        <v>0</v>
      </c>
      <c r="BL568" s="2897">
        <f t="shared" si="372"/>
        <v>0</v>
      </c>
      <c r="BM568" s="2897">
        <f t="shared" si="373"/>
        <v>0</v>
      </c>
      <c r="BN568" s="2897">
        <f t="shared" si="374"/>
        <v>0</v>
      </c>
      <c r="BO568" s="2897">
        <f t="shared" si="375"/>
        <v>0</v>
      </c>
      <c r="BP568" s="2897">
        <f t="shared" si="376"/>
        <v>0</v>
      </c>
      <c r="BQ568" s="2897">
        <f t="shared" si="377"/>
        <v>0</v>
      </c>
      <c r="BR568" s="2897">
        <f t="shared" si="378"/>
        <v>0</v>
      </c>
      <c r="BS568" s="2897">
        <f t="shared" si="379"/>
        <v>0</v>
      </c>
      <c r="BT568" s="2971">
        <f t="shared" si="380"/>
        <v>0</v>
      </c>
    </row>
    <row r="569" spans="1:72">
      <c r="A569" s="2894"/>
      <c r="B569" s="2895"/>
      <c r="C569" s="2895"/>
      <c r="D569" s="2907"/>
      <c r="E569" s="2897">
        <f t="shared" si="352"/>
        <v>0</v>
      </c>
      <c r="F569" s="2898"/>
      <c r="G569" s="2899">
        <f t="shared" si="353"/>
        <v>0</v>
      </c>
      <c r="H569" s="2900">
        <f t="shared" si="354"/>
        <v>0</v>
      </c>
      <c r="I569" s="2918"/>
      <c r="J569" s="2918"/>
      <c r="K569" s="2918"/>
      <c r="L569" s="2918"/>
      <c r="M569" s="2918"/>
      <c r="N569" s="2918"/>
      <c r="O569" s="2918"/>
      <c r="P569" s="2918"/>
      <c r="Q569" s="2918"/>
      <c r="R569" s="2918"/>
      <c r="S569" s="2918"/>
      <c r="T569" s="2918"/>
      <c r="U569" s="2918"/>
      <c r="V569" s="2918"/>
      <c r="W569" s="2918"/>
      <c r="X569" s="2918"/>
      <c r="Y569" s="2918"/>
      <c r="Z569" s="2918"/>
      <c r="AA569" s="2918"/>
      <c r="AB569" s="2918"/>
      <c r="AC569" s="2897">
        <f t="shared" si="355"/>
        <v>0</v>
      </c>
      <c r="AD569" s="2929"/>
      <c r="AE569" s="2929"/>
      <c r="AF569" s="2929"/>
      <c r="AG569" s="2929"/>
      <c r="AH569" s="2929"/>
      <c r="AI569" s="2929"/>
      <c r="AJ569" s="2929"/>
      <c r="AK569" s="2929"/>
      <c r="AL569" s="2929"/>
      <c r="AM569" s="2929"/>
      <c r="AN569" s="2929"/>
      <c r="AO569" s="2929"/>
      <c r="AP569" s="2929"/>
      <c r="AQ569" s="2929"/>
      <c r="AR569" s="2929"/>
      <c r="AS569" s="2929"/>
      <c r="AT569" s="2949"/>
      <c r="AU569" s="2950"/>
      <c r="AV569" s="454">
        <f t="shared" si="356"/>
        <v>0</v>
      </c>
      <c r="AW569" s="454">
        <f t="shared" si="357"/>
        <v>0</v>
      </c>
      <c r="AX569" s="454">
        <f t="shared" si="358"/>
        <v>0</v>
      </c>
      <c r="AY569" s="2966">
        <f t="shared" si="359"/>
        <v>0</v>
      </c>
      <c r="AZ569" s="2897">
        <f t="shared" si="360"/>
        <v>0</v>
      </c>
      <c r="BA569" s="2897">
        <f t="shared" si="361"/>
        <v>0</v>
      </c>
      <c r="BB569" s="2897">
        <f t="shared" si="362"/>
        <v>0</v>
      </c>
      <c r="BC569" s="2897">
        <f t="shared" si="363"/>
        <v>0</v>
      </c>
      <c r="BD569" s="2897">
        <f t="shared" si="364"/>
        <v>0</v>
      </c>
      <c r="BE569" s="2897">
        <f t="shared" si="365"/>
        <v>0</v>
      </c>
      <c r="BF569" s="2897">
        <f t="shared" si="366"/>
        <v>0</v>
      </c>
      <c r="BG569" s="2897">
        <f t="shared" si="367"/>
        <v>0</v>
      </c>
      <c r="BH569" s="2897">
        <f t="shared" si="368"/>
        <v>0</v>
      </c>
      <c r="BI569" s="2897">
        <f t="shared" si="369"/>
        <v>0</v>
      </c>
      <c r="BJ569" s="2897">
        <f t="shared" si="370"/>
        <v>0</v>
      </c>
      <c r="BK569" s="2897">
        <f t="shared" si="371"/>
        <v>0</v>
      </c>
      <c r="BL569" s="2897">
        <f t="shared" si="372"/>
        <v>0</v>
      </c>
      <c r="BM569" s="2897">
        <f t="shared" si="373"/>
        <v>0</v>
      </c>
      <c r="BN569" s="2897">
        <f t="shared" si="374"/>
        <v>0</v>
      </c>
      <c r="BO569" s="2897">
        <f t="shared" si="375"/>
        <v>0</v>
      </c>
      <c r="BP569" s="2897">
        <f t="shared" si="376"/>
        <v>0</v>
      </c>
      <c r="BQ569" s="2897">
        <f t="shared" si="377"/>
        <v>0</v>
      </c>
      <c r="BR569" s="2897">
        <f t="shared" si="378"/>
        <v>0</v>
      </c>
      <c r="BS569" s="2897">
        <f t="shared" si="379"/>
        <v>0</v>
      </c>
      <c r="BT569" s="2971">
        <f t="shared" si="380"/>
        <v>0</v>
      </c>
    </row>
    <row r="570" spans="1:72">
      <c r="A570" s="2894"/>
      <c r="B570" s="2894"/>
      <c r="C570" s="2894"/>
      <c r="D570" s="2907"/>
      <c r="E570" s="2897">
        <f t="shared" si="352"/>
        <v>0</v>
      </c>
      <c r="F570" s="2972"/>
      <c r="G570" s="2899">
        <f t="shared" si="353"/>
        <v>0</v>
      </c>
      <c r="H570" s="2900">
        <f t="shared" si="354"/>
        <v>0</v>
      </c>
      <c r="I570" s="2973"/>
      <c r="J570" s="2973"/>
      <c r="K570" s="2918"/>
      <c r="L570" s="2918"/>
      <c r="M570" s="2918"/>
      <c r="N570" s="2918"/>
      <c r="O570" s="2918"/>
      <c r="P570" s="2918"/>
      <c r="Q570" s="2918"/>
      <c r="R570" s="2918"/>
      <c r="S570" s="2918"/>
      <c r="T570" s="2918"/>
      <c r="U570" s="2918"/>
      <c r="V570" s="2918"/>
      <c r="W570" s="2918"/>
      <c r="X570" s="2918"/>
      <c r="Y570" s="2918"/>
      <c r="Z570" s="2918"/>
      <c r="AA570" s="2918"/>
      <c r="AB570" s="2918"/>
      <c r="AC570" s="2897">
        <f t="shared" si="355"/>
        <v>0</v>
      </c>
      <c r="AD570" s="2929"/>
      <c r="AE570" s="2929"/>
      <c r="AF570" s="2929"/>
      <c r="AG570" s="2929"/>
      <c r="AH570" s="2929"/>
      <c r="AI570" s="2929"/>
      <c r="AJ570" s="2929"/>
      <c r="AK570" s="2929"/>
      <c r="AL570" s="2929"/>
      <c r="AM570" s="2929"/>
      <c r="AN570" s="2929"/>
      <c r="AO570" s="2929"/>
      <c r="AP570" s="2929"/>
      <c r="AQ570" s="2929"/>
      <c r="AR570" s="2929"/>
      <c r="AS570" s="2929"/>
      <c r="AT570" s="2929"/>
      <c r="AU570" s="2974"/>
      <c r="AV570" s="454">
        <f t="shared" si="356"/>
        <v>0</v>
      </c>
      <c r="AW570" s="454">
        <f t="shared" si="357"/>
        <v>0</v>
      </c>
      <c r="AX570" s="454">
        <f t="shared" si="358"/>
        <v>0</v>
      </c>
      <c r="AY570" s="2966">
        <f t="shared" si="359"/>
        <v>0</v>
      </c>
      <c r="AZ570" s="2897">
        <f t="shared" si="360"/>
        <v>0</v>
      </c>
      <c r="BA570" s="2897">
        <f t="shared" si="361"/>
        <v>0</v>
      </c>
      <c r="BB570" s="2897">
        <f t="shared" si="362"/>
        <v>0</v>
      </c>
      <c r="BC570" s="2897">
        <f t="shared" si="363"/>
        <v>0</v>
      </c>
      <c r="BD570" s="2897">
        <f t="shared" si="364"/>
        <v>0</v>
      </c>
      <c r="BE570" s="2897">
        <f t="shared" si="365"/>
        <v>0</v>
      </c>
      <c r="BF570" s="2897">
        <f t="shared" si="366"/>
        <v>0</v>
      </c>
      <c r="BG570" s="2897">
        <f t="shared" si="367"/>
        <v>0</v>
      </c>
      <c r="BH570" s="2897">
        <f t="shared" si="368"/>
        <v>0</v>
      </c>
      <c r="BI570" s="2897">
        <f t="shared" si="369"/>
        <v>0</v>
      </c>
      <c r="BJ570" s="2897">
        <f t="shared" si="370"/>
        <v>0</v>
      </c>
      <c r="BK570" s="2897">
        <f t="shared" si="371"/>
        <v>0</v>
      </c>
      <c r="BL570" s="2897">
        <f t="shared" si="372"/>
        <v>0</v>
      </c>
      <c r="BM570" s="2897">
        <f t="shared" si="373"/>
        <v>0</v>
      </c>
      <c r="BN570" s="2897">
        <f t="shared" si="374"/>
        <v>0</v>
      </c>
      <c r="BO570" s="2897">
        <f t="shared" si="375"/>
        <v>0</v>
      </c>
      <c r="BP570" s="2897">
        <f t="shared" si="376"/>
        <v>0</v>
      </c>
      <c r="BQ570" s="2897">
        <f t="shared" si="377"/>
        <v>0</v>
      </c>
      <c r="BR570" s="2897">
        <f t="shared" si="378"/>
        <v>0</v>
      </c>
      <c r="BS570" s="2897">
        <f t="shared" si="379"/>
        <v>0</v>
      </c>
      <c r="BT570" s="2971">
        <f t="shared" si="380"/>
        <v>0</v>
      </c>
    </row>
    <row r="571" spans="1:72">
      <c r="A571" s="2894"/>
      <c r="B571" s="2894"/>
      <c r="C571" s="2894"/>
      <c r="D571" s="2907"/>
      <c r="E571" s="2897">
        <f t="shared" si="352"/>
        <v>0</v>
      </c>
      <c r="F571" s="2972"/>
      <c r="G571" s="2899">
        <f t="shared" si="353"/>
        <v>0</v>
      </c>
      <c r="H571" s="2900">
        <f t="shared" si="354"/>
        <v>0</v>
      </c>
      <c r="I571" s="2918"/>
      <c r="J571" s="2918"/>
      <c r="K571" s="2918"/>
      <c r="L571" s="2918"/>
      <c r="M571" s="2918"/>
      <c r="N571" s="2918"/>
      <c r="O571" s="2918"/>
      <c r="P571" s="2918"/>
      <c r="Q571" s="2918"/>
      <c r="R571" s="2918"/>
      <c r="S571" s="2918"/>
      <c r="T571" s="2918"/>
      <c r="U571" s="2918"/>
      <c r="V571" s="2918"/>
      <c r="W571" s="2918"/>
      <c r="X571" s="2918"/>
      <c r="Y571" s="2918"/>
      <c r="Z571" s="2918"/>
      <c r="AA571" s="2918"/>
      <c r="AB571" s="2918"/>
      <c r="AC571" s="2897">
        <f t="shared" si="355"/>
        <v>0</v>
      </c>
      <c r="AD571" s="2929"/>
      <c r="AE571" s="2929"/>
      <c r="AF571" s="2929"/>
      <c r="AG571" s="2929"/>
      <c r="AH571" s="2929"/>
      <c r="AI571" s="2929"/>
      <c r="AJ571" s="2929"/>
      <c r="AK571" s="2929"/>
      <c r="AL571" s="2929"/>
      <c r="AM571" s="2929"/>
      <c r="AN571" s="2929"/>
      <c r="AO571" s="2929"/>
      <c r="AP571" s="2929"/>
      <c r="AQ571" s="2929"/>
      <c r="AR571" s="2929"/>
      <c r="AS571" s="2929"/>
      <c r="AT571" s="2929"/>
      <c r="AU571" s="2974"/>
      <c r="AV571" s="454">
        <f t="shared" si="356"/>
        <v>0</v>
      </c>
      <c r="AW571" s="454">
        <f t="shared" si="357"/>
        <v>0</v>
      </c>
      <c r="AX571" s="454">
        <f t="shared" si="358"/>
        <v>0</v>
      </c>
      <c r="AY571" s="2966">
        <f t="shared" si="359"/>
        <v>0</v>
      </c>
      <c r="AZ571" s="2897">
        <f t="shared" si="360"/>
        <v>0</v>
      </c>
      <c r="BA571" s="2897">
        <f t="shared" si="361"/>
        <v>0</v>
      </c>
      <c r="BB571" s="2897">
        <f t="shared" si="362"/>
        <v>0</v>
      </c>
      <c r="BC571" s="2897">
        <f t="shared" si="363"/>
        <v>0</v>
      </c>
      <c r="BD571" s="2897">
        <f t="shared" si="364"/>
        <v>0</v>
      </c>
      <c r="BE571" s="2897">
        <f t="shared" si="365"/>
        <v>0</v>
      </c>
      <c r="BF571" s="2897">
        <f t="shared" si="366"/>
        <v>0</v>
      </c>
      <c r="BG571" s="2897">
        <f t="shared" si="367"/>
        <v>0</v>
      </c>
      <c r="BH571" s="2897">
        <f t="shared" si="368"/>
        <v>0</v>
      </c>
      <c r="BI571" s="2897">
        <f t="shared" si="369"/>
        <v>0</v>
      </c>
      <c r="BJ571" s="2897">
        <f t="shared" si="370"/>
        <v>0</v>
      </c>
      <c r="BK571" s="2897">
        <f t="shared" si="371"/>
        <v>0</v>
      </c>
      <c r="BL571" s="2897">
        <f t="shared" si="372"/>
        <v>0</v>
      </c>
      <c r="BM571" s="2897">
        <f t="shared" si="373"/>
        <v>0</v>
      </c>
      <c r="BN571" s="2897">
        <f t="shared" si="374"/>
        <v>0</v>
      </c>
      <c r="BO571" s="2897">
        <f t="shared" si="375"/>
        <v>0</v>
      </c>
      <c r="BP571" s="2897">
        <f t="shared" si="376"/>
        <v>0</v>
      </c>
      <c r="BQ571" s="2897">
        <f t="shared" si="377"/>
        <v>0</v>
      </c>
      <c r="BR571" s="2897">
        <f t="shared" si="378"/>
        <v>0</v>
      </c>
      <c r="BS571" s="2897">
        <f t="shared" si="379"/>
        <v>0</v>
      </c>
      <c r="BT571" s="2971">
        <f t="shared" si="380"/>
        <v>0</v>
      </c>
    </row>
    <row r="572" spans="1:72">
      <c r="A572" s="2894"/>
      <c r="B572" s="2894"/>
      <c r="C572" s="2894"/>
      <c r="D572" s="2907"/>
      <c r="E572" s="2897">
        <f t="shared" si="352"/>
        <v>0</v>
      </c>
      <c r="F572" s="2972"/>
      <c r="G572" s="2899">
        <f t="shared" si="353"/>
        <v>0</v>
      </c>
      <c r="H572" s="2900">
        <f t="shared" si="354"/>
        <v>0</v>
      </c>
      <c r="I572" s="2918"/>
      <c r="J572" s="2918"/>
      <c r="K572" s="2918"/>
      <c r="L572" s="2918"/>
      <c r="M572" s="2918"/>
      <c r="N572" s="2918"/>
      <c r="O572" s="2918"/>
      <c r="P572" s="2918"/>
      <c r="Q572" s="2918"/>
      <c r="R572" s="2918"/>
      <c r="S572" s="2918"/>
      <c r="T572" s="2918"/>
      <c r="U572" s="2918"/>
      <c r="V572" s="2918"/>
      <c r="W572" s="2918"/>
      <c r="X572" s="2918"/>
      <c r="Y572" s="2918"/>
      <c r="Z572" s="2918"/>
      <c r="AA572" s="2918"/>
      <c r="AB572" s="2918"/>
      <c r="AC572" s="2897">
        <f t="shared" si="355"/>
        <v>0</v>
      </c>
      <c r="AD572" s="2929"/>
      <c r="AE572" s="2929"/>
      <c r="AF572" s="2929"/>
      <c r="AG572" s="2929"/>
      <c r="AH572" s="2929"/>
      <c r="AI572" s="2929"/>
      <c r="AJ572" s="2929"/>
      <c r="AK572" s="2929"/>
      <c r="AL572" s="2929"/>
      <c r="AM572" s="2929"/>
      <c r="AN572" s="2929"/>
      <c r="AO572" s="2929"/>
      <c r="AP572" s="2929"/>
      <c r="AQ572" s="2929"/>
      <c r="AR572" s="2929"/>
      <c r="AS572" s="2929"/>
      <c r="AT572" s="2929"/>
      <c r="AU572" s="2974"/>
      <c r="AV572" s="454">
        <f t="shared" si="356"/>
        <v>0</v>
      </c>
      <c r="AW572" s="454">
        <f t="shared" si="357"/>
        <v>0</v>
      </c>
      <c r="AX572" s="454">
        <f t="shared" si="358"/>
        <v>0</v>
      </c>
      <c r="AY572" s="2966">
        <f t="shared" si="359"/>
        <v>0</v>
      </c>
      <c r="AZ572" s="2897">
        <f t="shared" si="360"/>
        <v>0</v>
      </c>
      <c r="BA572" s="2897">
        <f t="shared" si="361"/>
        <v>0</v>
      </c>
      <c r="BB572" s="2897">
        <f t="shared" si="362"/>
        <v>0</v>
      </c>
      <c r="BC572" s="2897">
        <f t="shared" si="363"/>
        <v>0</v>
      </c>
      <c r="BD572" s="2897">
        <f t="shared" si="364"/>
        <v>0</v>
      </c>
      <c r="BE572" s="2897">
        <f t="shared" si="365"/>
        <v>0</v>
      </c>
      <c r="BF572" s="2897">
        <f t="shared" si="366"/>
        <v>0</v>
      </c>
      <c r="BG572" s="2897">
        <f t="shared" si="367"/>
        <v>0</v>
      </c>
      <c r="BH572" s="2897">
        <f t="shared" si="368"/>
        <v>0</v>
      </c>
      <c r="BI572" s="2897">
        <f t="shared" si="369"/>
        <v>0</v>
      </c>
      <c r="BJ572" s="2897">
        <f t="shared" si="370"/>
        <v>0</v>
      </c>
      <c r="BK572" s="2897">
        <f t="shared" si="371"/>
        <v>0</v>
      </c>
      <c r="BL572" s="2897">
        <f t="shared" si="372"/>
        <v>0</v>
      </c>
      <c r="BM572" s="2897">
        <f t="shared" si="373"/>
        <v>0</v>
      </c>
      <c r="BN572" s="2897">
        <f t="shared" si="374"/>
        <v>0</v>
      </c>
      <c r="BO572" s="2897">
        <f t="shared" si="375"/>
        <v>0</v>
      </c>
      <c r="BP572" s="2897">
        <f t="shared" si="376"/>
        <v>0</v>
      </c>
      <c r="BQ572" s="2897">
        <f t="shared" si="377"/>
        <v>0</v>
      </c>
      <c r="BR572" s="2897">
        <f t="shared" si="378"/>
        <v>0</v>
      </c>
      <c r="BS572" s="2897">
        <f t="shared" si="379"/>
        <v>0</v>
      </c>
      <c r="BT572" s="2971">
        <f t="shared" si="380"/>
        <v>0</v>
      </c>
    </row>
    <row r="573" spans="1:72" s="2863" customFormat="1">
      <c r="A573" s="2975"/>
      <c r="B573" s="2975"/>
      <c r="C573" s="2975"/>
      <c r="D573" s="2975"/>
      <c r="E573" s="2976"/>
      <c r="F573" s="2976"/>
      <c r="G573" s="2975"/>
      <c r="H573" s="2976"/>
      <c r="I573" s="2976"/>
      <c r="J573" s="2976"/>
      <c r="K573" s="2976"/>
      <c r="L573" s="2976"/>
      <c r="M573" s="2976"/>
      <c r="N573" s="2976"/>
      <c r="O573" s="2976"/>
      <c r="P573" s="2976"/>
      <c r="Q573" s="2976"/>
      <c r="R573" s="2976"/>
      <c r="S573" s="2976"/>
      <c r="T573" s="2976"/>
      <c r="U573" s="2976"/>
      <c r="V573" s="2976"/>
      <c r="W573" s="2976"/>
      <c r="X573" s="2976"/>
      <c r="Y573" s="2976"/>
      <c r="Z573" s="2976"/>
      <c r="AA573" s="2976"/>
      <c r="AB573" s="2976"/>
      <c r="AC573" s="2976"/>
      <c r="AD573" s="2976"/>
      <c r="AE573" s="2976"/>
      <c r="AF573" s="2976"/>
      <c r="AG573" s="2976"/>
      <c r="AH573" s="2976"/>
      <c r="AI573" s="2976"/>
      <c r="AJ573" s="2976"/>
      <c r="AK573" s="2976"/>
      <c r="AL573" s="2976"/>
      <c r="AM573" s="2976"/>
      <c r="AN573" s="2976"/>
      <c r="AO573" s="2976"/>
      <c r="AP573" s="2976"/>
      <c r="AQ573" s="2976"/>
      <c r="AR573" s="2976"/>
      <c r="AS573" s="2976"/>
      <c r="AT573" s="2976"/>
      <c r="AU573" s="2975"/>
      <c r="AV573" s="2975"/>
      <c r="AW573" s="2975"/>
      <c r="AX573" s="2975"/>
    </row>
    <row r="574" spans="1:72" s="2864" customFormat="1">
      <c r="C574" s="2977"/>
      <c r="D574" s="2977"/>
    </row>
    <row r="575" spans="1:72" s="2864" customFormat="1">
      <c r="C575" s="2977"/>
      <c r="D575" s="2977"/>
    </row>
    <row r="578" spans="2:2">
      <c r="B578" s="2977"/>
    </row>
  </sheetData>
  <sheetProtection password="C66D" sheet="1" objects="1" scenarios="1" formatCells="0" formatColumns="0" formatRows="0"/>
  <phoneticPr fontId="231" type="noConversion"/>
  <dataValidations count="4">
    <dataValidation type="list" allowBlank="1" showInputMessage="1" showErrorMessage="1" sqref="I11 K11 M11 O11 Q11 S11 U11 W11 Y11 AA11" xr:uid="{00000000-0002-0000-0A00-000000000000}">
      <formula1>用途类型</formula1>
    </dataValidation>
    <dataValidation type="list" allowBlank="1" showInputMessage="1" showErrorMessage="1" sqref="C3 D13:D572" xr:uid="{00000000-0002-0000-0A00-000001000000}">
      <formula1>判定</formula1>
    </dataValidation>
    <dataValidation type="list" errorStyle="warning" allowBlank="1" showInputMessage="1" showErrorMessage="1" sqref="I9 K9 M9 O9 Q9 S9 U9 W9 Y9 AA9" xr:uid="{00000000-0002-0000-0A00-000002000000}">
      <formula1>位置</formula1>
    </dataValidation>
    <dataValidation type="list" allowBlank="1" showErrorMessage="1" sqref="I10 K10 M10 O10 Q10 S10 U10 W10 Y10 AA10" xr:uid="{00000000-0002-0000-0A00-000003000000}">
      <formula1>主用途</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858" customWidth="1"/>
    <col min="2" max="2" width="10.625" style="2858" customWidth="1"/>
    <col min="3" max="3" width="15.75" style="2858" customWidth="1"/>
    <col min="4" max="7" width="9.5" style="2858" customWidth="1"/>
    <col min="8" max="13" width="9.125" style="2858" customWidth="1"/>
    <col min="14" max="16384" width="9" style="2858"/>
  </cols>
  <sheetData>
    <row r="1" spans="1:13" ht="14.25">
      <c r="A1" s="3549" t="s">
        <v>476</v>
      </c>
      <c r="B1" s="3549" t="s">
        <v>477</v>
      </c>
      <c r="C1" s="3549" t="s">
        <v>420</v>
      </c>
      <c r="D1" s="3548" t="s">
        <v>478</v>
      </c>
      <c r="E1" s="3548" t="s">
        <v>380</v>
      </c>
      <c r="F1" s="3548"/>
      <c r="G1" s="3548"/>
      <c r="H1" s="3548"/>
      <c r="I1" s="3548"/>
      <c r="J1" s="3548"/>
      <c r="K1" s="3548"/>
      <c r="L1" s="3548"/>
      <c r="M1" s="3548"/>
    </row>
    <row r="2" spans="1:13" ht="27" customHeight="1">
      <c r="A2" s="3549"/>
      <c r="B2" s="3549"/>
      <c r="C2" s="3549"/>
      <c r="D2" s="3548"/>
      <c r="E2" s="3548" t="s">
        <v>479</v>
      </c>
      <c r="F2" s="3548" t="s">
        <v>480</v>
      </c>
      <c r="G2" s="3548"/>
      <c r="H2" s="3548"/>
      <c r="I2" s="3548"/>
      <c r="J2" s="3548" t="s">
        <v>481</v>
      </c>
      <c r="K2" s="3548"/>
      <c r="L2" s="3548"/>
      <c r="M2" s="3548"/>
    </row>
    <row r="3" spans="1:13" ht="28.5">
      <c r="A3" s="3549"/>
      <c r="B3" s="3549"/>
      <c r="C3" s="3549"/>
      <c r="D3" s="3548"/>
      <c r="E3" s="3548"/>
      <c r="F3" s="2860" t="s">
        <v>482</v>
      </c>
      <c r="G3" s="2860" t="s">
        <v>483</v>
      </c>
      <c r="H3" s="2860" t="s">
        <v>484</v>
      </c>
      <c r="I3" s="2860" t="s">
        <v>485</v>
      </c>
      <c r="J3" s="2860" t="s">
        <v>482</v>
      </c>
      <c r="K3" s="2860" t="s">
        <v>486</v>
      </c>
      <c r="L3" s="2860" t="s">
        <v>487</v>
      </c>
      <c r="M3" s="2860" t="s">
        <v>488</v>
      </c>
    </row>
    <row r="4" spans="1:13" ht="42.75">
      <c r="A4" s="2860" t="s">
        <v>489</v>
      </c>
      <c r="B4" s="2860" t="s">
        <v>490</v>
      </c>
      <c r="C4" s="2860" t="s">
        <v>491</v>
      </c>
      <c r="D4" s="2859">
        <v>3807.94</v>
      </c>
      <c r="E4" s="2859">
        <v>20666.91</v>
      </c>
      <c r="F4" s="2859">
        <v>19673</v>
      </c>
      <c r="G4" s="2859">
        <v>0</v>
      </c>
      <c r="H4" s="2859">
        <v>19673</v>
      </c>
      <c r="I4" s="2859">
        <v>0</v>
      </c>
      <c r="J4" s="2859">
        <v>993.91</v>
      </c>
      <c r="K4" s="2859">
        <v>0</v>
      </c>
      <c r="L4" s="2859">
        <v>0</v>
      </c>
      <c r="M4" s="2859">
        <v>993.91</v>
      </c>
    </row>
    <row r="5" spans="1:13" ht="42.75">
      <c r="A5" s="2860" t="s">
        <v>489</v>
      </c>
      <c r="B5" s="2860" t="s">
        <v>492</v>
      </c>
      <c r="C5" s="2860" t="s">
        <v>493</v>
      </c>
      <c r="D5" s="2859">
        <v>3667.86</v>
      </c>
      <c r="E5" s="2859">
        <v>19906.61</v>
      </c>
      <c r="F5" s="2859">
        <v>18792.87</v>
      </c>
      <c r="G5" s="2859">
        <v>18792.87</v>
      </c>
      <c r="H5" s="2859">
        <v>0</v>
      </c>
      <c r="I5" s="2859">
        <v>0</v>
      </c>
      <c r="J5" s="2859">
        <v>1113.74</v>
      </c>
      <c r="K5" s="2859">
        <v>55.59</v>
      </c>
      <c r="L5" s="2859">
        <v>0</v>
      </c>
      <c r="M5" s="2859">
        <v>1058.1500000000001</v>
      </c>
    </row>
    <row r="6" spans="1:13" ht="42.75">
      <c r="A6" s="2860" t="s">
        <v>489</v>
      </c>
      <c r="B6" s="2860" t="s">
        <v>492</v>
      </c>
      <c r="C6" s="2860" t="s">
        <v>494</v>
      </c>
      <c r="D6" s="2859">
        <v>2067.52</v>
      </c>
      <c r="E6" s="2859">
        <v>11221.06</v>
      </c>
      <c r="F6" s="2859">
        <v>9934.1299999999992</v>
      </c>
      <c r="G6" s="2859">
        <v>9934.1299999999992</v>
      </c>
      <c r="H6" s="2859">
        <v>0</v>
      </c>
      <c r="I6" s="2859">
        <v>0</v>
      </c>
      <c r="J6" s="2859">
        <v>1286.93</v>
      </c>
      <c r="K6" s="2859">
        <v>0</v>
      </c>
      <c r="L6" s="2859">
        <v>0</v>
      </c>
      <c r="M6" s="2859">
        <v>1286.93</v>
      </c>
    </row>
    <row r="7" spans="1:13" ht="42.75">
      <c r="A7" s="2860" t="s">
        <v>489</v>
      </c>
      <c r="B7" s="2860" t="s">
        <v>492</v>
      </c>
      <c r="C7" s="2860" t="s">
        <v>495</v>
      </c>
      <c r="D7" s="2859">
        <v>8.18</v>
      </c>
      <c r="E7" s="2859">
        <v>44.41</v>
      </c>
      <c r="F7" s="2859">
        <v>0</v>
      </c>
      <c r="G7" s="2859">
        <v>0</v>
      </c>
      <c r="H7" s="2859">
        <v>0</v>
      </c>
      <c r="I7" s="2859">
        <v>0</v>
      </c>
      <c r="J7" s="2859">
        <v>44.41</v>
      </c>
      <c r="K7" s="2859">
        <v>44.41</v>
      </c>
      <c r="L7" s="2859">
        <v>0</v>
      </c>
      <c r="M7" s="2859">
        <v>0</v>
      </c>
    </row>
    <row r="8" spans="1:13" ht="42.75">
      <c r="A8" s="2860" t="s">
        <v>489</v>
      </c>
      <c r="B8" s="2860" t="s">
        <v>492</v>
      </c>
      <c r="C8" s="2860" t="s">
        <v>485</v>
      </c>
      <c r="D8" s="2859">
        <v>2455.5300000000002</v>
      </c>
      <c r="E8" s="2859">
        <v>13326.96</v>
      </c>
      <c r="F8" s="2859">
        <v>9231.0499999999993</v>
      </c>
      <c r="G8" s="2859">
        <v>0</v>
      </c>
      <c r="H8" s="2859">
        <v>0</v>
      </c>
      <c r="I8" s="2859">
        <v>9231.0499999999993</v>
      </c>
      <c r="J8" s="2859">
        <v>4095.91</v>
      </c>
      <c r="K8" s="2859">
        <v>0</v>
      </c>
      <c r="L8" s="2859">
        <v>3320.79</v>
      </c>
      <c r="M8" s="2859">
        <v>775.12</v>
      </c>
    </row>
    <row r="9" spans="1:13" ht="27" customHeight="1">
      <c r="A9" s="3548" t="s">
        <v>496</v>
      </c>
      <c r="B9" s="3548"/>
      <c r="C9" s="3548"/>
      <c r="D9" s="2859">
        <v>12007.03</v>
      </c>
      <c r="E9" s="2859">
        <v>65165.95</v>
      </c>
      <c r="F9" s="2859">
        <v>57631.05</v>
      </c>
      <c r="G9" s="2859">
        <v>28727</v>
      </c>
      <c r="H9" s="2859">
        <v>19673</v>
      </c>
      <c r="I9" s="2859">
        <v>9231.0499999999993</v>
      </c>
      <c r="J9" s="2859">
        <v>7534.9</v>
      </c>
      <c r="K9" s="2859">
        <v>100</v>
      </c>
      <c r="L9" s="2859">
        <v>3320.79</v>
      </c>
      <c r="M9" s="2859">
        <v>4114.1099999999997</v>
      </c>
    </row>
  </sheetData>
  <mergeCells count="9">
    <mergeCell ref="E1:M1"/>
    <mergeCell ref="F2:I2"/>
    <mergeCell ref="J2:M2"/>
    <mergeCell ref="A9:C9"/>
    <mergeCell ref="A1:A3"/>
    <mergeCell ref="B1:B3"/>
    <mergeCell ref="C1:C3"/>
    <mergeCell ref="D1:D3"/>
    <mergeCell ref="E2:E3"/>
  </mergeCells>
  <phoneticPr fontId="23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90" zoomScaleNormal="70" zoomScaleSheetLayoutView="90" workbookViewId="0">
      <selection activeCell="F20" sqref="F20"/>
    </sheetView>
  </sheetViews>
  <sheetFormatPr defaultColWidth="9.25" defaultRowHeight="14.25"/>
  <cols>
    <col min="1" max="1" width="8.25" style="2769" customWidth="1"/>
    <col min="2" max="2" width="10.25" style="2769" customWidth="1"/>
    <col min="3" max="3" width="18.5" style="2769" customWidth="1"/>
    <col min="4" max="4" width="11.125" style="2769" customWidth="1"/>
    <col min="5" max="5" width="13.375" style="2769" customWidth="1"/>
    <col min="6" max="8" width="11.5" style="2769" customWidth="1"/>
    <col min="9" max="9" width="10.375" style="2769" customWidth="1"/>
    <col min="10" max="10" width="3.125" style="2769" customWidth="1"/>
    <col min="11" max="16" width="11.625" style="2769" customWidth="1"/>
    <col min="17" max="17" width="3.375" style="2769" customWidth="1"/>
    <col min="18" max="16384" width="9.25" style="2769"/>
  </cols>
  <sheetData>
    <row r="1" spans="1:16" ht="18.75">
      <c r="A1" s="2230" t="s">
        <v>497</v>
      </c>
      <c r="B1" s="2770"/>
      <c r="C1" s="2770"/>
      <c r="D1" s="2770"/>
      <c r="E1" s="2770"/>
      <c r="F1" s="2770"/>
      <c r="G1" s="2770"/>
      <c r="H1" s="2770"/>
      <c r="I1" s="2770"/>
      <c r="J1" s="2770"/>
      <c r="K1" s="2770"/>
      <c r="L1" s="2770"/>
      <c r="M1" s="2770"/>
      <c r="N1" s="2770"/>
      <c r="O1" s="2770"/>
      <c r="P1" s="2770"/>
    </row>
    <row r="2" spans="1:16" ht="15">
      <c r="A2" s="3559" t="s">
        <v>498</v>
      </c>
      <c r="B2" s="3559"/>
      <c r="C2" s="3559"/>
      <c r="D2" s="2046" t="s">
        <v>499</v>
      </c>
      <c r="E2" s="2771" t="s">
        <v>500</v>
      </c>
      <c r="F2" s="2772"/>
      <c r="G2" s="2773"/>
      <c r="H2" s="2774"/>
      <c r="I2" s="2832" t="s">
        <v>501</v>
      </c>
      <c r="J2" s="2772"/>
      <c r="K2" s="2772"/>
      <c r="L2" s="2772"/>
      <c r="M2" s="2772"/>
      <c r="N2" s="2772"/>
      <c r="O2" s="2772"/>
      <c r="P2" s="2772"/>
    </row>
    <row r="3" spans="1:16" ht="15">
      <c r="A3" s="3560" t="s">
        <v>502</v>
      </c>
      <c r="B3" s="3560"/>
      <c r="C3" s="3560"/>
      <c r="D3" s="2775">
        <f>'数据-基础表'!AY6</f>
        <v>25406.38</v>
      </c>
      <c r="E3" s="2775">
        <f>'数据-基础表'!AZ5</f>
        <v>63500</v>
      </c>
      <c r="F3" s="2772"/>
      <c r="G3" s="2179" t="s">
        <v>503</v>
      </c>
      <c r="H3" s="2175" t="s">
        <v>504</v>
      </c>
      <c r="I3" s="471">
        <f>ROUND('数据-基础表'!B3/'数据-基础表'!A3,2)</f>
        <v>2.5</v>
      </c>
      <c r="J3" s="2772"/>
      <c r="K3" s="2772"/>
      <c r="L3" s="2772"/>
      <c r="M3" s="2772"/>
      <c r="N3" s="2772"/>
      <c r="O3" s="2772"/>
      <c r="P3" s="2772"/>
    </row>
    <row r="4" spans="1:16" ht="15">
      <c r="A4" s="3561"/>
      <c r="B4" s="3562"/>
      <c r="C4" s="3563"/>
      <c r="D4" s="2776" t="s">
        <v>499</v>
      </c>
      <c r="E4" s="2777" t="s">
        <v>500</v>
      </c>
      <c r="F4" s="2772"/>
      <c r="G4" s="2778"/>
      <c r="H4" s="2175" t="s">
        <v>505</v>
      </c>
      <c r="I4" s="471">
        <f>ROUND(SUMIF('数据-基础表'!I9:AS9,"地上",'数据-基础表'!I5:AS5)/'数据-基础表'!A3,2)</f>
        <v>2.5</v>
      </c>
      <c r="J4" s="2772"/>
      <c r="K4" s="2772"/>
      <c r="L4" s="2772"/>
      <c r="M4" s="2772"/>
      <c r="N4" s="2772"/>
      <c r="O4" s="2772"/>
      <c r="P4" s="2772"/>
    </row>
    <row r="5" spans="1:16">
      <c r="A5" s="2779" t="s">
        <v>506</v>
      </c>
      <c r="B5" s="3564" t="s">
        <v>243</v>
      </c>
      <c r="C5" s="3564"/>
      <c r="D5" s="2780">
        <f>ROUND($D$3*E5/$E$3,2)</f>
        <v>25406.38</v>
      </c>
      <c r="E5" s="2781">
        <f>SUMIF('数据-基础表'!$11:$11,"住宅",'数据-基础表'!$5:$5)</f>
        <v>63500</v>
      </c>
      <c r="F5" s="2772"/>
      <c r="G5" s="2179" t="s">
        <v>507</v>
      </c>
      <c r="H5" s="2175" t="s">
        <v>504</v>
      </c>
      <c r="I5" s="471">
        <f>ROUND(E31/D31,2)</f>
        <v>2.5</v>
      </c>
      <c r="J5" s="2772"/>
      <c r="K5" s="2772"/>
      <c r="L5" s="2772"/>
      <c r="M5" s="2772"/>
      <c r="N5" s="2772"/>
      <c r="O5" s="2772"/>
      <c r="P5" s="2772"/>
    </row>
    <row r="6" spans="1:16">
      <c r="A6" s="2782"/>
      <c r="B6" s="3564" t="s">
        <v>508</v>
      </c>
      <c r="C6" s="3564"/>
      <c r="D6" s="2780">
        <f>ROUND($D$3*E6/$E$3,2)</f>
        <v>0</v>
      </c>
      <c r="E6" s="2781">
        <f>E3-E5</f>
        <v>0</v>
      </c>
      <c r="F6" s="2772"/>
      <c r="G6" s="2778"/>
      <c r="H6" s="2175" t="s">
        <v>505</v>
      </c>
      <c r="I6" s="471">
        <f>ROUND(F31/D31,2)</f>
        <v>2.5</v>
      </c>
      <c r="J6" s="2772"/>
      <c r="K6" s="2772"/>
      <c r="L6" s="2772"/>
      <c r="M6" s="2772"/>
      <c r="N6" s="2772"/>
      <c r="O6" s="2772"/>
      <c r="P6" s="2772"/>
    </row>
    <row r="7" spans="1:16" ht="15">
      <c r="A7" s="3550"/>
      <c r="B7" s="3551"/>
      <c r="C7" s="3552"/>
      <c r="D7" s="2776" t="s">
        <v>499</v>
      </c>
      <c r="E7" s="2783" t="s">
        <v>509</v>
      </c>
      <c r="F7" s="2772"/>
      <c r="G7" s="2784" t="s">
        <v>510</v>
      </c>
      <c r="H7" s="2785"/>
      <c r="I7" s="2833"/>
      <c r="J7" s="2772"/>
      <c r="K7" s="2772"/>
      <c r="L7" s="2772"/>
      <c r="M7" s="2772"/>
      <c r="N7" s="2772"/>
      <c r="O7" s="2772"/>
      <c r="P7" s="2772"/>
    </row>
    <row r="8" spans="1:16">
      <c r="A8" s="2779" t="s">
        <v>511</v>
      </c>
      <c r="B8" s="2786" t="s">
        <v>512</v>
      </c>
      <c r="C8" s="2780" t="s">
        <v>513</v>
      </c>
      <c r="D8" s="2780">
        <f t="shared" ref="D8:D15" si="0">ROUND($D$3*E8/$E$3,2)</f>
        <v>25406.38</v>
      </c>
      <c r="E8" s="2787">
        <f>SUMIF('数据-基础表'!BB10:BK10,"地上",'数据-基础表'!BB5:BK5)</f>
        <v>63500</v>
      </c>
      <c r="F8" s="2772"/>
      <c r="G8" s="2788"/>
      <c r="H8" s="2788"/>
      <c r="I8" s="2772"/>
      <c r="J8" s="2772"/>
      <c r="K8" s="2772"/>
      <c r="L8" s="2772"/>
      <c r="M8" s="2772"/>
      <c r="N8" s="2772"/>
      <c r="O8" s="2772"/>
      <c r="P8" s="2772"/>
    </row>
    <row r="9" spans="1:16">
      <c r="A9" s="2789"/>
      <c r="B9" s="2790"/>
      <c r="C9" s="2780" t="s">
        <v>514</v>
      </c>
      <c r="D9" s="2780">
        <f t="shared" si="0"/>
        <v>0</v>
      </c>
      <c r="E9" s="2791">
        <v>0</v>
      </c>
      <c r="F9" s="2772"/>
      <c r="G9" s="2788"/>
      <c r="H9" s="2788"/>
      <c r="I9" s="2772"/>
      <c r="J9" s="2772"/>
      <c r="K9" s="2772"/>
      <c r="L9" s="2772"/>
      <c r="M9" s="2772"/>
      <c r="N9" s="2772"/>
      <c r="O9" s="2772"/>
      <c r="P9" s="2772"/>
    </row>
    <row r="10" spans="1:16">
      <c r="A10" s="2789"/>
      <c r="B10" s="2790"/>
      <c r="C10" s="2780" t="s">
        <v>515</v>
      </c>
      <c r="D10" s="2780">
        <f t="shared" si="0"/>
        <v>0</v>
      </c>
      <c r="E10" s="2787">
        <f>SUMPRODUCT(('数据-基础表'!BB10:BK10="地下")*('数据-基础表'!BB11:BK11="商业")*('数据-基础表'!BB5:BK5))</f>
        <v>0</v>
      </c>
      <c r="F10" s="2772"/>
      <c r="G10" s="2788"/>
      <c r="H10" s="2788"/>
      <c r="I10" s="2772"/>
      <c r="J10" s="2772"/>
      <c r="K10" s="2772"/>
      <c r="L10" s="2772"/>
      <c r="M10" s="2772"/>
      <c r="N10" s="2772"/>
      <c r="O10" s="2772"/>
      <c r="P10" s="2772"/>
    </row>
    <row r="11" spans="1:16">
      <c r="A11" s="2789"/>
      <c r="B11" s="2790"/>
      <c r="C11" s="2792" t="s">
        <v>516</v>
      </c>
      <c r="D11" s="2780">
        <f t="shared" si="0"/>
        <v>0</v>
      </c>
      <c r="E11" s="2787">
        <f>SUMPRODUCT(('数据-基础表'!BB10:BK10="地下")*('数据-基础表'!BB11:BK11="办公")*('数据-基础表'!BB5:BK5))+'数据-基础表'!AJ5</f>
        <v>0</v>
      </c>
      <c r="F11" s="2772"/>
      <c r="G11" s="2788"/>
      <c r="H11" s="2788"/>
      <c r="I11" s="2772"/>
      <c r="J11" s="2772"/>
      <c r="K11" s="2772"/>
      <c r="L11" s="2772"/>
      <c r="M11" s="2772"/>
      <c r="N11" s="2772"/>
      <c r="O11" s="2772"/>
      <c r="P11" s="2772"/>
    </row>
    <row r="12" spans="1:16">
      <c r="A12" s="2789"/>
      <c r="B12" s="2790"/>
      <c r="C12" s="2780" t="s">
        <v>517</v>
      </c>
      <c r="D12" s="2780">
        <f t="shared" si="0"/>
        <v>0</v>
      </c>
      <c r="E12" s="2787">
        <f>SUMPRODUCT(('数据-基础表'!BB10:BK10="地下")*('数据-基础表'!BB11:BK11="仓储")*('数据-基础表'!BB5:BK5))</f>
        <v>0</v>
      </c>
      <c r="F12" s="2772"/>
      <c r="G12" s="2788"/>
      <c r="H12" s="2788"/>
      <c r="I12" s="2772"/>
      <c r="J12" s="2772"/>
      <c r="K12" s="2772"/>
      <c r="L12" s="2772"/>
      <c r="M12" s="2772"/>
      <c r="N12" s="2772"/>
      <c r="O12" s="2772"/>
      <c r="P12" s="2772"/>
    </row>
    <row r="13" spans="1:16">
      <c r="A13" s="2789"/>
      <c r="B13" s="2790"/>
      <c r="C13" s="2792" t="s">
        <v>518</v>
      </c>
      <c r="D13" s="2780">
        <f t="shared" si="0"/>
        <v>0</v>
      </c>
      <c r="E13" s="2787">
        <f>SUMPRODUCT(('数据-基础表'!BB10:BK10="地下")*('数据-基础表'!BB11:BK11="车库")*('数据-基础表'!BB5:BK5))</f>
        <v>0</v>
      </c>
      <c r="F13" s="2772"/>
      <c r="G13" s="2788"/>
      <c r="H13" s="2788"/>
      <c r="I13" s="2772"/>
      <c r="J13" s="2772"/>
      <c r="K13" s="2772"/>
      <c r="L13" s="2772"/>
      <c r="M13" s="2772"/>
      <c r="N13" s="2772"/>
      <c r="O13" s="2772"/>
      <c r="P13" s="2772"/>
    </row>
    <row r="14" spans="1:16">
      <c r="A14" s="2789"/>
      <c r="B14" s="2790"/>
      <c r="C14" s="2780" t="s">
        <v>519</v>
      </c>
      <c r="D14" s="2780">
        <f t="shared" si="0"/>
        <v>0</v>
      </c>
      <c r="E14" s="2787">
        <f>SUMPRODUCT(('数据-基础表'!BB10:BK10="地下")*('数据-基础表'!BB11:BK11="车库—商业")*('数据-基础表'!BB5:BK5))</f>
        <v>0</v>
      </c>
      <c r="F14" s="2772"/>
      <c r="G14" s="2788"/>
      <c r="H14" s="2788"/>
      <c r="I14" s="2772"/>
      <c r="J14" s="2772"/>
      <c r="K14" s="2772"/>
      <c r="L14" s="2772"/>
      <c r="M14" s="2772"/>
      <c r="N14" s="2772"/>
      <c r="O14" s="2772"/>
      <c r="P14" s="2772"/>
    </row>
    <row r="15" spans="1:16">
      <c r="A15" s="2789"/>
      <c r="B15" s="2790"/>
      <c r="C15" s="2780" t="s">
        <v>520</v>
      </c>
      <c r="D15" s="2780">
        <f t="shared" si="0"/>
        <v>0</v>
      </c>
      <c r="E15" s="2787">
        <f>SUMPRODUCT(('数据-基础表'!BB10:BK10="地下")*('数据-基础表'!BB11:BK11="车库—办公")*('数据-基础表'!BB5:BK5))</f>
        <v>0</v>
      </c>
      <c r="F15" s="2772"/>
      <c r="G15" s="2788"/>
      <c r="H15" s="2788"/>
      <c r="I15" s="2772"/>
      <c r="J15" s="2772"/>
      <c r="K15" s="2772"/>
      <c r="L15" s="2772"/>
      <c r="M15" s="2772"/>
      <c r="N15" s="2772"/>
      <c r="O15" s="2772"/>
      <c r="P15" s="2772"/>
    </row>
    <row r="16" spans="1:16" ht="15">
      <c r="A16" s="2782"/>
      <c r="B16" s="2790"/>
      <c r="C16" s="2786" t="s">
        <v>521</v>
      </c>
      <c r="D16" s="2786">
        <f>SUM(D8:D15)</f>
        <v>25406.38</v>
      </c>
      <c r="E16" s="2793">
        <f>SUM(E8:E15)</f>
        <v>63500</v>
      </c>
      <c r="F16" s="2772"/>
      <c r="G16" s="2788"/>
      <c r="H16" s="2794" t="s">
        <v>522</v>
      </c>
      <c r="I16" s="2834"/>
      <c r="J16" s="2770"/>
      <c r="K16" s="3553" t="s">
        <v>523</v>
      </c>
      <c r="L16" s="3554"/>
      <c r="M16" s="3554"/>
      <c r="N16" s="3554"/>
      <c r="O16" s="3554"/>
      <c r="P16" s="3555"/>
    </row>
    <row r="17" spans="1:19" ht="15">
      <c r="A17" s="2734" t="s">
        <v>524</v>
      </c>
      <c r="B17" s="2795" t="s">
        <v>224</v>
      </c>
      <c r="C17" s="2796" t="s">
        <v>400</v>
      </c>
      <c r="D17" s="2776" t="s">
        <v>499</v>
      </c>
      <c r="E17" s="2797" t="s">
        <v>500</v>
      </c>
      <c r="F17" s="2798"/>
      <c r="G17" s="2799"/>
      <c r="H17" s="2800" t="s">
        <v>525</v>
      </c>
      <c r="I17" s="2835" t="s">
        <v>526</v>
      </c>
      <c r="J17" s="2770"/>
      <c r="K17" s="3556" t="s">
        <v>527</v>
      </c>
      <c r="L17" s="3557"/>
      <c r="M17" s="3558"/>
      <c r="N17" s="3556" t="s">
        <v>528</v>
      </c>
      <c r="O17" s="3557"/>
      <c r="P17" s="3558"/>
      <c r="R17" s="2854" t="s">
        <v>529</v>
      </c>
      <c r="S17" s="2163"/>
    </row>
    <row r="18" spans="1:19" ht="15">
      <c r="A18" s="2789"/>
      <c r="B18" s="2801"/>
      <c r="C18" s="2802"/>
      <c r="D18" s="2046"/>
      <c r="E18" s="2803" t="s">
        <v>530</v>
      </c>
      <c r="F18" s="2804" t="s">
        <v>242</v>
      </c>
      <c r="G18" s="2805" t="s">
        <v>266</v>
      </c>
      <c r="H18" s="2741" t="s">
        <v>531</v>
      </c>
      <c r="I18" s="2836" t="s">
        <v>532</v>
      </c>
      <c r="J18" s="2770"/>
      <c r="K18" s="2837" t="s">
        <v>533</v>
      </c>
      <c r="L18" s="2838" t="s">
        <v>534</v>
      </c>
      <c r="M18" s="2839" t="s">
        <v>535</v>
      </c>
      <c r="N18" s="2837" t="s">
        <v>533</v>
      </c>
      <c r="O18" s="2838" t="s">
        <v>534</v>
      </c>
      <c r="P18" s="2839" t="s">
        <v>535</v>
      </c>
      <c r="R18" s="2855" t="s">
        <v>383</v>
      </c>
      <c r="S18" s="2855" t="s">
        <v>380</v>
      </c>
    </row>
    <row r="19" spans="1:19">
      <c r="A19" s="2806"/>
      <c r="B19" s="2786" t="s">
        <v>245</v>
      </c>
      <c r="C19" s="2807" t="s">
        <v>368</v>
      </c>
      <c r="D19" s="2780">
        <f t="shared" ref="D19:D26" si="1">ROUND($D$3*E19/$E$3,2)</f>
        <v>25406.38</v>
      </c>
      <c r="E19" s="2808">
        <f t="shared" ref="E19:E26" si="2">SUM(F19:G19)</f>
        <v>63500</v>
      </c>
      <c r="F19" s="2809">
        <f>'数据-基础表'!I13</f>
        <v>63500</v>
      </c>
      <c r="G19" s="2810"/>
      <c r="H19" s="2724">
        <f>ROUND($D$3*I19/$E$3,2)</f>
        <v>0</v>
      </c>
      <c r="I19" s="2787">
        <f>IF($I$17="自定义",P19,M19)</f>
        <v>0</v>
      </c>
      <c r="J19" s="2770"/>
      <c r="K19" s="2840">
        <f t="shared" ref="K19:K26" si="3">ROUND(E$28*E19/E$27,2)</f>
        <v>0</v>
      </c>
      <c r="L19" s="2175">
        <f t="shared" ref="L19:L26" si="4">ROUND(IF(COUNTIF(C19,"*住宅*")&gt;0,E$29*E19/E$32,0),2)</f>
        <v>0</v>
      </c>
      <c r="M19" s="2841">
        <f>K19+L19</f>
        <v>0</v>
      </c>
      <c r="N19" s="2842"/>
      <c r="O19" s="2843"/>
      <c r="P19" s="2844">
        <f>N19+O19</f>
        <v>0</v>
      </c>
      <c r="R19" s="2175">
        <f t="shared" ref="R19:S26" si="5">D19+H19</f>
        <v>25406.38</v>
      </c>
      <c r="S19" s="2856">
        <f t="shared" si="5"/>
        <v>63500</v>
      </c>
    </row>
    <row r="20" spans="1:19">
      <c r="A20" s="2811"/>
      <c r="B20" s="2786" t="s">
        <v>245</v>
      </c>
      <c r="C20" s="2807"/>
      <c r="D20" s="2780">
        <f t="shared" si="1"/>
        <v>0</v>
      </c>
      <c r="E20" s="2808">
        <f t="shared" si="2"/>
        <v>0</v>
      </c>
      <c r="F20" s="2809"/>
      <c r="G20" s="2810"/>
      <c r="H20" s="2724">
        <f t="shared" ref="H20:H26" si="6">ROUND($D$3*I20/$E$3,2)</f>
        <v>0</v>
      </c>
      <c r="I20" s="2787">
        <f t="shared" ref="I20:I26" si="7">IF($I$17="自定义",P20,M20)</f>
        <v>0</v>
      </c>
      <c r="J20" s="2770"/>
      <c r="K20" s="2840">
        <f t="shared" si="3"/>
        <v>0</v>
      </c>
      <c r="L20" s="2175">
        <f t="shared" si="4"/>
        <v>0</v>
      </c>
      <c r="M20" s="2841">
        <f t="shared" ref="M20:M26" si="8">K20+L20</f>
        <v>0</v>
      </c>
      <c r="N20" s="2842"/>
      <c r="O20" s="2843"/>
      <c r="P20" s="2844">
        <f t="shared" ref="P20:P26" si="9">N20+O20</f>
        <v>0</v>
      </c>
      <c r="R20" s="2175">
        <f t="shared" si="5"/>
        <v>0</v>
      </c>
      <c r="S20" s="2856">
        <f t="shared" si="5"/>
        <v>0</v>
      </c>
    </row>
    <row r="21" spans="1:19">
      <c r="A21" s="2811"/>
      <c r="B21" s="2786" t="s">
        <v>245</v>
      </c>
      <c r="C21" s="2807"/>
      <c r="D21" s="2780">
        <f t="shared" si="1"/>
        <v>0</v>
      </c>
      <c r="E21" s="2808">
        <f t="shared" si="2"/>
        <v>0</v>
      </c>
      <c r="F21" s="2809"/>
      <c r="G21" s="2810"/>
      <c r="H21" s="2724">
        <f t="shared" si="6"/>
        <v>0</v>
      </c>
      <c r="I21" s="2787">
        <f t="shared" si="7"/>
        <v>0</v>
      </c>
      <c r="J21" s="2770"/>
      <c r="K21" s="2840">
        <f t="shared" si="3"/>
        <v>0</v>
      </c>
      <c r="L21" s="2175">
        <f t="shared" si="4"/>
        <v>0</v>
      </c>
      <c r="M21" s="2841">
        <f t="shared" si="8"/>
        <v>0</v>
      </c>
      <c r="N21" s="2842"/>
      <c r="O21" s="2843"/>
      <c r="P21" s="2844">
        <f t="shared" si="9"/>
        <v>0</v>
      </c>
      <c r="R21" s="2175">
        <f t="shared" si="5"/>
        <v>0</v>
      </c>
      <c r="S21" s="2856">
        <f t="shared" si="5"/>
        <v>0</v>
      </c>
    </row>
    <row r="22" spans="1:19">
      <c r="A22" s="2811"/>
      <c r="B22" s="2786" t="s">
        <v>245</v>
      </c>
      <c r="C22" s="2812"/>
      <c r="D22" s="2780">
        <f t="shared" si="1"/>
        <v>0</v>
      </c>
      <c r="E22" s="2808">
        <f t="shared" si="2"/>
        <v>0</v>
      </c>
      <c r="F22" s="2813"/>
      <c r="G22" s="2814"/>
      <c r="H22" s="2724">
        <f t="shared" si="6"/>
        <v>0</v>
      </c>
      <c r="I22" s="2787">
        <f t="shared" si="7"/>
        <v>0</v>
      </c>
      <c r="J22" s="2770"/>
      <c r="K22" s="2840">
        <f t="shared" si="3"/>
        <v>0</v>
      </c>
      <c r="L22" s="2175">
        <f t="shared" si="4"/>
        <v>0</v>
      </c>
      <c r="M22" s="2841">
        <f t="shared" si="8"/>
        <v>0</v>
      </c>
      <c r="N22" s="2842"/>
      <c r="O22" s="2843"/>
      <c r="P22" s="2844">
        <f t="shared" si="9"/>
        <v>0</v>
      </c>
      <c r="R22" s="2175">
        <f t="shared" si="5"/>
        <v>0</v>
      </c>
      <c r="S22" s="2856">
        <f t="shared" si="5"/>
        <v>0</v>
      </c>
    </row>
    <row r="23" spans="1:19">
      <c r="A23" s="2811"/>
      <c r="B23" s="2786" t="s">
        <v>245</v>
      </c>
      <c r="C23" s="2815"/>
      <c r="D23" s="2780">
        <f t="shared" si="1"/>
        <v>0</v>
      </c>
      <c r="E23" s="2808">
        <f t="shared" si="2"/>
        <v>0</v>
      </c>
      <c r="F23" s="2813"/>
      <c r="G23" s="2814"/>
      <c r="H23" s="2724">
        <f t="shared" si="6"/>
        <v>0</v>
      </c>
      <c r="I23" s="2787">
        <f t="shared" si="7"/>
        <v>0</v>
      </c>
      <c r="J23" s="2770"/>
      <c r="K23" s="2840">
        <f t="shared" si="3"/>
        <v>0</v>
      </c>
      <c r="L23" s="2175">
        <f t="shared" si="4"/>
        <v>0</v>
      </c>
      <c r="M23" s="2841">
        <f t="shared" si="8"/>
        <v>0</v>
      </c>
      <c r="N23" s="2842"/>
      <c r="O23" s="2843"/>
      <c r="P23" s="2844">
        <f t="shared" si="9"/>
        <v>0</v>
      </c>
      <c r="R23" s="2175">
        <f t="shared" si="5"/>
        <v>0</v>
      </c>
      <c r="S23" s="2856">
        <f t="shared" si="5"/>
        <v>0</v>
      </c>
    </row>
    <row r="24" spans="1:19">
      <c r="A24" s="2811"/>
      <c r="B24" s="2786" t="s">
        <v>245</v>
      </c>
      <c r="C24" s="2815"/>
      <c r="D24" s="2780">
        <f t="shared" si="1"/>
        <v>0</v>
      </c>
      <c r="E24" s="2808">
        <f t="shared" si="2"/>
        <v>0</v>
      </c>
      <c r="F24" s="2813"/>
      <c r="G24" s="2814"/>
      <c r="H24" s="2724">
        <f t="shared" si="6"/>
        <v>0</v>
      </c>
      <c r="I24" s="2787">
        <f t="shared" si="7"/>
        <v>0</v>
      </c>
      <c r="J24" s="2770"/>
      <c r="K24" s="2840">
        <f t="shared" si="3"/>
        <v>0</v>
      </c>
      <c r="L24" s="2175">
        <f t="shared" si="4"/>
        <v>0</v>
      </c>
      <c r="M24" s="2841">
        <f t="shared" si="8"/>
        <v>0</v>
      </c>
      <c r="N24" s="2842"/>
      <c r="O24" s="2843"/>
      <c r="P24" s="2844">
        <f t="shared" si="9"/>
        <v>0</v>
      </c>
      <c r="R24" s="2175">
        <f t="shared" si="5"/>
        <v>0</v>
      </c>
      <c r="S24" s="2856">
        <f t="shared" si="5"/>
        <v>0</v>
      </c>
    </row>
    <row r="25" spans="1:19">
      <c r="A25" s="2811"/>
      <c r="B25" s="2786" t="s">
        <v>245</v>
      </c>
      <c r="C25" s="2815"/>
      <c r="D25" s="2780">
        <f t="shared" si="1"/>
        <v>0</v>
      </c>
      <c r="E25" s="2808">
        <f t="shared" si="2"/>
        <v>0</v>
      </c>
      <c r="F25" s="2813"/>
      <c r="G25" s="2814"/>
      <c r="H25" s="2779">
        <f t="shared" si="6"/>
        <v>0</v>
      </c>
      <c r="I25" s="2787">
        <f t="shared" si="7"/>
        <v>0</v>
      </c>
      <c r="J25" s="2770"/>
      <c r="K25" s="2840">
        <f t="shared" si="3"/>
        <v>0</v>
      </c>
      <c r="L25" s="2175">
        <f t="shared" si="4"/>
        <v>0</v>
      </c>
      <c r="M25" s="2841">
        <f t="shared" si="8"/>
        <v>0</v>
      </c>
      <c r="N25" s="2842"/>
      <c r="O25" s="2843"/>
      <c r="P25" s="2844">
        <f t="shared" si="9"/>
        <v>0</v>
      </c>
      <c r="R25" s="2175">
        <f t="shared" si="5"/>
        <v>0</v>
      </c>
      <c r="S25" s="2856">
        <f t="shared" si="5"/>
        <v>0</v>
      </c>
    </row>
    <row r="26" spans="1:19">
      <c r="A26" s="2811"/>
      <c r="B26" s="2786" t="s">
        <v>245</v>
      </c>
      <c r="C26" s="2816"/>
      <c r="D26" s="2780">
        <f t="shared" si="1"/>
        <v>0</v>
      </c>
      <c r="E26" s="2808">
        <f t="shared" si="2"/>
        <v>0</v>
      </c>
      <c r="F26" s="2813"/>
      <c r="G26" s="2814"/>
      <c r="H26" s="2779">
        <f t="shared" si="6"/>
        <v>0</v>
      </c>
      <c r="I26" s="2787">
        <f t="shared" si="7"/>
        <v>0</v>
      </c>
      <c r="J26" s="2770"/>
      <c r="K26" s="2845">
        <f t="shared" si="3"/>
        <v>0</v>
      </c>
      <c r="L26" s="2179">
        <f t="shared" si="4"/>
        <v>0</v>
      </c>
      <c r="M26" s="2821">
        <f t="shared" si="8"/>
        <v>0</v>
      </c>
      <c r="N26" s="2846"/>
      <c r="O26" s="2847"/>
      <c r="P26" s="2848">
        <f t="shared" si="9"/>
        <v>0</v>
      </c>
      <c r="R26" s="2175">
        <f t="shared" si="5"/>
        <v>0</v>
      </c>
      <c r="S26" s="2856">
        <f t="shared" si="5"/>
        <v>0</v>
      </c>
    </row>
    <row r="27" spans="1:19" ht="15">
      <c r="A27" s="2811"/>
      <c r="B27" s="2780"/>
      <c r="C27" s="2214" t="s">
        <v>521</v>
      </c>
      <c r="D27" s="2808">
        <f>SUM(D19:D26)</f>
        <v>25406.38</v>
      </c>
      <c r="E27" s="2817">
        <f>IF(SUM(E19:E26)='数据-基础表'!BA5,SUM(E19:E26),IF(F27="地上面积有误","面积有误","地下面积有误"))</f>
        <v>63500</v>
      </c>
      <c r="F27" s="2808">
        <f>IF(SUM(F19:F26)=E8,SUM(F19:F26),"地上面积有误")</f>
        <v>63500</v>
      </c>
      <c r="G27" s="2781">
        <f>SUM(G19:G26)</f>
        <v>0</v>
      </c>
      <c r="H27" s="2818">
        <f>SUM(H19:H26)</f>
        <v>0</v>
      </c>
      <c r="I27" s="2849">
        <f>SUM(I19:I26)</f>
        <v>0</v>
      </c>
      <c r="J27" s="2770"/>
      <c r="K27" s="2850">
        <f>SUM(K19:K26)</f>
        <v>0</v>
      </c>
      <c r="L27" s="2851">
        <f>SUM(L19:L26)</f>
        <v>0</v>
      </c>
      <c r="M27" s="2852">
        <f>SUM(M19:M26)</f>
        <v>0</v>
      </c>
      <c r="N27" s="2850">
        <f t="shared" ref="N27:P27" si="10">SUM(N19:N26)</f>
        <v>0</v>
      </c>
      <c r="O27" s="2851">
        <f t="shared" si="10"/>
        <v>0</v>
      </c>
      <c r="P27" s="2853">
        <f t="shared" si="10"/>
        <v>0</v>
      </c>
      <c r="R27" s="2857">
        <f>IF(SUM(R19:R26)=$D$3,SUM(R19:R26),SUM(R19:R26)&amp;"误差"&amp;ROUND(SUM(R19:R26)-$D$3,2))</f>
        <v>25406.38</v>
      </c>
      <c r="S27" s="2175">
        <f>IF(SUM(S19:S26)=$E$3,SUM(S19:S26),SUM(S19:S26)&amp;"误差"&amp;ROUND(SUM(S19:S26)-E3,2))</f>
        <v>63500</v>
      </c>
    </row>
    <row r="28" spans="1:19">
      <c r="A28" s="2811"/>
      <c r="B28" s="2786" t="s">
        <v>257</v>
      </c>
      <c r="C28" s="2744" t="s">
        <v>536</v>
      </c>
      <c r="D28" s="2780">
        <f>ROUND($D$3*E28/$E$3,2)</f>
        <v>0</v>
      </c>
      <c r="E28" s="2808">
        <f>SUM(F28:G28)</f>
        <v>0</v>
      </c>
      <c r="F28" s="2163">
        <f>'数据-基础表'!BQ5+'数据-基础表'!BS5</f>
        <v>0</v>
      </c>
      <c r="G28" s="2819">
        <f>'数据-基础表'!BR5+'数据-基础表'!BT5</f>
        <v>0</v>
      </c>
      <c r="H28" s="2772"/>
      <c r="I28" s="2772"/>
      <c r="J28" s="2772"/>
      <c r="K28" s="2772"/>
      <c r="L28" s="2772"/>
      <c r="M28" s="2772"/>
      <c r="N28" s="2772"/>
      <c r="O28" s="2772"/>
      <c r="P28" s="2772"/>
    </row>
    <row r="29" spans="1:19">
      <c r="A29" s="2811"/>
      <c r="B29" s="2786" t="s">
        <v>257</v>
      </c>
      <c r="C29" s="2820" t="s">
        <v>537</v>
      </c>
      <c r="D29" s="2780">
        <f>ROUND($D$3*E29/$E$3,2)</f>
        <v>0</v>
      </c>
      <c r="E29" s="2808">
        <f>SUM(F29:G29)</f>
        <v>0</v>
      </c>
      <c r="F29" s="2163">
        <f>'数据-基础表'!BM5+'数据-基础表'!BO5</f>
        <v>0</v>
      </c>
      <c r="G29" s="2821">
        <f>'数据-基础表'!BN5+'数据-基础表'!BP5</f>
        <v>0</v>
      </c>
      <c r="H29" s="2772"/>
      <c r="I29" s="2772"/>
      <c r="J29" s="2772"/>
      <c r="K29" s="2772"/>
      <c r="L29" s="2772"/>
      <c r="M29" s="2772"/>
      <c r="N29" s="2772"/>
      <c r="O29" s="2772"/>
      <c r="P29" s="2772"/>
    </row>
    <row r="30" spans="1:19">
      <c r="A30" s="2811"/>
      <c r="B30" s="2780"/>
      <c r="C30" s="2822" t="s">
        <v>521</v>
      </c>
      <c r="D30" s="2808">
        <f>SUM(D28:D29)</f>
        <v>0</v>
      </c>
      <c r="E30" s="2808">
        <f>SUM(E28:E29)</f>
        <v>0</v>
      </c>
      <c r="F30" s="2808">
        <f>SUM(F28:F29)</f>
        <v>0</v>
      </c>
      <c r="G30" s="2781">
        <f>SUM(G28:G29)</f>
        <v>0</v>
      </c>
      <c r="H30" s="2772"/>
      <c r="I30" s="2772"/>
      <c r="J30" s="2772"/>
      <c r="K30" s="2772"/>
      <c r="L30" s="2772"/>
      <c r="M30" s="2772"/>
      <c r="N30" s="2772"/>
      <c r="O30" s="2772"/>
      <c r="P30" s="2772"/>
    </row>
    <row r="31" spans="1:19" ht="32.25" customHeight="1">
      <c r="A31" s="2823"/>
      <c r="B31" s="2824" t="s">
        <v>538</v>
      </c>
      <c r="C31" s="2825" t="s">
        <v>539</v>
      </c>
      <c r="D31" s="2826">
        <f>D27+D30</f>
        <v>25406.38</v>
      </c>
      <c r="E31" s="2826">
        <f>E27+E30</f>
        <v>63500</v>
      </c>
      <c r="F31" s="2827">
        <f>F27+F30</f>
        <v>63500</v>
      </c>
      <c r="G31" s="2828">
        <f>G27+G30</f>
        <v>0</v>
      </c>
      <c r="H31" s="2772"/>
      <c r="I31" s="2772"/>
      <c r="J31" s="2772"/>
      <c r="K31" s="2772"/>
      <c r="L31" s="2772"/>
      <c r="M31" s="2772"/>
      <c r="N31" s="2772"/>
      <c r="O31" s="2772"/>
      <c r="P31" s="2772"/>
    </row>
    <row r="32" spans="1:19">
      <c r="A32" s="2770"/>
      <c r="B32" s="2829" t="s">
        <v>540</v>
      </c>
      <c r="C32" s="2830"/>
      <c r="D32" s="2778"/>
      <c r="E32" s="2778">
        <f>SUMIF(C19:C26,"*住宅*",E19:E26)</f>
        <v>63500</v>
      </c>
      <c r="F32" s="2778"/>
      <c r="G32" s="2778"/>
      <c r="H32" s="2772"/>
      <c r="I32" s="2772"/>
      <c r="J32" s="2772"/>
      <c r="K32" s="2772"/>
      <c r="L32" s="2772"/>
      <c r="M32" s="2772"/>
      <c r="N32" s="2772"/>
      <c r="O32" s="2772"/>
      <c r="P32" s="2772"/>
    </row>
    <row r="33" spans="4:4">
      <c r="D33" s="283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I17" xr:uid="{00000000-0002-0000-0C00-000000000000}">
      <formula1>"自定义,按面积比例"</formula1>
    </dataValidation>
    <dataValidation type="list" allowBlank="1" showInputMessage="1" showErrorMessage="1" sqref="B19:B26 B28:B29" xr:uid="{00000000-0002-0000-0C00-000001000000}">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14" activePane="bottomRight" state="frozen"/>
      <selection pane="topRight"/>
      <selection pane="bottomLeft"/>
      <selection pane="bottomRight" activeCell="B22" sqref="B22"/>
    </sheetView>
  </sheetViews>
  <sheetFormatPr defaultColWidth="13.75" defaultRowHeight="12.75"/>
  <cols>
    <col min="1" max="1" width="20.875" style="2573" customWidth="1"/>
    <col min="2" max="3" width="12" style="2574" customWidth="1"/>
    <col min="4" max="4" width="9.125" style="2575" customWidth="1"/>
    <col min="5" max="5" width="15" style="2574" customWidth="1"/>
    <col min="6" max="10" width="8.875" style="2574" customWidth="1"/>
    <col min="11" max="12" width="12.375" style="76" customWidth="1"/>
    <col min="13" max="13" width="8.625" style="2574" customWidth="1"/>
    <col min="14" max="14" width="9.75" style="2574" customWidth="1"/>
    <col min="15" max="16" width="9.625" style="2574" customWidth="1"/>
    <col min="17" max="17" width="10.875" style="2574" customWidth="1"/>
    <col min="18" max="19" width="12.5" style="2574" customWidth="1"/>
    <col min="20" max="20" width="12.125" style="2574" customWidth="1"/>
    <col min="21" max="21" width="7.5" style="2574" customWidth="1"/>
    <col min="22" max="22" width="6.375" style="2574" customWidth="1"/>
    <col min="23" max="24" width="6.75" style="2574" customWidth="1"/>
    <col min="25" max="25" width="8.125" style="2574" customWidth="1"/>
    <col min="26" max="30" width="6.75" style="2574" customWidth="1"/>
    <col min="31" max="31" width="6.5" style="2574" customWidth="1"/>
    <col min="32" max="34" width="7.25" style="2574" customWidth="1"/>
    <col min="35" max="39" width="8" style="2574" customWidth="1"/>
    <col min="40" max="41" width="13.75" style="2572"/>
    <col min="42" max="42" width="13.75" style="2572" customWidth="1"/>
    <col min="43" max="83" width="13.75" style="2572"/>
    <col min="84" max="16384" width="13.75" style="2574"/>
  </cols>
  <sheetData>
    <row r="1" spans="1:83" ht="18.75">
      <c r="A1" s="2576" t="s">
        <v>541</v>
      </c>
      <c r="B1" s="2577"/>
      <c r="C1" s="836"/>
      <c r="D1" s="2578"/>
      <c r="E1" s="836"/>
      <c r="F1" s="836"/>
      <c r="G1" s="836"/>
      <c r="H1" s="836"/>
      <c r="I1" s="836"/>
      <c r="J1" s="836"/>
      <c r="K1" s="117"/>
      <c r="L1" s="117"/>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2617"/>
      <c r="AO1" s="2617"/>
      <c r="AP1" s="2617"/>
      <c r="AQ1" s="2617"/>
      <c r="AR1" s="2617"/>
      <c r="AS1" s="2617"/>
      <c r="AT1" s="2617"/>
      <c r="AU1" s="2617"/>
      <c r="AV1" s="2617"/>
      <c r="AW1" s="2617"/>
      <c r="AX1" s="2617"/>
      <c r="AY1" s="2617"/>
      <c r="AZ1" s="2617"/>
    </row>
    <row r="2" spans="1:83" s="2569" customFormat="1" ht="15">
      <c r="A2" s="2579" t="s">
        <v>542</v>
      </c>
      <c r="B2" s="2580">
        <f>项目基本情况!D3</f>
        <v>44484</v>
      </c>
      <c r="C2" s="2581"/>
      <c r="D2" s="2582"/>
      <c r="E2" s="2581"/>
      <c r="F2" s="2581"/>
      <c r="G2" s="2581"/>
      <c r="H2" s="2581"/>
      <c r="I2" s="2581"/>
      <c r="J2" s="2581"/>
      <c r="K2" s="463"/>
      <c r="L2" s="463"/>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619"/>
      <c r="AO2" s="2619"/>
      <c r="AP2" s="2619"/>
      <c r="AQ2" s="2619"/>
      <c r="AR2" s="2619"/>
      <c r="AS2" s="2619"/>
      <c r="AT2" s="2619"/>
      <c r="AU2" s="2619"/>
      <c r="AV2" s="2619"/>
      <c r="AW2" s="2619"/>
      <c r="AX2" s="2619"/>
      <c r="AY2" s="2619"/>
      <c r="AZ2" s="2619"/>
      <c r="BA2" s="2766"/>
      <c r="BB2" s="2766"/>
      <c r="BC2" s="2766"/>
      <c r="BD2" s="2766"/>
      <c r="BE2" s="2766"/>
      <c r="BF2" s="2766"/>
      <c r="BG2" s="2766"/>
      <c r="BH2" s="2766"/>
      <c r="BI2" s="2766"/>
      <c r="BJ2" s="2766"/>
      <c r="BK2" s="2766"/>
      <c r="BL2" s="2766"/>
      <c r="BM2" s="2766"/>
      <c r="BN2" s="2766"/>
      <c r="BO2" s="2766"/>
      <c r="BP2" s="2766"/>
      <c r="BQ2" s="2766"/>
      <c r="BR2" s="2766"/>
      <c r="BS2" s="2766"/>
      <c r="BT2" s="2766"/>
      <c r="BU2" s="2766"/>
      <c r="BV2" s="2766"/>
      <c r="BW2" s="2766"/>
      <c r="BX2" s="2766"/>
      <c r="BY2" s="2766"/>
      <c r="BZ2" s="2766"/>
      <c r="CA2" s="2766"/>
      <c r="CB2" s="2766"/>
      <c r="CC2" s="2766"/>
      <c r="CD2" s="2766"/>
      <c r="CE2" s="2766"/>
    </row>
    <row r="3" spans="1:83" s="2569" customFormat="1" ht="14.25">
      <c r="A3" s="2583"/>
      <c r="B3" s="2584"/>
      <c r="C3" s="2581"/>
      <c r="D3" s="2582"/>
      <c r="E3" s="2581"/>
      <c r="F3" s="2581"/>
      <c r="G3" s="2581"/>
      <c r="H3" s="2581"/>
      <c r="I3" s="2581"/>
      <c r="J3" s="2581"/>
      <c r="K3" s="463"/>
      <c r="L3" s="463"/>
      <c r="M3" s="2581"/>
      <c r="N3" s="2581"/>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619"/>
      <c r="AO3" s="2619"/>
      <c r="AP3" s="2619"/>
      <c r="AQ3" s="2619"/>
      <c r="AR3" s="2619"/>
      <c r="AS3" s="2619"/>
      <c r="AT3" s="2619"/>
      <c r="AU3" s="2619"/>
      <c r="AV3" s="2619"/>
      <c r="AW3" s="2619"/>
      <c r="AX3" s="2619"/>
      <c r="AY3" s="2619"/>
      <c r="AZ3" s="2619"/>
      <c r="BA3" s="2766"/>
      <c r="BB3" s="2766"/>
      <c r="BC3" s="2766"/>
      <c r="BD3" s="2766"/>
      <c r="BE3" s="2766"/>
      <c r="BF3" s="2766"/>
      <c r="BG3" s="2766"/>
      <c r="BH3" s="2766"/>
      <c r="BI3" s="2766"/>
      <c r="BJ3" s="2766"/>
      <c r="BK3" s="2766"/>
      <c r="BL3" s="2766"/>
      <c r="BM3" s="2766"/>
      <c r="BN3" s="2766"/>
      <c r="BO3" s="2766"/>
      <c r="BP3" s="2766"/>
      <c r="BQ3" s="2766"/>
      <c r="BR3" s="2766"/>
      <c r="BS3" s="2766"/>
      <c r="BT3" s="2766"/>
      <c r="BU3" s="2766"/>
      <c r="BV3" s="2766"/>
      <c r="BW3" s="2766"/>
      <c r="BX3" s="2766"/>
      <c r="BY3" s="2766"/>
      <c r="BZ3" s="2766"/>
      <c r="CA3" s="2766"/>
      <c r="CB3" s="2766"/>
      <c r="CC3" s="2766"/>
      <c r="CD3" s="2766"/>
      <c r="CE3" s="2766"/>
    </row>
    <row r="4" spans="1:83" s="2569" customFormat="1" ht="14.25">
      <c r="A4" s="2585" t="s">
        <v>543</v>
      </c>
      <c r="B4" s="2586"/>
      <c r="C4" s="2587"/>
      <c r="D4" s="2588"/>
      <c r="E4" s="2589" t="s">
        <v>544</v>
      </c>
      <c r="F4" s="2587"/>
      <c r="G4" s="2587"/>
      <c r="H4" s="2587"/>
      <c r="I4" s="2587"/>
      <c r="J4" s="2683"/>
      <c r="K4" s="2684"/>
      <c r="L4" s="2685"/>
      <c r="M4" s="2587"/>
      <c r="N4" s="2589" t="s">
        <v>545</v>
      </c>
      <c r="O4" s="2587"/>
      <c r="P4" s="2587"/>
      <c r="Q4" s="2587"/>
      <c r="R4" s="2587"/>
      <c r="S4" s="2683"/>
      <c r="T4" s="2707" t="str">
        <f>'数据-汇总表'!I17</f>
        <v>按面积比例</v>
      </c>
      <c r="U4" s="2586" t="s">
        <v>546</v>
      </c>
      <c r="V4" s="2587"/>
      <c r="W4" s="2587"/>
      <c r="X4" s="2587"/>
      <c r="Y4" s="2683"/>
      <c r="Z4" s="2733" t="s">
        <v>547</v>
      </c>
      <c r="AA4" s="2733"/>
      <c r="AB4" s="2733"/>
      <c r="AC4" s="2733"/>
      <c r="AD4" s="2733"/>
      <c r="AE4" s="2734" t="s">
        <v>548</v>
      </c>
      <c r="AF4" s="2733"/>
      <c r="AG4" s="2748"/>
      <c r="AH4" s="2586"/>
      <c r="AI4" s="2587"/>
      <c r="AJ4" s="2587"/>
      <c r="AK4" s="2587"/>
      <c r="AL4" s="2587"/>
      <c r="AM4" s="2683"/>
      <c r="AN4" s="2619"/>
      <c r="AO4" s="2619"/>
      <c r="AP4" s="2619"/>
      <c r="AQ4" s="2619"/>
      <c r="AR4" s="2619"/>
      <c r="AS4" s="2619"/>
      <c r="AT4" s="2619"/>
      <c r="AU4" s="2619"/>
      <c r="AV4" s="2619"/>
      <c r="AW4" s="2619"/>
      <c r="AX4" s="2619"/>
      <c r="AY4" s="2619"/>
      <c r="AZ4" s="2619"/>
      <c r="BA4" s="2766"/>
      <c r="BB4" s="2766"/>
      <c r="BC4" s="2766"/>
      <c r="BD4" s="2766"/>
      <c r="BE4" s="2766"/>
      <c r="BF4" s="2766"/>
      <c r="BG4" s="2766"/>
      <c r="BH4" s="2766"/>
      <c r="BI4" s="2766"/>
      <c r="BJ4" s="2766"/>
      <c r="BK4" s="2766"/>
      <c r="BL4" s="2766"/>
      <c r="BM4" s="2766"/>
      <c r="BN4" s="2766"/>
      <c r="BO4" s="2766"/>
      <c r="BP4" s="2766"/>
      <c r="BQ4" s="2766"/>
      <c r="BR4" s="2766"/>
      <c r="BS4" s="2766"/>
      <c r="BT4" s="2766"/>
      <c r="BU4" s="2766"/>
      <c r="BV4" s="2766"/>
      <c r="BW4" s="2766"/>
      <c r="BX4" s="2766"/>
      <c r="BY4" s="2766"/>
      <c r="BZ4" s="2766"/>
      <c r="CA4" s="2766"/>
      <c r="CB4" s="2766"/>
      <c r="CC4" s="2766"/>
      <c r="CD4" s="2766"/>
      <c r="CE4" s="2766"/>
    </row>
    <row r="5" spans="1:83" s="2570" customFormat="1" ht="54">
      <c r="A5" s="2590" t="s">
        <v>400</v>
      </c>
      <c r="B5" s="2591" t="s">
        <v>549</v>
      </c>
      <c r="C5" s="2592" t="s">
        <v>550</v>
      </c>
      <c r="D5" s="2593" t="s">
        <v>551</v>
      </c>
      <c r="E5" s="2594" t="s">
        <v>552</v>
      </c>
      <c r="F5" s="2595" t="s">
        <v>553</v>
      </c>
      <c r="G5" s="2594" t="s">
        <v>554</v>
      </c>
      <c r="H5" s="2594" t="s">
        <v>555</v>
      </c>
      <c r="I5" s="2594" t="s">
        <v>556</v>
      </c>
      <c r="J5" s="2686" t="s">
        <v>557</v>
      </c>
      <c r="K5" s="2687" t="s">
        <v>558</v>
      </c>
      <c r="L5" s="2688" t="s">
        <v>559</v>
      </c>
      <c r="M5" s="2689" t="s">
        <v>560</v>
      </c>
      <c r="N5" s="2690" t="s">
        <v>561</v>
      </c>
      <c r="O5" s="2688" t="s">
        <v>562</v>
      </c>
      <c r="P5" s="2691" t="s">
        <v>563</v>
      </c>
      <c r="Q5" s="252" t="s">
        <v>564</v>
      </c>
      <c r="R5" s="2708" t="s">
        <v>565</v>
      </c>
      <c r="S5" s="2709" t="s">
        <v>566</v>
      </c>
      <c r="T5" s="2710" t="s">
        <v>567</v>
      </c>
      <c r="U5" s="2711" t="s">
        <v>568</v>
      </c>
      <c r="V5" s="2594" t="s">
        <v>569</v>
      </c>
      <c r="W5" s="2594" t="s">
        <v>570</v>
      </c>
      <c r="X5" s="2712"/>
      <c r="Y5" s="514" t="s">
        <v>571</v>
      </c>
      <c r="Z5" s="2735" t="s">
        <v>568</v>
      </c>
      <c r="AA5" s="2594" t="s">
        <v>569</v>
      </c>
      <c r="AB5" s="2594" t="s">
        <v>570</v>
      </c>
      <c r="AC5" s="2736"/>
      <c r="AD5" s="287" t="s">
        <v>571</v>
      </c>
      <c r="AE5" s="2737" t="s">
        <v>572</v>
      </c>
      <c r="AF5" s="2594" t="s">
        <v>573</v>
      </c>
      <c r="AG5" s="514" t="s">
        <v>574</v>
      </c>
      <c r="AH5" s="2736" t="s">
        <v>575</v>
      </c>
      <c r="AI5" s="2735" t="s">
        <v>576</v>
      </c>
      <c r="AJ5" s="2735" t="s">
        <v>577</v>
      </c>
      <c r="AK5" s="2594" t="s">
        <v>578</v>
      </c>
      <c r="AL5" s="2594" t="s">
        <v>579</v>
      </c>
      <c r="AM5" s="287" t="s">
        <v>580</v>
      </c>
      <c r="AN5" s="2749" t="s">
        <v>581</v>
      </c>
      <c r="AO5" s="2764"/>
      <c r="AP5" s="2765" t="s">
        <v>582</v>
      </c>
      <c r="AQ5" s="2764"/>
      <c r="AR5" s="2764"/>
      <c r="AS5" s="2764"/>
      <c r="AT5" s="2764"/>
      <c r="AU5" s="2764"/>
      <c r="AV5" s="2764"/>
      <c r="AW5" s="2764"/>
      <c r="AX5" s="2764"/>
      <c r="AY5" s="2764"/>
      <c r="AZ5" s="2764"/>
      <c r="BA5" s="2767"/>
      <c r="BB5" s="2767"/>
      <c r="BC5" s="2767"/>
      <c r="BD5" s="2767"/>
      <c r="BE5" s="2767"/>
      <c r="BF5" s="2767"/>
      <c r="BG5" s="2767"/>
      <c r="BH5" s="2767"/>
      <c r="BI5" s="2767"/>
      <c r="BJ5" s="2767"/>
      <c r="BK5" s="2767"/>
      <c r="BL5" s="2767"/>
      <c r="BM5" s="2767"/>
      <c r="BN5" s="2767"/>
      <c r="BO5" s="2767"/>
      <c r="BP5" s="2767"/>
      <c r="BQ5" s="2767"/>
      <c r="BR5" s="2767"/>
      <c r="BS5" s="2767"/>
      <c r="BT5" s="2767"/>
      <c r="BU5" s="2767"/>
      <c r="BV5" s="2767"/>
      <c r="BW5" s="2767"/>
      <c r="BX5" s="2767"/>
      <c r="BY5" s="2767"/>
      <c r="BZ5" s="2767"/>
      <c r="CA5" s="2767"/>
      <c r="CB5" s="2767"/>
      <c r="CC5" s="2767"/>
      <c r="CD5" s="2767"/>
      <c r="CE5" s="2767"/>
    </row>
    <row r="6" spans="1:83" s="2569" customFormat="1" ht="14.25">
      <c r="A6" s="2596" t="str">
        <f>'数据-汇总表'!C19</f>
        <v>住宅</v>
      </c>
      <c r="B6" s="2597" t="str">
        <f>IF(A6=0,"","经营性")</f>
        <v>经营性</v>
      </c>
      <c r="C6" s="2598" t="s">
        <v>368</v>
      </c>
      <c r="D6" s="2599">
        <f>SUMIF(项目基本情况!D$15:I$15,C6,项目基本情况!D$18:I$18)</f>
        <v>70</v>
      </c>
      <c r="E6" s="2600">
        <f>IF(B6="","",SUMIF(项目基本情况!D$15:I$15,C6,项目基本情况!D$17:I$17))</f>
        <v>70129</v>
      </c>
      <c r="F6" s="2601">
        <f>SUMIF(项目基本情况!D$15:I$15,C6,项目基本情况!D$19:I$19)</f>
        <v>70</v>
      </c>
      <c r="G6" s="2602">
        <f ca="1">IF(ISERROR(ROUND(POWER(1+H6,D6-F6)*(POWER(1+H6,F6)-1)/(POWER(1+H6,D6)-1),3)),0,ROUND(POWER(1+H6,D6-F6)*(POWER(1+H6,F6)-1)/(POWER(1+H6,D6)-1),3))</f>
        <v>1</v>
      </c>
      <c r="H6" s="2603">
        <f ca="1">基准地价!G20</f>
        <v>0.05</v>
      </c>
      <c r="I6" s="2603">
        <v>5.5E-2</v>
      </c>
      <c r="J6" s="2604">
        <v>5.5E-2</v>
      </c>
      <c r="K6" s="2692">
        <f>SUMIF('数据-汇总表'!C$19:C$33,'数据-取费表'!A6,'数据-汇总表'!E$19:E$33)</f>
        <v>63500</v>
      </c>
      <c r="L6" s="2693">
        <v>4000</v>
      </c>
      <c r="M6" s="2694">
        <f t="shared" ref="M6:M14" si="0">ROUND(K6*L6/10000,0)</f>
        <v>25400</v>
      </c>
      <c r="N6" s="2695">
        <v>0</v>
      </c>
      <c r="O6" s="2694">
        <f>IF($N$5="成新度","——",ROUND(M6*N6,0))</f>
        <v>0</v>
      </c>
      <c r="P6" s="2696">
        <f>IF($N$5="成新度","——",M6-O6)</f>
        <v>25400</v>
      </c>
      <c r="Q6" s="2713">
        <v>0.25</v>
      </c>
      <c r="R6" s="2692">
        <f>SUMIF('数据-汇总表'!C$19:C$33,A6,'数据-汇总表'!R$19:R$33)</f>
        <v>25406.38</v>
      </c>
      <c r="S6" s="2714">
        <f>IF('数据-汇总表'!$I$17="按面积比例",SUMIF('数据-汇总表'!C$19:C$33,A6,'数据-汇总表'!K$19:K$33),SUMIF('数据-汇总表'!C$19:C$33,A6,'数据-汇总表'!N$19:N$33))</f>
        <v>0</v>
      </c>
      <c r="T6" s="2715" t="str">
        <f>IF($T$4="按面积比例",IF(ISERROR(ROUND($M$14*S6/S$16,0)),"0",ROUND($M$14*S6/S$16,0)),"需自行计算录入")</f>
        <v>0</v>
      </c>
      <c r="U6" s="2716"/>
      <c r="V6" s="2717"/>
      <c r="W6" s="2717"/>
      <c r="X6" s="2718"/>
      <c r="Y6" s="2738"/>
      <c r="Z6" s="2739"/>
      <c r="AA6" s="2604"/>
      <c r="AB6" s="2604"/>
      <c r="AC6" s="2721"/>
      <c r="AD6" s="2740"/>
      <c r="AE6" s="2741">
        <f ca="1">IF(AN6="",0,SUMIF(INDIRECT("'"&amp;AN6&amp;"'"&amp;"!E:E"),$AE$5,INDIRECT("'"&amp;AN6&amp;"'"&amp;"!F:F")))</f>
        <v>0</v>
      </c>
      <c r="AF6" s="2160"/>
      <c r="AG6" s="2750">
        <f>IF(AF6="",0,AE6-AF6)</f>
        <v>0</v>
      </c>
      <c r="AH6" s="2160"/>
      <c r="AI6" s="2751"/>
      <c r="AJ6" s="2752"/>
      <c r="AK6" s="2753"/>
      <c r="AL6" s="2754"/>
      <c r="AM6" s="2755"/>
      <c r="AN6" s="2756"/>
      <c r="AO6" s="2619"/>
      <c r="AP6" s="2584">
        <f ca="1">ROUND(1-1/(1+H6)^F6,3)</f>
        <v>0.96699999999999997</v>
      </c>
      <c r="AQ6" s="2619"/>
      <c r="AR6" s="2619"/>
      <c r="AS6" s="2619"/>
      <c r="AT6" s="2619"/>
      <c r="AU6" s="2619"/>
      <c r="AV6" s="2619"/>
      <c r="AW6" s="2619"/>
      <c r="AX6" s="2619"/>
      <c r="AY6" s="2619"/>
      <c r="AZ6" s="2619"/>
      <c r="BA6" s="2766"/>
      <c r="BB6" s="2766"/>
      <c r="BC6" s="2766"/>
      <c r="BD6" s="2766"/>
      <c r="BE6" s="2766"/>
      <c r="BF6" s="2766"/>
      <c r="BG6" s="2766"/>
      <c r="BH6" s="2766"/>
      <c r="BI6" s="2766"/>
      <c r="BJ6" s="2766"/>
      <c r="BK6" s="2766"/>
      <c r="BL6" s="2766"/>
      <c r="BM6" s="2766"/>
      <c r="BN6" s="2766"/>
      <c r="BO6" s="2766"/>
      <c r="BP6" s="2766"/>
      <c r="BQ6" s="2766"/>
      <c r="BR6" s="2766"/>
      <c r="BS6" s="2766"/>
      <c r="BT6" s="2766"/>
      <c r="BU6" s="2766"/>
      <c r="BV6" s="2766"/>
      <c r="BW6" s="2766"/>
      <c r="BX6" s="2766"/>
      <c r="BY6" s="2766"/>
      <c r="BZ6" s="2766"/>
      <c r="CA6" s="2766"/>
      <c r="CB6" s="2766"/>
      <c r="CC6" s="2766"/>
      <c r="CD6" s="2766"/>
      <c r="CE6" s="2766"/>
    </row>
    <row r="7" spans="1:83" s="2569" customFormat="1" ht="14.25">
      <c r="A7" s="2596">
        <f>'数据-汇总表'!C20</f>
        <v>0</v>
      </c>
      <c r="B7" s="2597" t="str">
        <f t="shared" ref="B7:B13" si="1">IF(A7=0,"","经营性")</f>
        <v/>
      </c>
      <c r="C7" s="2598"/>
      <c r="D7" s="2599">
        <f>SUMIF(项目基本情况!D$15:I$15,C7,项目基本情况!D$18:I$18)</f>
        <v>0</v>
      </c>
      <c r="E7" s="2600" t="str">
        <f>IF(B7="","",SUMIF(项目基本情况!D$15:I$15,C7,项目基本情况!D$17:I$17))</f>
        <v/>
      </c>
      <c r="F7" s="2601">
        <f>SUMIF(项目基本情况!D$15:I$15,C7,项目基本情况!D$19:I$19)</f>
        <v>0</v>
      </c>
      <c r="G7" s="2602">
        <f t="shared" ref="G7:G13" si="2">IF(ISERROR(ROUND(POWER(1+H7,D7-F7)*(POWER(1+H7,F7)-1)/(POWER(1+H7,D7)-1),3)),0,ROUND(POWER(1+H7,D7-F7)*(POWER(1+H7,F7)-1)/(POWER(1+H7,D7)-1),3))</f>
        <v>0</v>
      </c>
      <c r="H7" s="2603"/>
      <c r="I7" s="2603"/>
      <c r="J7" s="2604"/>
      <c r="K7" s="2692">
        <f>SUMIF('数据-汇总表'!C$19:C$33,'数据-取费表'!A7,'数据-汇总表'!E$19:E$33)</f>
        <v>0</v>
      </c>
      <c r="L7" s="2693"/>
      <c r="M7" s="2694">
        <f t="shared" si="0"/>
        <v>0</v>
      </c>
      <c r="N7" s="2695"/>
      <c r="O7" s="2694">
        <f t="shared" ref="O7:O14" si="3">IF($N$5="成新度","——",ROUND(M7*N7,0))</f>
        <v>0</v>
      </c>
      <c r="P7" s="2696">
        <f t="shared" ref="P7:P14" si="4">IF($N$5="成新度","——",M7-O7)</f>
        <v>0</v>
      </c>
      <c r="Q7" s="2713"/>
      <c r="R7" s="2692">
        <f>SUMIF('数据-汇总表'!C$19:C$33,A7,'数据-汇总表'!R$19:R$33)</f>
        <v>0</v>
      </c>
      <c r="S7" s="2714">
        <f>IF('数据-汇总表'!$I$17="按面积比例",SUMIF('数据-汇总表'!C$19:C$33,A7,'数据-汇总表'!K$19:K$33),SUMIF('数据-汇总表'!C$19:C$33,A7,'数据-汇总表'!N$19:N$33))</f>
        <v>0</v>
      </c>
      <c r="T7" s="2715" t="str">
        <f t="shared" ref="T7:T13" si="5">IF($T$4="按面积比例",IF(ISERROR(ROUND($M$14*S7/S$16,0)),"0",ROUND($M$14*S7/S$16,0)),"需自行计算录入")</f>
        <v>0</v>
      </c>
      <c r="U7" s="2716"/>
      <c r="V7" s="2717"/>
      <c r="W7" s="2717"/>
      <c r="X7" s="2718"/>
      <c r="Y7" s="2738"/>
      <c r="Z7" s="2739"/>
      <c r="AA7" s="2604"/>
      <c r="AB7" s="2604"/>
      <c r="AC7" s="2721"/>
      <c r="AD7" s="2740"/>
      <c r="AE7" s="2741">
        <f t="shared" ref="AE7:AE13" ca="1" si="6">IF(AN7="",0,SUMIF(INDIRECT("'"&amp;AN7&amp;"'"&amp;"!E:E"),$AE$5,INDIRECT("'"&amp;AN7&amp;"'"&amp;"!F:F")))</f>
        <v>0</v>
      </c>
      <c r="AF7" s="2160"/>
      <c r="AG7" s="2750">
        <f t="shared" ref="AG7:AG13" si="7">IF(AF7="",0,AE7-AF7)</f>
        <v>0</v>
      </c>
      <c r="AH7" s="2160"/>
      <c r="AI7" s="2751"/>
      <c r="AJ7" s="2752"/>
      <c r="AK7" s="2753"/>
      <c r="AL7" s="2754"/>
      <c r="AM7" s="2757"/>
      <c r="AN7" s="2756"/>
      <c r="AO7" s="2619"/>
      <c r="AP7" s="2584">
        <f t="shared" ref="AP7:AP13" si="8">ROUND(1-1/(1+H7)^F7,3)</f>
        <v>0</v>
      </c>
      <c r="AQ7" s="2619"/>
      <c r="AR7" s="2619"/>
      <c r="AS7" s="2619"/>
      <c r="AT7" s="2619"/>
      <c r="AU7" s="2619"/>
      <c r="AV7" s="2619"/>
      <c r="AW7" s="2619"/>
      <c r="AX7" s="2619"/>
      <c r="AY7" s="2619"/>
      <c r="AZ7" s="2619"/>
      <c r="BA7" s="2766"/>
      <c r="BB7" s="2766"/>
      <c r="BC7" s="2766"/>
      <c r="BD7" s="2766"/>
      <c r="BE7" s="2766"/>
      <c r="BF7" s="2766"/>
      <c r="BG7" s="2766"/>
      <c r="BH7" s="2766"/>
      <c r="BI7" s="2766"/>
      <c r="BJ7" s="2766"/>
      <c r="BK7" s="2766"/>
      <c r="BL7" s="2766"/>
      <c r="BM7" s="2766"/>
      <c r="BN7" s="2766"/>
      <c r="BO7" s="2766"/>
      <c r="BP7" s="2766"/>
      <c r="BQ7" s="2766"/>
      <c r="BR7" s="2766"/>
      <c r="BS7" s="2766"/>
      <c r="BT7" s="2766"/>
      <c r="BU7" s="2766"/>
      <c r="BV7" s="2766"/>
      <c r="BW7" s="2766"/>
      <c r="BX7" s="2766"/>
      <c r="BY7" s="2766"/>
      <c r="BZ7" s="2766"/>
      <c r="CA7" s="2766"/>
      <c r="CB7" s="2766"/>
      <c r="CC7" s="2766"/>
      <c r="CD7" s="2766"/>
      <c r="CE7" s="2766"/>
    </row>
    <row r="8" spans="1:83" s="2569" customFormat="1" ht="14.25">
      <c r="A8" s="2596">
        <f>'数据-汇总表'!C21</f>
        <v>0</v>
      </c>
      <c r="B8" s="2597" t="str">
        <f t="shared" si="1"/>
        <v/>
      </c>
      <c r="C8" s="2598"/>
      <c r="D8" s="2599">
        <f>SUMIF(项目基本情况!D$15:I$15,C8,项目基本情况!D$18:I$18)</f>
        <v>0</v>
      </c>
      <c r="E8" s="2600" t="str">
        <f>IF(B8="","",SUMIF(项目基本情况!D$15:I$15,C8,项目基本情况!D$17:I$17))</f>
        <v/>
      </c>
      <c r="F8" s="2601">
        <f>SUMIF(项目基本情况!D$15:I$15,C8,项目基本情况!D$19:I$19)</f>
        <v>0</v>
      </c>
      <c r="G8" s="2602">
        <f t="shared" si="2"/>
        <v>0</v>
      </c>
      <c r="H8" s="2603"/>
      <c r="I8" s="2603"/>
      <c r="J8" s="2604"/>
      <c r="K8" s="2692">
        <f>SUMIF('数据-汇总表'!C$19:C$33,'数据-取费表'!A8,'数据-汇总表'!E$19:E$33)</f>
        <v>0</v>
      </c>
      <c r="L8" s="2693"/>
      <c r="M8" s="2694">
        <f t="shared" si="0"/>
        <v>0</v>
      </c>
      <c r="N8" s="2695"/>
      <c r="O8" s="2694">
        <f t="shared" si="3"/>
        <v>0</v>
      </c>
      <c r="P8" s="2696">
        <f t="shared" si="4"/>
        <v>0</v>
      </c>
      <c r="Q8" s="2713"/>
      <c r="R8" s="2692">
        <f>SUMIF('数据-汇总表'!C$19:C$33,A8,'数据-汇总表'!R$19:R$33)</f>
        <v>0</v>
      </c>
      <c r="S8" s="2714">
        <f>IF('数据-汇总表'!$I$17="按面积比例",SUMIF('数据-汇总表'!C$19:C$33,A8,'数据-汇总表'!K$19:K$33),SUMIF('数据-汇总表'!C$19:C$33,A8,'数据-汇总表'!N$19:N$33))</f>
        <v>0</v>
      </c>
      <c r="T8" s="2715" t="str">
        <f t="shared" si="5"/>
        <v>0</v>
      </c>
      <c r="U8" s="2716"/>
      <c r="V8" s="2717"/>
      <c r="W8" s="2717"/>
      <c r="X8" s="2718"/>
      <c r="Y8" s="2738"/>
      <c r="Z8" s="2739"/>
      <c r="AA8" s="2604"/>
      <c r="AB8" s="2604"/>
      <c r="AC8" s="2721"/>
      <c r="AD8" s="2740"/>
      <c r="AE8" s="2741">
        <f t="shared" ca="1" si="6"/>
        <v>0</v>
      </c>
      <c r="AF8" s="2160"/>
      <c r="AG8" s="2750">
        <f t="shared" si="7"/>
        <v>0</v>
      </c>
      <c r="AH8" s="2160"/>
      <c r="AI8" s="2751"/>
      <c r="AJ8" s="2752"/>
      <c r="AK8" s="2753"/>
      <c r="AL8" s="2754"/>
      <c r="AM8" s="2757"/>
      <c r="AN8" s="2756"/>
      <c r="AO8" s="2619"/>
      <c r="AP8" s="2584">
        <f t="shared" si="8"/>
        <v>0</v>
      </c>
      <c r="AQ8" s="2619"/>
      <c r="AR8" s="2619"/>
      <c r="AS8" s="2619"/>
      <c r="AT8" s="2619"/>
      <c r="AU8" s="2619"/>
      <c r="AV8" s="2619"/>
      <c r="AW8" s="2619"/>
      <c r="AX8" s="2619"/>
      <c r="AY8" s="2619"/>
      <c r="AZ8" s="2619"/>
      <c r="BA8" s="2766"/>
      <c r="BB8" s="2766"/>
      <c r="BC8" s="2766"/>
      <c r="BD8" s="2766"/>
      <c r="BE8" s="2766"/>
      <c r="BF8" s="2766"/>
      <c r="BG8" s="2766"/>
      <c r="BH8" s="2766"/>
      <c r="BI8" s="2766"/>
      <c r="BJ8" s="2766"/>
      <c r="BK8" s="2766"/>
      <c r="BL8" s="2766"/>
      <c r="BM8" s="2766"/>
      <c r="BN8" s="2766"/>
      <c r="BO8" s="2766"/>
      <c r="BP8" s="2766"/>
      <c r="BQ8" s="2766"/>
      <c r="BR8" s="2766"/>
      <c r="BS8" s="2766"/>
      <c r="BT8" s="2766"/>
      <c r="BU8" s="2766"/>
      <c r="BV8" s="2766"/>
      <c r="BW8" s="2766"/>
      <c r="BX8" s="2766"/>
      <c r="BY8" s="2766"/>
      <c r="BZ8" s="2766"/>
      <c r="CA8" s="2766"/>
      <c r="CB8" s="2766"/>
      <c r="CC8" s="2766"/>
      <c r="CD8" s="2766"/>
      <c r="CE8" s="2766"/>
    </row>
    <row r="9" spans="1:83" s="2569" customFormat="1" ht="14.25" hidden="1">
      <c r="A9" s="2596">
        <f>'数据-汇总表'!C22</f>
        <v>0</v>
      </c>
      <c r="B9" s="2597" t="str">
        <f t="shared" si="1"/>
        <v/>
      </c>
      <c r="C9" s="2598"/>
      <c r="D9" s="2599">
        <f>SUMIF(项目基本情况!D$15:I$15,C9,项目基本情况!D$18:I$18)</f>
        <v>0</v>
      </c>
      <c r="E9" s="2600" t="str">
        <f>IF(B9="","",SUMIF(项目基本情况!D$15:I$15,C9,项目基本情况!D$17:I$17))</f>
        <v/>
      </c>
      <c r="F9" s="2601">
        <f>SUMIF(项目基本情况!D$15:I$15,C9,项目基本情况!D$19:I$19)</f>
        <v>0</v>
      </c>
      <c r="G9" s="2602">
        <f t="shared" si="2"/>
        <v>0</v>
      </c>
      <c r="H9" s="2604"/>
      <c r="I9" s="2604"/>
      <c r="J9" s="2604"/>
      <c r="K9" s="2692">
        <f>SUMIF('数据-汇总表'!C$19:C$33,'数据-取费表'!A9,'数据-汇总表'!E$19:E$33)</f>
        <v>0</v>
      </c>
      <c r="L9" s="2697"/>
      <c r="M9" s="2694">
        <f t="shared" si="0"/>
        <v>0</v>
      </c>
      <c r="N9" s="2698"/>
      <c r="O9" s="2694">
        <f t="shared" si="3"/>
        <v>0</v>
      </c>
      <c r="P9" s="2696">
        <f t="shared" si="4"/>
        <v>0</v>
      </c>
      <c r="Q9" s="2719"/>
      <c r="R9" s="2692">
        <f>SUMIF('数据-汇总表'!C$19:C$33,A9,'数据-汇总表'!R$19:R$33)</f>
        <v>0</v>
      </c>
      <c r="S9" s="2714">
        <f>IF('数据-汇总表'!$I$17="按面积比例",SUMIF('数据-汇总表'!C$19:C$33,A9,'数据-汇总表'!K$19:K$33),SUMIF('数据-汇总表'!C$19:C$33,A9,'数据-汇总表'!N$19:N$33))</f>
        <v>0</v>
      </c>
      <c r="T9" s="2715" t="str">
        <f t="shared" si="5"/>
        <v>0</v>
      </c>
      <c r="U9" s="2716"/>
      <c r="V9" s="2717"/>
      <c r="W9" s="2717"/>
      <c r="X9" s="2718"/>
      <c r="Y9" s="2738"/>
      <c r="Z9" s="2739"/>
      <c r="AA9" s="2604"/>
      <c r="AB9" s="2604"/>
      <c r="AC9" s="2721"/>
      <c r="AD9" s="2740"/>
      <c r="AE9" s="2741">
        <f t="shared" ca="1" si="6"/>
        <v>0</v>
      </c>
      <c r="AF9" s="2160"/>
      <c r="AG9" s="2750">
        <f t="shared" si="7"/>
        <v>0</v>
      </c>
      <c r="AH9" s="2160"/>
      <c r="AI9" s="2751"/>
      <c r="AJ9" s="2752"/>
      <c r="AK9" s="2753"/>
      <c r="AL9" s="2754"/>
      <c r="AM9" s="2757"/>
      <c r="AN9" s="2756"/>
      <c r="AO9" s="2619"/>
      <c r="AP9" s="2584">
        <f t="shared" si="8"/>
        <v>0</v>
      </c>
      <c r="AQ9" s="2619"/>
      <c r="AR9" s="2619"/>
      <c r="AS9" s="2619"/>
      <c r="AT9" s="2619"/>
      <c r="AU9" s="2619"/>
      <c r="AV9" s="2619"/>
      <c r="AW9" s="2619"/>
      <c r="AX9" s="2619"/>
      <c r="AY9" s="2619"/>
      <c r="AZ9" s="2619"/>
      <c r="BA9" s="2766"/>
      <c r="BB9" s="2766"/>
      <c r="BC9" s="2766"/>
      <c r="BD9" s="2766"/>
      <c r="BE9" s="2766"/>
      <c r="BF9" s="2766"/>
      <c r="BG9" s="2766"/>
      <c r="BH9" s="2766"/>
      <c r="BI9" s="2766"/>
      <c r="BJ9" s="2766"/>
      <c r="BK9" s="2766"/>
      <c r="BL9" s="2766"/>
      <c r="BM9" s="2766"/>
      <c r="BN9" s="2766"/>
      <c r="BO9" s="2766"/>
      <c r="BP9" s="2766"/>
      <c r="BQ9" s="2766"/>
      <c r="BR9" s="2766"/>
      <c r="BS9" s="2766"/>
      <c r="BT9" s="2766"/>
      <c r="BU9" s="2766"/>
      <c r="BV9" s="2766"/>
      <c r="BW9" s="2766"/>
      <c r="BX9" s="2766"/>
      <c r="BY9" s="2766"/>
      <c r="BZ9" s="2766"/>
      <c r="CA9" s="2766"/>
      <c r="CB9" s="2766"/>
      <c r="CC9" s="2766"/>
      <c r="CD9" s="2766"/>
      <c r="CE9" s="2766"/>
    </row>
    <row r="10" spans="1:83" s="2569" customFormat="1" ht="14.25" hidden="1">
      <c r="A10" s="2596">
        <f>'数据-汇总表'!C23</f>
        <v>0</v>
      </c>
      <c r="B10" s="2597" t="str">
        <f t="shared" si="1"/>
        <v/>
      </c>
      <c r="C10" s="2598"/>
      <c r="D10" s="2599">
        <f>SUMIF(项目基本情况!D$15:I$15,C10,项目基本情况!D$18:I$18)</f>
        <v>0</v>
      </c>
      <c r="E10" s="2600" t="str">
        <f>IF(B10="","",SUMIF(项目基本情况!D$15:I$15,C10,项目基本情况!D$17:I$17))</f>
        <v/>
      </c>
      <c r="F10" s="2601">
        <f>SUMIF(项目基本情况!D$15:I$15,C10,项目基本情况!D$19:I$19)</f>
        <v>0</v>
      </c>
      <c r="G10" s="2602">
        <f t="shared" si="2"/>
        <v>0</v>
      </c>
      <c r="H10" s="2604"/>
      <c r="I10" s="2604"/>
      <c r="J10" s="2604"/>
      <c r="K10" s="2692">
        <f>SUMIF('数据-汇总表'!C$19:C$33,'数据-取费表'!A10,'数据-汇总表'!E$19:E$33)</f>
        <v>0</v>
      </c>
      <c r="L10" s="2697"/>
      <c r="M10" s="2694">
        <f t="shared" si="0"/>
        <v>0</v>
      </c>
      <c r="N10" s="2698"/>
      <c r="O10" s="2694">
        <f t="shared" si="3"/>
        <v>0</v>
      </c>
      <c r="P10" s="2696">
        <f t="shared" si="4"/>
        <v>0</v>
      </c>
      <c r="Q10" s="2719"/>
      <c r="R10" s="2692">
        <f>SUMIF('数据-汇总表'!C$19:C$33,A10,'数据-汇总表'!R$19:R$33)</f>
        <v>0</v>
      </c>
      <c r="S10" s="2714">
        <f>IF('数据-汇总表'!$I$17="按面积比例",SUMIF('数据-汇总表'!C$19:C$33,A10,'数据-汇总表'!K$19:K$33),SUMIF('数据-汇总表'!C$19:C$33,A10,'数据-汇总表'!N$19:N$33))</f>
        <v>0</v>
      </c>
      <c r="T10" s="2715" t="str">
        <f t="shared" si="5"/>
        <v>0</v>
      </c>
      <c r="U10" s="2716"/>
      <c r="V10" s="2717"/>
      <c r="W10" s="2717"/>
      <c r="X10" s="2718"/>
      <c r="Y10" s="2738"/>
      <c r="Z10" s="2739"/>
      <c r="AA10" s="2604"/>
      <c r="AB10" s="2604"/>
      <c r="AC10" s="2721"/>
      <c r="AD10" s="2740"/>
      <c r="AE10" s="2741">
        <f t="shared" ca="1" si="6"/>
        <v>0</v>
      </c>
      <c r="AF10" s="2160"/>
      <c r="AG10" s="2750">
        <f t="shared" si="7"/>
        <v>0</v>
      </c>
      <c r="AH10" s="2160"/>
      <c r="AI10" s="2751"/>
      <c r="AJ10" s="2752"/>
      <c r="AK10" s="2753"/>
      <c r="AL10" s="2754"/>
      <c r="AM10" s="2757"/>
      <c r="AN10" s="2756"/>
      <c r="AO10" s="2619"/>
      <c r="AP10" s="2584">
        <f t="shared" si="8"/>
        <v>0</v>
      </c>
      <c r="AQ10" s="2619"/>
      <c r="AR10" s="2619"/>
      <c r="AS10" s="2619"/>
      <c r="AT10" s="2619"/>
      <c r="AU10" s="2619"/>
      <c r="AV10" s="2619"/>
      <c r="AW10" s="2619"/>
      <c r="AX10" s="2619"/>
      <c r="AY10" s="2619"/>
      <c r="AZ10" s="2619"/>
      <c r="BA10" s="2766"/>
      <c r="BB10" s="2766"/>
      <c r="BC10" s="2766"/>
      <c r="BD10" s="2766"/>
      <c r="BE10" s="2766"/>
      <c r="BF10" s="2766"/>
      <c r="BG10" s="2766"/>
      <c r="BH10" s="2766"/>
      <c r="BI10" s="2766"/>
      <c r="BJ10" s="2766"/>
      <c r="BK10" s="2766"/>
      <c r="BL10" s="2766"/>
      <c r="BM10" s="2766"/>
      <c r="BN10" s="2766"/>
      <c r="BO10" s="2766"/>
      <c r="BP10" s="2766"/>
      <c r="BQ10" s="2766"/>
      <c r="BR10" s="2766"/>
      <c r="BS10" s="2766"/>
      <c r="BT10" s="2766"/>
      <c r="BU10" s="2766"/>
      <c r="BV10" s="2766"/>
      <c r="BW10" s="2766"/>
      <c r="BX10" s="2766"/>
      <c r="BY10" s="2766"/>
      <c r="BZ10" s="2766"/>
      <c r="CA10" s="2766"/>
      <c r="CB10" s="2766"/>
      <c r="CC10" s="2766"/>
      <c r="CD10" s="2766"/>
      <c r="CE10" s="2766"/>
    </row>
    <row r="11" spans="1:83" s="2569" customFormat="1" ht="14.25" hidden="1">
      <c r="A11" s="2596">
        <f>'数据-汇总表'!C24</f>
        <v>0</v>
      </c>
      <c r="B11" s="2597" t="str">
        <f t="shared" si="1"/>
        <v/>
      </c>
      <c r="C11" s="2598"/>
      <c r="D11" s="2599">
        <f>SUMIF(项目基本情况!D$15:I$15,C11,项目基本情况!D$18:I$18)</f>
        <v>0</v>
      </c>
      <c r="E11" s="2600" t="str">
        <f>IF(B11="","",SUMIF(项目基本情况!D$15:I$15,C11,项目基本情况!D$17:I$17))</f>
        <v/>
      </c>
      <c r="F11" s="2601">
        <f>SUMIF(项目基本情况!D$15:I$15,C11,项目基本情况!D$19:I$19)</f>
        <v>0</v>
      </c>
      <c r="G11" s="2602">
        <f t="shared" si="2"/>
        <v>0</v>
      </c>
      <c r="H11" s="2604"/>
      <c r="I11" s="2604"/>
      <c r="J11" s="2604"/>
      <c r="K11" s="2692">
        <f>SUMIF('数据-汇总表'!C$19:C$33,'数据-取费表'!A11,'数据-汇总表'!E$19:E$33)</f>
        <v>0</v>
      </c>
      <c r="L11" s="2697"/>
      <c r="M11" s="2694">
        <f t="shared" si="0"/>
        <v>0</v>
      </c>
      <c r="N11" s="2698"/>
      <c r="O11" s="2694">
        <f t="shared" si="3"/>
        <v>0</v>
      </c>
      <c r="P11" s="2696">
        <f t="shared" si="4"/>
        <v>0</v>
      </c>
      <c r="Q11" s="2719"/>
      <c r="R11" s="2692">
        <f>SUMIF('数据-汇总表'!C$19:C$33,A11,'数据-汇总表'!R$19:R$33)</f>
        <v>0</v>
      </c>
      <c r="S11" s="2714">
        <f>IF('数据-汇总表'!$I$17="按面积比例",SUMIF('数据-汇总表'!C$19:C$33,A11,'数据-汇总表'!K$19:K$33),SUMIF('数据-汇总表'!C$19:C$33,A11,'数据-汇总表'!N$19:N$33))</f>
        <v>0</v>
      </c>
      <c r="T11" s="2715" t="str">
        <f t="shared" si="5"/>
        <v>0</v>
      </c>
      <c r="U11" s="2720"/>
      <c r="V11" s="2604"/>
      <c r="W11" s="2604"/>
      <c r="X11" s="2721"/>
      <c r="Y11" s="2738"/>
      <c r="Z11" s="2742"/>
      <c r="AA11" s="2604"/>
      <c r="AB11" s="2604"/>
      <c r="AC11" s="2721"/>
      <c r="AD11" s="2740"/>
      <c r="AE11" s="2741">
        <f t="shared" ca="1" si="6"/>
        <v>0</v>
      </c>
      <c r="AF11" s="2160"/>
      <c r="AG11" s="2750">
        <f t="shared" si="7"/>
        <v>0</v>
      </c>
      <c r="AH11" s="2160"/>
      <c r="AI11" s="2751"/>
      <c r="AJ11" s="2752"/>
      <c r="AK11" s="2758"/>
      <c r="AL11" s="2759"/>
      <c r="AM11" s="2760"/>
      <c r="AN11" s="2756"/>
      <c r="AO11" s="2619"/>
      <c r="AP11" s="2584">
        <f t="shared" si="8"/>
        <v>0</v>
      </c>
      <c r="AQ11" s="2619"/>
      <c r="AR11" s="2619"/>
      <c r="AS11" s="2619"/>
      <c r="AT11" s="2619"/>
      <c r="AU11" s="2619"/>
      <c r="AV11" s="2619"/>
      <c r="AW11" s="2619"/>
      <c r="AX11" s="2619"/>
      <c r="AY11" s="2619"/>
      <c r="AZ11" s="2619"/>
      <c r="BA11" s="2766"/>
      <c r="BB11" s="2766"/>
      <c r="BC11" s="2766"/>
      <c r="BD11" s="2766"/>
      <c r="BE11" s="2766"/>
      <c r="BF11" s="2766"/>
      <c r="BG11" s="2766"/>
      <c r="BH11" s="2766"/>
      <c r="BI11" s="2766"/>
      <c r="BJ11" s="2766"/>
      <c r="BK11" s="2766"/>
      <c r="BL11" s="2766"/>
      <c r="BM11" s="2766"/>
      <c r="BN11" s="2766"/>
      <c r="BO11" s="2766"/>
      <c r="BP11" s="2766"/>
      <c r="BQ11" s="2766"/>
      <c r="BR11" s="2766"/>
      <c r="BS11" s="2766"/>
      <c r="BT11" s="2766"/>
      <c r="BU11" s="2766"/>
      <c r="BV11" s="2766"/>
      <c r="BW11" s="2766"/>
      <c r="BX11" s="2766"/>
      <c r="BY11" s="2766"/>
      <c r="BZ11" s="2766"/>
      <c r="CA11" s="2766"/>
      <c r="CB11" s="2766"/>
      <c r="CC11" s="2766"/>
      <c r="CD11" s="2766"/>
      <c r="CE11" s="2766"/>
    </row>
    <row r="12" spans="1:83" s="2569" customFormat="1" ht="14.25" hidden="1">
      <c r="A12" s="2596">
        <f>'数据-汇总表'!C25</f>
        <v>0</v>
      </c>
      <c r="B12" s="2597" t="str">
        <f t="shared" si="1"/>
        <v/>
      </c>
      <c r="C12" s="2598"/>
      <c r="D12" s="2599">
        <f>SUMIF(项目基本情况!D$15:I$15,C12,项目基本情况!D$18:I$18)</f>
        <v>0</v>
      </c>
      <c r="E12" s="2600" t="str">
        <f>IF(B12="","",SUMIF(项目基本情况!D$15:I$15,C12,项目基本情况!D$17:I$17))</f>
        <v/>
      </c>
      <c r="F12" s="2601">
        <f>SUMIF(项目基本情况!D$15:I$15,C12,项目基本情况!D$19:I$19)</f>
        <v>0</v>
      </c>
      <c r="G12" s="2602">
        <f t="shared" si="2"/>
        <v>0</v>
      </c>
      <c r="H12" s="2604"/>
      <c r="I12" s="2604"/>
      <c r="J12" s="2604"/>
      <c r="K12" s="2692">
        <f>SUMIF('数据-汇总表'!C$19:C$33,'数据-取费表'!A12,'数据-汇总表'!E$19:E$33)</f>
        <v>0</v>
      </c>
      <c r="L12" s="2697"/>
      <c r="M12" s="2694">
        <f t="shared" si="0"/>
        <v>0</v>
      </c>
      <c r="N12" s="2698"/>
      <c r="O12" s="2694">
        <f t="shared" si="3"/>
        <v>0</v>
      </c>
      <c r="P12" s="2696">
        <f t="shared" si="4"/>
        <v>0</v>
      </c>
      <c r="Q12" s="2719"/>
      <c r="R12" s="2692">
        <f>SUMIF('数据-汇总表'!C$19:C$33,A12,'数据-汇总表'!R$19:R$33)</f>
        <v>0</v>
      </c>
      <c r="S12" s="2714">
        <f>IF('数据-汇总表'!$I$17="按面积比例",SUMIF('数据-汇总表'!C$19:C$33,A12,'数据-汇总表'!K$19:K$33),SUMIF('数据-汇总表'!C$19:C$33,A12,'数据-汇总表'!N$19:N$33))</f>
        <v>0</v>
      </c>
      <c r="T12" s="2715" t="str">
        <f t="shared" si="5"/>
        <v>0</v>
      </c>
      <c r="U12" s="2720"/>
      <c r="V12" s="2604"/>
      <c r="W12" s="2604"/>
      <c r="X12" s="2721"/>
      <c r="Y12" s="2738"/>
      <c r="Z12" s="2742"/>
      <c r="AA12" s="2604"/>
      <c r="AB12" s="2604"/>
      <c r="AC12" s="2721"/>
      <c r="AD12" s="2740"/>
      <c r="AE12" s="2741">
        <f t="shared" ca="1" si="6"/>
        <v>0</v>
      </c>
      <c r="AF12" s="2160"/>
      <c r="AG12" s="2750">
        <f t="shared" si="7"/>
        <v>0</v>
      </c>
      <c r="AH12" s="2160"/>
      <c r="AI12" s="2751"/>
      <c r="AJ12" s="2752"/>
      <c r="AK12" s="2758"/>
      <c r="AL12" s="2759"/>
      <c r="AM12" s="2760"/>
      <c r="AN12" s="2756"/>
      <c r="AO12" s="2619"/>
      <c r="AP12" s="2584">
        <f t="shared" si="8"/>
        <v>0</v>
      </c>
      <c r="AQ12" s="2619"/>
      <c r="AR12" s="2619"/>
      <c r="AS12" s="2619"/>
      <c r="AT12" s="2619"/>
      <c r="AU12" s="2619"/>
      <c r="AV12" s="2619"/>
      <c r="AW12" s="2619"/>
      <c r="AX12" s="2619"/>
      <c r="AY12" s="2619"/>
      <c r="AZ12" s="2619"/>
      <c r="BA12" s="2766"/>
      <c r="BB12" s="2766"/>
      <c r="BC12" s="2766"/>
      <c r="BD12" s="2766"/>
      <c r="BE12" s="2766"/>
      <c r="BF12" s="2766"/>
      <c r="BG12" s="2766"/>
      <c r="BH12" s="2766"/>
      <c r="BI12" s="2766"/>
      <c r="BJ12" s="2766"/>
      <c r="BK12" s="2766"/>
      <c r="BL12" s="2766"/>
      <c r="BM12" s="2766"/>
      <c r="BN12" s="2766"/>
      <c r="BO12" s="2766"/>
      <c r="BP12" s="2766"/>
      <c r="BQ12" s="2766"/>
      <c r="BR12" s="2766"/>
      <c r="BS12" s="2766"/>
      <c r="BT12" s="2766"/>
      <c r="BU12" s="2766"/>
      <c r="BV12" s="2766"/>
      <c r="BW12" s="2766"/>
      <c r="BX12" s="2766"/>
      <c r="BY12" s="2766"/>
      <c r="BZ12" s="2766"/>
      <c r="CA12" s="2766"/>
      <c r="CB12" s="2766"/>
      <c r="CC12" s="2766"/>
      <c r="CD12" s="2766"/>
      <c r="CE12" s="2766"/>
    </row>
    <row r="13" spans="1:83" s="2569" customFormat="1" ht="14.25" hidden="1">
      <c r="A13" s="2596">
        <f>'数据-汇总表'!C26</f>
        <v>0</v>
      </c>
      <c r="B13" s="2597" t="str">
        <f t="shared" si="1"/>
        <v/>
      </c>
      <c r="C13" s="2598"/>
      <c r="D13" s="2599">
        <f>SUMIF(项目基本情况!D$15:I$15,C13,项目基本情况!D$18:I$18)</f>
        <v>0</v>
      </c>
      <c r="E13" s="2600" t="str">
        <f>IF(B13="","",SUMIF(项目基本情况!D$15:I$15,C13,项目基本情况!D$17:I$17))</f>
        <v/>
      </c>
      <c r="F13" s="2601">
        <f>SUMIF(项目基本情况!D$15:I$15,C13,项目基本情况!D$19:I$19)</f>
        <v>0</v>
      </c>
      <c r="G13" s="2602">
        <f t="shared" si="2"/>
        <v>0</v>
      </c>
      <c r="H13" s="2604"/>
      <c r="I13" s="2604"/>
      <c r="J13" s="2604"/>
      <c r="K13" s="2692">
        <f>SUMIF('数据-汇总表'!C$19:C$33,'数据-取费表'!A13,'数据-汇总表'!E$19:E$33)</f>
        <v>0</v>
      </c>
      <c r="L13" s="2697"/>
      <c r="M13" s="2694">
        <f t="shared" si="0"/>
        <v>0</v>
      </c>
      <c r="N13" s="2698"/>
      <c r="O13" s="2694">
        <f t="shared" si="3"/>
        <v>0</v>
      </c>
      <c r="P13" s="2696">
        <f t="shared" si="4"/>
        <v>0</v>
      </c>
      <c r="Q13" s="2719"/>
      <c r="R13" s="2692">
        <f>SUMIF('数据-汇总表'!C$19:C$33,A13,'数据-汇总表'!R$19:R$33)</f>
        <v>0</v>
      </c>
      <c r="S13" s="2714">
        <f>IF('数据-汇总表'!$I$17="按面积比例",SUMIF('数据-汇总表'!C$19:C$33,A13,'数据-汇总表'!K$19:K$33),SUMIF('数据-汇总表'!C$19:C$33,A13,'数据-汇总表'!N$19:N$33))</f>
        <v>0</v>
      </c>
      <c r="T13" s="2715" t="str">
        <f t="shared" si="5"/>
        <v>0</v>
      </c>
      <c r="U13" s="2716"/>
      <c r="V13" s="2717"/>
      <c r="W13" s="2717"/>
      <c r="X13" s="2718"/>
      <c r="Y13" s="2738"/>
      <c r="Z13" s="2739"/>
      <c r="AA13" s="2604"/>
      <c r="AB13" s="2604"/>
      <c r="AC13" s="2721"/>
      <c r="AD13" s="2740"/>
      <c r="AE13" s="2741">
        <f t="shared" ca="1" si="6"/>
        <v>0</v>
      </c>
      <c r="AF13" s="2160"/>
      <c r="AG13" s="2750">
        <f t="shared" si="7"/>
        <v>0</v>
      </c>
      <c r="AH13" s="2160"/>
      <c r="AI13" s="2751"/>
      <c r="AJ13" s="2752"/>
      <c r="AK13" s="2753"/>
      <c r="AL13" s="2754"/>
      <c r="AM13" s="2757"/>
      <c r="AN13" s="2756"/>
      <c r="AO13" s="2619"/>
      <c r="AP13" s="2584">
        <f t="shared" si="8"/>
        <v>0</v>
      </c>
      <c r="AQ13" s="2619"/>
      <c r="AR13" s="2619"/>
      <c r="AS13" s="2619"/>
      <c r="AT13" s="2619"/>
      <c r="AU13" s="2619"/>
      <c r="AV13" s="2619"/>
      <c r="AW13" s="2619"/>
      <c r="AX13" s="2619"/>
      <c r="AY13" s="2619"/>
      <c r="AZ13" s="2619"/>
      <c r="BA13" s="2766"/>
      <c r="BB13" s="2766"/>
      <c r="BC13" s="2766"/>
      <c r="BD13" s="2766"/>
      <c r="BE13" s="2766"/>
      <c r="BF13" s="2766"/>
      <c r="BG13" s="2766"/>
      <c r="BH13" s="2766"/>
      <c r="BI13" s="2766"/>
      <c r="BJ13" s="2766"/>
      <c r="BK13" s="2766"/>
      <c r="BL13" s="2766"/>
      <c r="BM13" s="2766"/>
      <c r="BN13" s="2766"/>
      <c r="BO13" s="2766"/>
      <c r="BP13" s="2766"/>
      <c r="BQ13" s="2766"/>
      <c r="BR13" s="2766"/>
      <c r="BS13" s="2766"/>
      <c r="BT13" s="2766"/>
      <c r="BU13" s="2766"/>
      <c r="BV13" s="2766"/>
      <c r="BW13" s="2766"/>
      <c r="BX13" s="2766"/>
      <c r="BY13" s="2766"/>
      <c r="BZ13" s="2766"/>
      <c r="CA13" s="2766"/>
      <c r="CB13" s="2766"/>
      <c r="CC13" s="2766"/>
      <c r="CD13" s="2766"/>
      <c r="CE13" s="2766"/>
    </row>
    <row r="14" spans="1:83" s="2569" customFormat="1" ht="14.25">
      <c r="A14" s="2605" t="s">
        <v>468</v>
      </c>
      <c r="B14" s="2606" t="s">
        <v>583</v>
      </c>
      <c r="C14" s="2607" t="s">
        <v>468</v>
      </c>
      <c r="D14" s="2599"/>
      <c r="E14" s="2600"/>
      <c r="F14" s="2601"/>
      <c r="G14" s="2602"/>
      <c r="H14" s="2608"/>
      <c r="I14" s="2608"/>
      <c r="J14" s="2608"/>
      <c r="K14" s="2692">
        <f>SUMIF('数据-汇总表'!C$19:C$33,'数据-取费表'!A14,'数据-汇总表'!E$19:E$33)</f>
        <v>0</v>
      </c>
      <c r="L14" s="2697"/>
      <c r="M14" s="2694">
        <f t="shared" si="0"/>
        <v>0</v>
      </c>
      <c r="N14" s="2698"/>
      <c r="O14" s="2694">
        <f t="shared" si="3"/>
        <v>0</v>
      </c>
      <c r="P14" s="2696">
        <f t="shared" si="4"/>
        <v>0</v>
      </c>
      <c r="Q14" s="2722"/>
      <c r="R14" s="2692"/>
      <c r="S14" s="2714"/>
      <c r="T14" s="2723"/>
      <c r="U14" s="2724"/>
      <c r="V14" s="2725"/>
      <c r="W14" s="2725"/>
      <c r="X14" s="2718"/>
      <c r="Y14" s="2743"/>
      <c r="Z14" s="2744"/>
      <c r="AA14" s="2745"/>
      <c r="AB14" s="2745"/>
      <c r="AC14" s="2721"/>
      <c r="AD14" s="2718"/>
      <c r="AE14" s="2741"/>
      <c r="AF14" s="471"/>
      <c r="AG14" s="2750"/>
      <c r="AH14" s="471"/>
      <c r="AI14" s="470"/>
      <c r="AJ14" s="470"/>
      <c r="AK14" s="2761"/>
      <c r="AL14" s="2762"/>
      <c r="AM14" s="2763"/>
      <c r="AN14" s="2619"/>
      <c r="AO14" s="2619"/>
      <c r="AP14" s="2619"/>
      <c r="AQ14" s="2619"/>
      <c r="AR14" s="2619"/>
      <c r="AS14" s="2619"/>
      <c r="AT14" s="2619"/>
      <c r="AU14" s="2619"/>
      <c r="AV14" s="2619"/>
      <c r="AW14" s="2619"/>
      <c r="AX14" s="2619"/>
      <c r="AY14" s="2619"/>
      <c r="AZ14" s="2619"/>
      <c r="BA14" s="2766"/>
      <c r="BB14" s="2766"/>
      <c r="BC14" s="2766"/>
      <c r="BD14" s="2766"/>
      <c r="BE14" s="2766"/>
      <c r="BF14" s="2766"/>
      <c r="BG14" s="2766"/>
      <c r="BH14" s="2766"/>
      <c r="BI14" s="2766"/>
      <c r="BJ14" s="2766"/>
      <c r="BK14" s="2766"/>
      <c r="BL14" s="2766"/>
      <c r="BM14" s="2766"/>
      <c r="BN14" s="2766"/>
      <c r="BO14" s="2766"/>
      <c r="BP14" s="2766"/>
      <c r="BQ14" s="2766"/>
      <c r="BR14" s="2766"/>
      <c r="BS14" s="2766"/>
      <c r="BT14" s="2766"/>
      <c r="BU14" s="2766"/>
      <c r="BV14" s="2766"/>
      <c r="BW14" s="2766"/>
      <c r="BX14" s="2766"/>
      <c r="BY14" s="2766"/>
      <c r="BZ14" s="2766"/>
      <c r="CA14" s="2766"/>
      <c r="CB14" s="2766"/>
      <c r="CC14" s="2766"/>
      <c r="CD14" s="2766"/>
      <c r="CE14" s="2766"/>
    </row>
    <row r="15" spans="1:83" s="2569" customFormat="1" ht="27">
      <c r="A15" s="2609" t="s">
        <v>537</v>
      </c>
      <c r="B15" s="2606" t="s">
        <v>583</v>
      </c>
      <c r="C15" s="2607" t="s">
        <v>584</v>
      </c>
      <c r="D15" s="2599"/>
      <c r="E15" s="2600"/>
      <c r="F15" s="2601"/>
      <c r="G15" s="2602"/>
      <c r="H15" s="2608"/>
      <c r="I15" s="2608"/>
      <c r="J15" s="2608"/>
      <c r="K15" s="2692">
        <f>SUMIF('数据-汇总表'!C$19:C$33,'数据-取费表'!A15,'数据-汇总表'!E$19:E$33)</f>
        <v>0</v>
      </c>
      <c r="L15" s="2699"/>
      <c r="M15" s="2694"/>
      <c r="N15" s="2700"/>
      <c r="O15" s="2694"/>
      <c r="P15" s="2696"/>
      <c r="Q15" s="2722"/>
      <c r="R15" s="2692"/>
      <c r="S15" s="2714"/>
      <c r="T15" s="2723"/>
      <c r="U15" s="2724"/>
      <c r="V15" s="2725"/>
      <c r="W15" s="2725"/>
      <c r="X15" s="2718"/>
      <c r="Y15" s="2743"/>
      <c r="Z15" s="2744"/>
      <c r="AA15" s="2745"/>
      <c r="AB15" s="2745"/>
      <c r="AC15" s="2721"/>
      <c r="AD15" s="2718"/>
      <c r="AE15" s="2741"/>
      <c r="AF15" s="471"/>
      <c r="AG15" s="2750"/>
      <c r="AH15" s="471"/>
      <c r="AI15" s="470"/>
      <c r="AJ15" s="470"/>
      <c r="AK15" s="2761"/>
      <c r="AL15" s="2762"/>
      <c r="AM15" s="2763"/>
      <c r="AN15" s="2619"/>
      <c r="AO15" s="2619"/>
      <c r="AP15" s="2619"/>
      <c r="AQ15" s="2619"/>
      <c r="AR15" s="2619"/>
      <c r="AS15" s="2619"/>
      <c r="AT15" s="2619"/>
      <c r="AU15" s="2619"/>
      <c r="AV15" s="2619"/>
      <c r="AW15" s="2619"/>
      <c r="AX15" s="2619"/>
      <c r="AY15" s="2619"/>
      <c r="AZ15" s="2619"/>
      <c r="BA15" s="2766"/>
      <c r="BB15" s="2766"/>
      <c r="BC15" s="2766"/>
      <c r="BD15" s="2766"/>
      <c r="BE15" s="2766"/>
      <c r="BF15" s="2766"/>
      <c r="BG15" s="2766"/>
      <c r="BH15" s="2766"/>
      <c r="BI15" s="2766"/>
      <c r="BJ15" s="2766"/>
      <c r="BK15" s="2766"/>
      <c r="BL15" s="2766"/>
      <c r="BM15" s="2766"/>
      <c r="BN15" s="2766"/>
      <c r="BO15" s="2766"/>
      <c r="BP15" s="2766"/>
      <c r="BQ15" s="2766"/>
      <c r="BR15" s="2766"/>
      <c r="BS15" s="2766"/>
      <c r="BT15" s="2766"/>
      <c r="BU15" s="2766"/>
      <c r="BV15" s="2766"/>
      <c r="BW15" s="2766"/>
      <c r="BX15" s="2766"/>
      <c r="BY15" s="2766"/>
      <c r="BZ15" s="2766"/>
      <c r="CA15" s="2766"/>
      <c r="CB15" s="2766"/>
      <c r="CC15" s="2766"/>
      <c r="CD15" s="2766"/>
      <c r="CE15" s="2766"/>
    </row>
    <row r="16" spans="1:83" s="2569" customFormat="1" ht="15">
      <c r="A16" s="2610" t="s">
        <v>585</v>
      </c>
      <c r="B16" s="2611"/>
      <c r="C16" s="2612"/>
      <c r="D16" s="2613"/>
      <c r="E16" s="2611"/>
      <c r="F16" s="2611"/>
      <c r="G16" s="2614">
        <f ca="1">ROUND(SUMPRODUCT(G6:G13,K6:K13)/SUMPRODUCT((G6:G13&gt;0)*(K6:K13)),3)</f>
        <v>1</v>
      </c>
      <c r="H16" s="2615">
        <f ca="1">ROUND(SUMPRODUCT(H6:H13,K6:K13)/SUMPRODUCT((H6:H13&gt;0)*(K6:K13)),3)</f>
        <v>0.05</v>
      </c>
      <c r="I16" s="2701"/>
      <c r="J16" s="2701"/>
      <c r="K16" s="2702">
        <f>SUM(K6:K15)</f>
        <v>63500</v>
      </c>
      <c r="L16" s="2703">
        <f>ROUND(M16*10000/SUM(K6:K14),0)</f>
        <v>4000</v>
      </c>
      <c r="M16" s="2703">
        <f>SUM(M6:M14)</f>
        <v>25400</v>
      </c>
      <c r="N16" s="2704">
        <f>ROUND(SUMPRODUCT(M6:M14,N6:N14)/M16,3)</f>
        <v>0</v>
      </c>
      <c r="O16" s="2703">
        <f>SUM(O6:O14)</f>
        <v>0</v>
      </c>
      <c r="P16" s="2703">
        <f>SUM(P6:P14)</f>
        <v>25400</v>
      </c>
      <c r="Q16" s="2726">
        <f>ROUND(SUMPRODUCT(Q6:Q13,K6:K13)/SUMPRODUCT((Q6:Q13&gt;0)*(K6:K13)),2)</f>
        <v>0.25</v>
      </c>
      <c r="R16" s="2727">
        <f>SUM(R6:R13)</f>
        <v>25406.38</v>
      </c>
      <c r="S16" s="2728">
        <f>SUM(S6:S13)</f>
        <v>0</v>
      </c>
      <c r="T16" s="2729">
        <f>IF(SUMIF(T6:T13,"&lt;9E307")=M14,SUMIF(T6:T13,"&lt;9E307"),"有误，请检查")</f>
        <v>0</v>
      </c>
      <c r="U16" s="2730"/>
      <c r="V16" s="2731"/>
      <c r="W16" s="2731"/>
      <c r="X16" s="2732"/>
      <c r="Y16" s="2746"/>
      <c r="Z16" s="2747"/>
      <c r="AA16" s="2731"/>
      <c r="AB16" s="2731"/>
      <c r="AC16" s="2732"/>
      <c r="AD16" s="2732"/>
      <c r="AE16" s="2730"/>
      <c r="AF16" s="2731"/>
      <c r="AG16" s="2746"/>
      <c r="AH16" s="2731"/>
      <c r="AI16" s="2747"/>
      <c r="AJ16" s="2747"/>
      <c r="AK16" s="2731"/>
      <c r="AL16" s="2731"/>
      <c r="AM16" s="2746"/>
      <c r="AN16" s="2619"/>
      <c r="AO16" s="2619"/>
      <c r="AP16" s="2584">
        <f ca="1">ROUND(SUMPRODUCT(AP6:AP13,K6:K13)/SUMPRODUCT((AP6:AP13&gt;0)*(K6:K13)),3)</f>
        <v>0.96699999999999997</v>
      </c>
      <c r="AQ16" s="2619"/>
      <c r="AR16" s="2619"/>
      <c r="AS16" s="2619"/>
      <c r="AT16" s="2619"/>
      <c r="AU16" s="2619"/>
      <c r="AV16" s="2619"/>
      <c r="AW16" s="2619"/>
      <c r="AX16" s="2619"/>
      <c r="AY16" s="2619"/>
      <c r="AZ16" s="2619"/>
      <c r="BA16" s="2766"/>
      <c r="BB16" s="2766"/>
      <c r="BC16" s="2766"/>
      <c r="BD16" s="2766"/>
      <c r="BE16" s="2766"/>
      <c r="BF16" s="2766"/>
      <c r="BG16" s="2766"/>
      <c r="BH16" s="2766"/>
      <c r="BI16" s="2766"/>
      <c r="BJ16" s="2766"/>
      <c r="BK16" s="2766"/>
      <c r="BL16" s="2766"/>
      <c r="BM16" s="2766"/>
      <c r="BN16" s="2766"/>
      <c r="BO16" s="2766"/>
      <c r="BP16" s="2766"/>
      <c r="BQ16" s="2766"/>
      <c r="BR16" s="2766"/>
      <c r="BS16" s="2766"/>
      <c r="BT16" s="2766"/>
      <c r="BU16" s="2766"/>
      <c r="BV16" s="2766"/>
      <c r="BW16" s="2766"/>
      <c r="BX16" s="2766"/>
      <c r="BY16" s="2766"/>
      <c r="BZ16" s="2766"/>
      <c r="CA16" s="2766"/>
      <c r="CB16" s="2766"/>
      <c r="CC16" s="2766"/>
      <c r="CD16" s="2766"/>
      <c r="CE16" s="2766"/>
    </row>
    <row r="17" spans="1:83">
      <c r="A17" s="2616"/>
      <c r="B17" s="2617"/>
      <c r="C17" s="2617"/>
      <c r="D17" s="2618"/>
      <c r="E17" s="2618"/>
      <c r="F17" s="2617"/>
      <c r="G17" s="2617"/>
      <c r="H17" s="2617"/>
      <c r="I17" s="2617"/>
      <c r="J17" s="2617"/>
      <c r="K17" s="2705"/>
      <c r="L17" s="2705"/>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7"/>
      <c r="AZ17" s="2617"/>
    </row>
    <row r="18" spans="1:83" ht="14.25">
      <c r="A18" s="2585" t="s">
        <v>586</v>
      </c>
      <c r="B18" s="2619"/>
      <c r="C18" s="2619"/>
      <c r="D18" s="2620"/>
      <c r="E18" s="2619"/>
      <c r="F18" s="2619"/>
      <c r="G18" s="2619"/>
      <c r="H18" s="2619"/>
      <c r="I18" s="2619"/>
      <c r="J18" s="2619"/>
      <c r="K18" s="2705"/>
      <c r="L18" s="2705"/>
      <c r="M18" s="2617"/>
      <c r="N18" s="2617"/>
      <c r="O18" s="2617"/>
      <c r="P18" s="2617"/>
      <c r="Q18" s="2617"/>
      <c r="R18" s="2617"/>
      <c r="S18" s="2617"/>
      <c r="T18" s="2617"/>
      <c r="U18" s="2617"/>
      <c r="V18" s="2617"/>
      <c r="W18" s="2617"/>
      <c r="X18" s="2617"/>
      <c r="Y18" s="2617"/>
      <c r="Z18" s="2617"/>
      <c r="AA18" s="2617"/>
      <c r="AB18" s="2617"/>
      <c r="AC18" s="2617"/>
      <c r="AD18" s="2617"/>
      <c r="AE18" s="2617"/>
      <c r="AF18" s="2617"/>
      <c r="AG18" s="2617"/>
      <c r="AH18" s="2617"/>
      <c r="AI18" s="2617"/>
      <c r="AJ18" s="2617"/>
      <c r="AK18" s="2617"/>
      <c r="AL18" s="2617"/>
      <c r="AM18" s="2617"/>
      <c r="AN18" s="2617"/>
      <c r="AO18" s="2617"/>
      <c r="AP18" s="2617"/>
      <c r="AQ18" s="2617"/>
      <c r="AR18" s="2617"/>
      <c r="AS18" s="2617"/>
      <c r="AT18" s="2617"/>
      <c r="AU18" s="2617"/>
      <c r="AV18" s="2617"/>
      <c r="AW18" s="2617"/>
      <c r="AX18" s="2617"/>
      <c r="AY18" s="2617"/>
      <c r="AZ18" s="2617"/>
    </row>
    <row r="19" spans="1:83" ht="14.25">
      <c r="A19" s="2621" t="s">
        <v>587</v>
      </c>
      <c r="B19" s="2622">
        <v>0</v>
      </c>
      <c r="C19" s="2623" t="s">
        <v>588</v>
      </c>
      <c r="D19" s="2620"/>
      <c r="E19" s="2619"/>
      <c r="F19" s="2619"/>
      <c r="G19" s="2619"/>
      <c r="H19" s="2619"/>
      <c r="I19" s="2619"/>
      <c r="J19" s="2619"/>
      <c r="K19" s="2705"/>
      <c r="L19" s="2705"/>
      <c r="M19" s="2617"/>
      <c r="N19" s="2617"/>
      <c r="O19" s="2617"/>
      <c r="P19" s="2617"/>
      <c r="Q19" s="2617"/>
      <c r="R19" s="2617"/>
      <c r="S19" s="2617"/>
      <c r="T19" s="2617"/>
      <c r="U19" s="2617"/>
      <c r="V19" s="2617"/>
      <c r="W19" s="2617"/>
      <c r="X19" s="2617"/>
      <c r="Y19" s="2617"/>
      <c r="Z19" s="2617"/>
      <c r="AA19" s="2617"/>
      <c r="AB19" s="2617"/>
      <c r="AC19" s="2617"/>
      <c r="AD19" s="2617"/>
      <c r="AE19" s="2617"/>
      <c r="AF19" s="2617"/>
      <c r="AG19" s="2617"/>
      <c r="AH19" s="2617"/>
      <c r="AI19" s="2617"/>
      <c r="AJ19" s="2617"/>
      <c r="AK19" s="2617"/>
      <c r="AL19" s="2617"/>
      <c r="AM19" s="2617"/>
      <c r="AN19" s="2617"/>
      <c r="AO19" s="2617"/>
      <c r="AP19" s="2617"/>
      <c r="AQ19" s="2617"/>
      <c r="AR19" s="2617"/>
      <c r="AS19" s="2617"/>
      <c r="AT19" s="2617"/>
      <c r="AU19" s="2617"/>
      <c r="AV19" s="2617"/>
      <c r="AW19" s="2617"/>
      <c r="AX19" s="2617"/>
      <c r="AY19" s="2617"/>
      <c r="AZ19" s="2617"/>
    </row>
    <row r="20" spans="1:83" ht="14.25">
      <c r="A20" s="2624" t="s">
        <v>589</v>
      </c>
      <c r="B20" s="2625">
        <v>1.5</v>
      </c>
      <c r="C20" s="2623" t="s">
        <v>590</v>
      </c>
      <c r="D20" s="2620"/>
      <c r="E20" s="2619"/>
      <c r="F20" s="2619"/>
      <c r="G20" s="2619"/>
      <c r="H20" s="2619"/>
      <c r="I20" s="2619"/>
      <c r="J20" s="2619"/>
      <c r="K20" s="2705"/>
      <c r="L20" s="2705"/>
      <c r="M20" s="2617"/>
      <c r="N20" s="2617"/>
      <c r="O20" s="2617"/>
      <c r="P20" s="2617"/>
      <c r="Q20" s="2617"/>
      <c r="R20" s="2617"/>
      <c r="S20" s="2617"/>
      <c r="T20" s="2617"/>
      <c r="U20" s="2617"/>
      <c r="V20" s="2617"/>
      <c r="W20" s="2617"/>
      <c r="X20" s="2617"/>
      <c r="Y20" s="2617"/>
      <c r="Z20" s="2617"/>
      <c r="AA20" s="2617"/>
      <c r="AB20" s="2617"/>
      <c r="AC20" s="2617"/>
      <c r="AD20" s="2617"/>
      <c r="AE20" s="2617"/>
      <c r="AF20" s="2617"/>
      <c r="AG20" s="2617"/>
      <c r="AH20" s="2617"/>
      <c r="AI20" s="2617"/>
      <c r="AJ20" s="2617"/>
      <c r="AK20" s="2617"/>
      <c r="AL20" s="2617"/>
      <c r="AM20" s="2617"/>
      <c r="AN20" s="2617"/>
      <c r="AO20" s="2617"/>
      <c r="AP20" s="2617"/>
      <c r="AQ20" s="2617"/>
      <c r="AR20" s="2617"/>
      <c r="AS20" s="2617"/>
      <c r="AT20" s="2617"/>
      <c r="AU20" s="2617"/>
      <c r="AV20" s="2617"/>
      <c r="AW20" s="2617"/>
      <c r="AX20" s="2617"/>
      <c r="AY20" s="2617"/>
      <c r="AZ20" s="2617"/>
    </row>
    <row r="21" spans="1:83" ht="14.25">
      <c r="A21" s="2626" t="s">
        <v>591</v>
      </c>
      <c r="B21" s="2625">
        <v>0</v>
      </c>
      <c r="C21" s="2619"/>
      <c r="D21" s="2620"/>
      <c r="E21" s="2619"/>
      <c r="F21" s="2619"/>
      <c r="G21" s="2619"/>
      <c r="H21" s="2619"/>
      <c r="I21" s="2619"/>
      <c r="J21" s="2619"/>
      <c r="K21" s="2705"/>
      <c r="L21" s="2705"/>
      <c r="M21" s="2617"/>
      <c r="N21" s="2617"/>
      <c r="O21" s="2617"/>
      <c r="P21" s="2617"/>
      <c r="Q21" s="2617"/>
      <c r="R21" s="2617"/>
      <c r="S21" s="2617"/>
      <c r="T21" s="2617"/>
      <c r="U21" s="2617"/>
      <c r="V21" s="2617"/>
      <c r="W21" s="2617"/>
      <c r="X21" s="2617"/>
      <c r="Y21" s="2617"/>
      <c r="Z21" s="2617"/>
      <c r="AA21" s="2617"/>
      <c r="AB21" s="2617"/>
      <c r="AC21" s="2617"/>
      <c r="AD21" s="2617"/>
      <c r="AE21" s="2617"/>
      <c r="AF21" s="2617"/>
      <c r="AG21" s="2617"/>
      <c r="AH21" s="2617"/>
      <c r="AI21" s="2617"/>
      <c r="AJ21" s="2617"/>
      <c r="AK21" s="2617"/>
      <c r="AL21" s="2617"/>
      <c r="AM21" s="2617"/>
      <c r="AN21" s="2617"/>
      <c r="AO21" s="2617"/>
      <c r="AP21" s="2617"/>
      <c r="AQ21" s="2617"/>
      <c r="AR21" s="2617"/>
      <c r="AS21" s="2617"/>
      <c r="AT21" s="2617"/>
      <c r="AU21" s="2617"/>
      <c r="AV21" s="2617"/>
      <c r="AW21" s="2617"/>
      <c r="AX21" s="2617"/>
      <c r="AY21" s="2617"/>
      <c r="AZ21" s="2617"/>
    </row>
    <row r="22" spans="1:83" ht="14.25">
      <c r="A22" s="2624" t="s">
        <v>592</v>
      </c>
      <c r="B22" s="2627">
        <f>B19+B20</f>
        <v>1.5</v>
      </c>
      <c r="C22" s="2619"/>
      <c r="D22" s="2620"/>
      <c r="E22" s="2619"/>
      <c r="F22" s="2619"/>
      <c r="G22" s="2619"/>
      <c r="H22" s="2619"/>
      <c r="I22" s="2619"/>
      <c r="J22" s="2619"/>
      <c r="K22" s="2705"/>
      <c r="L22" s="2705"/>
      <c r="M22" s="2617"/>
      <c r="N22" s="2617"/>
      <c r="O22" s="2617"/>
      <c r="P22" s="2617"/>
      <c r="Q22" s="2617"/>
      <c r="R22" s="2617"/>
      <c r="S22" s="2617"/>
      <c r="T22" s="2617"/>
      <c r="U22" s="2617"/>
      <c r="V22" s="2617"/>
      <c r="W22" s="2617"/>
      <c r="X22" s="2617"/>
      <c r="Y22" s="2617"/>
      <c r="Z22" s="2617"/>
      <c r="AA22" s="2617"/>
      <c r="AB22" s="2617"/>
      <c r="AC22" s="2617"/>
      <c r="AD22" s="2617"/>
      <c r="AE22" s="2617"/>
      <c r="AF22" s="2617"/>
      <c r="AG22" s="2617"/>
      <c r="AH22" s="2617"/>
      <c r="AI22" s="2617"/>
      <c r="AJ22" s="2617"/>
      <c r="AK22" s="2617"/>
      <c r="AL22" s="2617"/>
      <c r="AM22" s="2617"/>
      <c r="AN22" s="2617"/>
      <c r="AO22" s="2617"/>
      <c r="AP22" s="2617"/>
      <c r="AQ22" s="2617"/>
      <c r="AR22" s="2617"/>
      <c r="AS22" s="2617"/>
      <c r="AT22" s="2617"/>
      <c r="AU22" s="2617"/>
      <c r="AV22" s="2617"/>
      <c r="AW22" s="2617"/>
      <c r="AX22" s="2617"/>
      <c r="AY22" s="2617"/>
      <c r="AZ22" s="2617"/>
    </row>
    <row r="23" spans="1:83" ht="14.25">
      <c r="A23" s="2626" t="s">
        <v>593</v>
      </c>
      <c r="B23" s="2627">
        <f>B19+B21</f>
        <v>0</v>
      </c>
      <c r="C23" s="2619"/>
      <c r="D23" s="2620"/>
      <c r="E23" s="2619"/>
      <c r="F23" s="2619"/>
      <c r="G23" s="2619"/>
      <c r="H23" s="2619"/>
      <c r="I23" s="2619"/>
      <c r="J23" s="2619"/>
      <c r="K23" s="2705"/>
      <c r="L23" s="2705"/>
      <c r="M23" s="2617"/>
      <c r="N23" s="2617"/>
      <c r="O23" s="2617"/>
      <c r="P23" s="2617"/>
      <c r="Q23" s="2617"/>
      <c r="R23" s="2617"/>
      <c r="S23" s="2617"/>
      <c r="T23" s="2617"/>
      <c r="U23" s="2617"/>
      <c r="V23" s="2617"/>
      <c r="W23" s="2617"/>
      <c r="X23" s="2617"/>
      <c r="Y23" s="2617"/>
      <c r="Z23" s="2617"/>
      <c r="AA23" s="2617"/>
      <c r="AB23" s="2617"/>
      <c r="AC23" s="2617"/>
      <c r="AD23" s="2617"/>
      <c r="AE23" s="2617"/>
      <c r="AF23" s="2617"/>
      <c r="AG23" s="2617"/>
      <c r="AH23" s="2617"/>
      <c r="AI23" s="2617"/>
      <c r="AJ23" s="2617"/>
      <c r="AK23" s="2617"/>
      <c r="AL23" s="2617"/>
      <c r="AM23" s="2617"/>
      <c r="AN23" s="2617"/>
      <c r="AO23" s="2617"/>
      <c r="AP23" s="2617"/>
      <c r="AQ23" s="2617"/>
      <c r="AR23" s="2617"/>
      <c r="AS23" s="2617"/>
      <c r="AT23" s="2617"/>
      <c r="AU23" s="2617"/>
      <c r="AV23" s="2617"/>
      <c r="AW23" s="2617"/>
      <c r="AX23" s="2617"/>
      <c r="AY23" s="2617"/>
      <c r="AZ23" s="2617"/>
    </row>
    <row r="24" spans="1:83" ht="14.25">
      <c r="A24" s="2628" t="s">
        <v>594</v>
      </c>
      <c r="B24" s="2629">
        <f>B20-B21</f>
        <v>1.5</v>
      </c>
      <c r="C24" s="2619"/>
      <c r="D24" s="2620"/>
      <c r="E24" s="2619"/>
      <c r="F24" s="2619"/>
      <c r="G24" s="2619"/>
      <c r="H24" s="2619"/>
      <c r="I24" s="2619"/>
      <c r="J24" s="2619"/>
      <c r="K24" s="2705"/>
      <c r="L24" s="2705"/>
      <c r="M24" s="2617"/>
      <c r="N24" s="2617"/>
      <c r="O24" s="2617"/>
      <c r="P24" s="2617"/>
      <c r="Q24" s="2617"/>
      <c r="R24" s="2617"/>
      <c r="S24" s="2617"/>
      <c r="T24" s="2617"/>
      <c r="U24" s="2617"/>
      <c r="V24" s="2617"/>
      <c r="W24" s="2617"/>
      <c r="X24" s="2617"/>
      <c r="Y24" s="2617"/>
      <c r="Z24" s="2617"/>
      <c r="AA24" s="2617"/>
      <c r="AB24" s="2617"/>
      <c r="AC24" s="2617"/>
      <c r="AD24" s="2617"/>
      <c r="AE24" s="2617"/>
      <c r="AF24" s="2617"/>
      <c r="AG24" s="2617"/>
      <c r="AH24" s="2617"/>
      <c r="AI24" s="2617"/>
      <c r="AJ24" s="2617"/>
      <c r="AK24" s="2617"/>
      <c r="AL24" s="2617"/>
      <c r="AM24" s="2617"/>
      <c r="AN24" s="2617"/>
      <c r="AO24" s="2617"/>
      <c r="AP24" s="2617"/>
      <c r="AQ24" s="2617"/>
      <c r="AR24" s="2617"/>
      <c r="AS24" s="2617"/>
      <c r="AT24" s="2617"/>
      <c r="AU24" s="2617"/>
      <c r="AV24" s="2617"/>
      <c r="AW24" s="2617"/>
      <c r="AX24" s="2617"/>
      <c r="AY24" s="2617"/>
      <c r="AZ24" s="2617"/>
    </row>
    <row r="25" spans="1:83" ht="14.25">
      <c r="A25" s="2583"/>
      <c r="B25" s="2584"/>
      <c r="C25" s="2619"/>
      <c r="D25" s="2620"/>
      <c r="E25" s="2619"/>
      <c r="F25" s="2619"/>
      <c r="G25" s="2619"/>
      <c r="H25" s="2619"/>
      <c r="I25" s="2619"/>
      <c r="J25" s="2619"/>
      <c r="K25" s="2705"/>
      <c r="L25" s="2705"/>
      <c r="M25" s="2617"/>
      <c r="N25" s="2617"/>
      <c r="O25" s="2617"/>
      <c r="P25" s="2617"/>
      <c r="Q25" s="2617"/>
      <c r="R25" s="2617"/>
      <c r="S25" s="2617"/>
      <c r="T25" s="2617"/>
      <c r="U25" s="2617"/>
      <c r="V25" s="2617"/>
      <c r="W25" s="2617"/>
      <c r="X25" s="2617"/>
      <c r="Y25" s="2617"/>
      <c r="Z25" s="2617"/>
      <c r="AA25" s="2617"/>
      <c r="AB25" s="2617"/>
      <c r="AC25" s="2617"/>
      <c r="AD25" s="2617"/>
      <c r="AE25" s="2617"/>
      <c r="AF25" s="2617"/>
      <c r="AG25" s="2617"/>
      <c r="AH25" s="2617"/>
      <c r="AI25" s="2617"/>
      <c r="AJ25" s="2617"/>
      <c r="AK25" s="2617"/>
      <c r="AL25" s="2617"/>
      <c r="AM25" s="2617"/>
      <c r="AN25" s="2617"/>
      <c r="AO25" s="2617"/>
      <c r="AP25" s="2617"/>
      <c r="AQ25" s="2617"/>
      <c r="AR25" s="2617"/>
      <c r="AS25" s="2617"/>
      <c r="AT25" s="2617"/>
      <c r="AU25" s="2617"/>
      <c r="AV25" s="2617"/>
      <c r="AW25" s="2617"/>
      <c r="AX25" s="2617"/>
      <c r="AY25" s="2617"/>
      <c r="AZ25" s="2617"/>
    </row>
    <row r="26" spans="1:83" ht="14.25">
      <c r="A26" s="2579" t="s">
        <v>595</v>
      </c>
      <c r="B26" s="2630" t="s">
        <v>596</v>
      </c>
      <c r="C26" s="2631" t="s">
        <v>597</v>
      </c>
      <c r="D26" s="2620"/>
      <c r="E26" s="2619"/>
      <c r="F26" s="2619"/>
      <c r="G26" s="2619"/>
      <c r="H26" s="2619"/>
      <c r="I26" s="2619"/>
      <c r="J26" s="2619"/>
      <c r="K26" s="2705"/>
      <c r="L26" s="2705"/>
      <c r="M26" s="2617"/>
      <c r="N26" s="2617"/>
      <c r="O26" s="2617"/>
      <c r="P26" s="2617"/>
      <c r="Q26" s="2617"/>
      <c r="R26" s="2617"/>
      <c r="S26" s="2617"/>
      <c r="T26" s="2617"/>
      <c r="U26" s="2617"/>
      <c r="V26" s="2617"/>
      <c r="W26" s="2617"/>
      <c r="X26" s="2617"/>
      <c r="Y26" s="2617"/>
      <c r="Z26" s="2617"/>
      <c r="AA26" s="2617"/>
      <c r="AB26" s="2617"/>
      <c r="AC26" s="2617"/>
      <c r="AD26" s="2617"/>
      <c r="AE26" s="2617"/>
      <c r="AF26" s="2617"/>
      <c r="AG26" s="2617"/>
      <c r="AH26" s="2617"/>
      <c r="AI26" s="2617"/>
      <c r="AJ26" s="2617"/>
      <c r="AK26" s="2617"/>
      <c r="AL26" s="2617"/>
      <c r="AM26" s="2617"/>
      <c r="AN26" s="2617"/>
      <c r="AO26" s="2617"/>
      <c r="AP26" s="2617"/>
      <c r="AQ26" s="2617"/>
      <c r="AR26" s="2617"/>
      <c r="AS26" s="2617"/>
      <c r="AT26" s="2617"/>
      <c r="AU26" s="2617"/>
      <c r="AV26" s="2617"/>
      <c r="AW26" s="2617"/>
      <c r="AX26" s="2617"/>
      <c r="AY26" s="2617"/>
      <c r="AZ26" s="2617"/>
    </row>
    <row r="27" spans="1:83" s="2571" customFormat="1" ht="27.75">
      <c r="A27" s="2632" t="s">
        <v>598</v>
      </c>
      <c r="B27" s="2633">
        <v>160</v>
      </c>
      <c r="C27" s="2634" t="s">
        <v>599</v>
      </c>
      <c r="D27" s="2635"/>
      <c r="E27" s="2636"/>
      <c r="F27" s="2636"/>
      <c r="G27" s="2619"/>
      <c r="H27" s="2619"/>
      <c r="I27" s="2619"/>
      <c r="J27" s="2619"/>
      <c r="K27" s="2705"/>
      <c r="L27" s="2705"/>
      <c r="M27" s="2617"/>
      <c r="N27" s="2617"/>
      <c r="O27" s="2617"/>
      <c r="P27" s="2617"/>
      <c r="Q27" s="2617"/>
      <c r="R27" s="2617"/>
      <c r="S27" s="2617"/>
      <c r="T27" s="2617"/>
      <c r="U27" s="2617"/>
      <c r="V27" s="2617"/>
      <c r="W27" s="2617"/>
      <c r="X27" s="2617"/>
      <c r="Y27" s="2617"/>
      <c r="Z27" s="2617"/>
      <c r="AA27" s="2617"/>
      <c r="AB27" s="2617"/>
      <c r="AC27" s="2617"/>
      <c r="AD27" s="2617"/>
      <c r="AE27" s="2617"/>
      <c r="AF27" s="2617"/>
      <c r="AG27" s="2617"/>
      <c r="AH27" s="2617"/>
      <c r="AI27" s="2617"/>
      <c r="AJ27" s="2617"/>
      <c r="AK27" s="2617"/>
      <c r="AL27" s="2617"/>
      <c r="AM27" s="2617"/>
      <c r="AN27" s="2617"/>
      <c r="AO27" s="2617"/>
      <c r="AP27" s="2617"/>
      <c r="AQ27" s="2617"/>
      <c r="AR27" s="2617"/>
      <c r="AS27" s="2617"/>
      <c r="AT27" s="2617"/>
      <c r="AU27" s="2617"/>
      <c r="AV27" s="2617"/>
      <c r="AW27" s="2617"/>
      <c r="AX27" s="2617"/>
      <c r="AY27" s="2617"/>
      <c r="AZ27" s="2617"/>
      <c r="BA27" s="2768"/>
      <c r="BB27" s="2768"/>
      <c r="BC27" s="2768"/>
      <c r="BD27" s="2768"/>
      <c r="BE27" s="2768"/>
      <c r="BF27" s="2768"/>
      <c r="BG27" s="2768"/>
      <c r="BH27" s="2768"/>
      <c r="BI27" s="2768"/>
      <c r="BJ27" s="2768"/>
      <c r="BK27" s="2768"/>
      <c r="BL27" s="2768"/>
      <c r="BM27" s="2768"/>
      <c r="BN27" s="2768"/>
      <c r="BO27" s="2768"/>
      <c r="BP27" s="2768"/>
      <c r="BQ27" s="2768"/>
      <c r="BR27" s="2768"/>
      <c r="BS27" s="2768"/>
      <c r="BT27" s="2768"/>
      <c r="BU27" s="2768"/>
      <c r="BV27" s="2768"/>
      <c r="BW27" s="2768"/>
      <c r="BX27" s="2768"/>
      <c r="BY27" s="2768"/>
      <c r="BZ27" s="2768"/>
      <c r="CA27" s="2768"/>
      <c r="CB27" s="2768"/>
      <c r="CC27" s="2768"/>
      <c r="CD27" s="2768"/>
      <c r="CE27" s="2768"/>
    </row>
    <row r="28" spans="1:83" s="2571" customFormat="1" ht="27.75">
      <c r="A28" s="2637" t="s">
        <v>600</v>
      </c>
      <c r="B28" s="2638">
        <v>200</v>
      </c>
      <c r="C28" s="2639"/>
      <c r="D28" s="2635"/>
      <c r="E28" s="2636"/>
      <c r="F28" s="2636"/>
      <c r="G28" s="2619"/>
      <c r="H28" s="2619"/>
      <c r="I28" s="2619"/>
      <c r="J28" s="2619"/>
      <c r="K28" s="2705"/>
      <c r="L28" s="2705"/>
      <c r="M28" s="2617"/>
      <c r="N28" s="2617"/>
      <c r="O28" s="2617"/>
      <c r="P28" s="2617"/>
      <c r="Q28" s="2617"/>
      <c r="R28" s="2617"/>
      <c r="S28" s="2617"/>
      <c r="T28" s="2617"/>
      <c r="U28" s="2617"/>
      <c r="V28" s="2617"/>
      <c r="W28" s="2617"/>
      <c r="X28" s="2617"/>
      <c r="Y28" s="2617"/>
      <c r="Z28" s="2617"/>
      <c r="AA28" s="2617"/>
      <c r="AB28" s="2617"/>
      <c r="AC28" s="2617"/>
      <c r="AD28" s="2617"/>
      <c r="AE28" s="2617"/>
      <c r="AF28" s="2617"/>
      <c r="AG28" s="2617"/>
      <c r="AH28" s="2617"/>
      <c r="AI28" s="2617"/>
      <c r="AJ28" s="2617"/>
      <c r="AK28" s="2617"/>
      <c r="AL28" s="2617"/>
      <c r="AM28" s="2617"/>
      <c r="AN28" s="2617"/>
      <c r="AO28" s="2617"/>
      <c r="AP28" s="2617"/>
      <c r="AQ28" s="2617"/>
      <c r="AR28" s="2617"/>
      <c r="AS28" s="2617"/>
      <c r="AT28" s="2617"/>
      <c r="AU28" s="2617"/>
      <c r="AV28" s="2617"/>
      <c r="AW28" s="2617"/>
      <c r="AX28" s="2617"/>
      <c r="AY28" s="2617"/>
      <c r="AZ28" s="2617"/>
      <c r="BA28" s="2768"/>
      <c r="BB28" s="2768"/>
      <c r="BC28" s="2768"/>
      <c r="BD28" s="2768"/>
      <c r="BE28" s="2768"/>
      <c r="BF28" s="2768"/>
      <c r="BG28" s="2768"/>
      <c r="BH28" s="2768"/>
      <c r="BI28" s="2768"/>
      <c r="BJ28" s="2768"/>
      <c r="BK28" s="2768"/>
      <c r="BL28" s="2768"/>
      <c r="BM28" s="2768"/>
      <c r="BN28" s="2768"/>
      <c r="BO28" s="2768"/>
      <c r="BP28" s="2768"/>
      <c r="BQ28" s="2768"/>
      <c r="BR28" s="2768"/>
      <c r="BS28" s="2768"/>
      <c r="BT28" s="2768"/>
      <c r="BU28" s="2768"/>
      <c r="BV28" s="2768"/>
      <c r="BW28" s="2768"/>
      <c r="BX28" s="2768"/>
      <c r="BY28" s="2768"/>
      <c r="BZ28" s="2768"/>
      <c r="CA28" s="2768"/>
      <c r="CB28" s="2768"/>
      <c r="CC28" s="2768"/>
      <c r="CD28" s="2768"/>
      <c r="CE28" s="2768"/>
    </row>
    <row r="29" spans="1:83" s="2571" customFormat="1" ht="27.75">
      <c r="A29" s="2640" t="s">
        <v>601</v>
      </c>
      <c r="B29" s="2641"/>
      <c r="C29" s="2642" t="s">
        <v>602</v>
      </c>
      <c r="D29" s="2635"/>
      <c r="E29" s="2636"/>
      <c r="F29" s="2636"/>
      <c r="G29" s="2619"/>
      <c r="H29" s="2619"/>
      <c r="I29" s="2619"/>
      <c r="J29" s="2619"/>
      <c r="K29" s="2705"/>
      <c r="L29" s="2705"/>
      <c r="M29" s="2617"/>
      <c r="N29" s="2617"/>
      <c r="O29" s="2617"/>
      <c r="P29" s="2617"/>
      <c r="Q29" s="2617"/>
      <c r="R29" s="2617"/>
      <c r="S29" s="2617"/>
      <c r="T29" s="2617"/>
      <c r="U29" s="2617"/>
      <c r="V29" s="2617"/>
      <c r="W29" s="2617"/>
      <c r="X29" s="2617"/>
      <c r="Y29" s="2617"/>
      <c r="Z29" s="2617"/>
      <c r="AA29" s="2617"/>
      <c r="AB29" s="2617"/>
      <c r="AC29" s="2617"/>
      <c r="AD29" s="2617"/>
      <c r="AE29" s="2617"/>
      <c r="AF29" s="2617"/>
      <c r="AG29" s="2617"/>
      <c r="AH29" s="2617"/>
      <c r="AI29" s="2617"/>
      <c r="AJ29" s="2617"/>
      <c r="AK29" s="2617"/>
      <c r="AL29" s="2617"/>
      <c r="AM29" s="2617"/>
      <c r="AN29" s="2617"/>
      <c r="AO29" s="2617"/>
      <c r="AP29" s="2617"/>
      <c r="AQ29" s="2617"/>
      <c r="AR29" s="2617"/>
      <c r="AS29" s="2617"/>
      <c r="AT29" s="2617"/>
      <c r="AU29" s="2617"/>
      <c r="AV29" s="2617"/>
      <c r="AW29" s="2617"/>
      <c r="AX29" s="2617"/>
      <c r="AY29" s="2617"/>
      <c r="AZ29" s="2617"/>
      <c r="BA29" s="2768"/>
      <c r="BB29" s="2768"/>
      <c r="BC29" s="2768"/>
      <c r="BD29" s="2768"/>
      <c r="BE29" s="2768"/>
      <c r="BF29" s="2768"/>
      <c r="BG29" s="2768"/>
      <c r="BH29" s="2768"/>
      <c r="BI29" s="2768"/>
      <c r="BJ29" s="2768"/>
      <c r="BK29" s="2768"/>
      <c r="BL29" s="2768"/>
      <c r="BM29" s="2768"/>
      <c r="BN29" s="2768"/>
      <c r="BO29" s="2768"/>
      <c r="BP29" s="2768"/>
      <c r="BQ29" s="2768"/>
      <c r="BR29" s="2768"/>
      <c r="BS29" s="2768"/>
      <c r="BT29" s="2768"/>
      <c r="BU29" s="2768"/>
      <c r="BV29" s="2768"/>
      <c r="BW29" s="2768"/>
      <c r="BX29" s="2768"/>
      <c r="BY29" s="2768"/>
      <c r="BZ29" s="2768"/>
      <c r="CA29" s="2768"/>
      <c r="CB29" s="2768"/>
      <c r="CC29" s="2768"/>
      <c r="CD29" s="2768"/>
      <c r="CE29" s="2768"/>
    </row>
    <row r="30" spans="1:83" s="2571" customFormat="1" ht="27">
      <c r="A30" s="2643" t="s">
        <v>603</v>
      </c>
      <c r="B30" s="2644">
        <v>200</v>
      </c>
      <c r="C30" s="2639"/>
      <c r="D30" s="2635"/>
      <c r="E30" s="2636"/>
      <c r="F30" s="2636"/>
      <c r="G30" s="2619"/>
      <c r="H30" s="2619"/>
      <c r="I30" s="2619"/>
      <c r="J30" s="2619"/>
      <c r="K30" s="2705"/>
      <c r="L30" s="2705"/>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c r="AN30" s="2617"/>
      <c r="AO30" s="2617"/>
      <c r="AP30" s="2617"/>
      <c r="AQ30" s="2617"/>
      <c r="AR30" s="2617"/>
      <c r="AS30" s="2617"/>
      <c r="AT30" s="2617"/>
      <c r="AU30" s="2617"/>
      <c r="AV30" s="2617"/>
      <c r="AW30" s="2617"/>
      <c r="AX30" s="2617"/>
      <c r="AY30" s="2617"/>
      <c r="AZ30" s="2617"/>
      <c r="BA30" s="2768"/>
      <c r="BB30" s="2768"/>
      <c r="BC30" s="2768"/>
      <c r="BD30" s="2768"/>
      <c r="BE30" s="2768"/>
      <c r="BF30" s="2768"/>
      <c r="BG30" s="2768"/>
      <c r="BH30" s="2768"/>
      <c r="BI30" s="2768"/>
      <c r="BJ30" s="2768"/>
      <c r="BK30" s="2768"/>
      <c r="BL30" s="2768"/>
      <c r="BM30" s="2768"/>
      <c r="BN30" s="2768"/>
      <c r="BO30" s="2768"/>
      <c r="BP30" s="2768"/>
      <c r="BQ30" s="2768"/>
      <c r="BR30" s="2768"/>
      <c r="BS30" s="2768"/>
      <c r="BT30" s="2768"/>
      <c r="BU30" s="2768"/>
      <c r="BV30" s="2768"/>
      <c r="BW30" s="2768"/>
      <c r="BX30" s="2768"/>
      <c r="BY30" s="2768"/>
      <c r="BZ30" s="2768"/>
      <c r="CA30" s="2768"/>
      <c r="CB30" s="2768"/>
      <c r="CC30" s="2768"/>
      <c r="CD30" s="2768"/>
      <c r="CE30" s="2768"/>
    </row>
    <row r="31" spans="1:83" s="2571" customFormat="1" ht="27">
      <c r="A31" s="2637" t="s">
        <v>604</v>
      </c>
      <c r="B31" s="2645">
        <f>B30-B32</f>
        <v>80</v>
      </c>
      <c r="C31" s="2646"/>
      <c r="D31" s="2635"/>
      <c r="E31" s="2636"/>
      <c r="F31" s="2636"/>
      <c r="G31" s="2619"/>
      <c r="H31" s="2619"/>
      <c r="I31" s="2619"/>
      <c r="J31" s="2619"/>
      <c r="K31" s="2705"/>
      <c r="L31" s="2705"/>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2617"/>
      <c r="AO31" s="2617"/>
      <c r="AP31" s="2617"/>
      <c r="AQ31" s="2617"/>
      <c r="AR31" s="2617"/>
      <c r="AS31" s="2617"/>
      <c r="AT31" s="2617"/>
      <c r="AU31" s="2617"/>
      <c r="AV31" s="2617"/>
      <c r="AW31" s="2617"/>
      <c r="AX31" s="2617"/>
      <c r="AY31" s="2617"/>
      <c r="AZ31" s="2617"/>
      <c r="BA31" s="2768"/>
      <c r="BB31" s="2768"/>
      <c r="BC31" s="2768"/>
      <c r="BD31" s="2768"/>
      <c r="BE31" s="2768"/>
      <c r="BF31" s="2768"/>
      <c r="BG31" s="2768"/>
      <c r="BH31" s="2768"/>
      <c r="BI31" s="2768"/>
      <c r="BJ31" s="2768"/>
      <c r="BK31" s="2768"/>
      <c r="BL31" s="2768"/>
      <c r="BM31" s="2768"/>
      <c r="BN31" s="2768"/>
      <c r="BO31" s="2768"/>
      <c r="BP31" s="2768"/>
      <c r="BQ31" s="2768"/>
      <c r="BR31" s="2768"/>
      <c r="BS31" s="2768"/>
      <c r="BT31" s="2768"/>
      <c r="BU31" s="2768"/>
      <c r="BV31" s="2768"/>
      <c r="BW31" s="2768"/>
      <c r="BX31" s="2768"/>
      <c r="BY31" s="2768"/>
      <c r="BZ31" s="2768"/>
      <c r="CA31" s="2768"/>
      <c r="CB31" s="2768"/>
      <c r="CC31" s="2768"/>
      <c r="CD31" s="2768"/>
      <c r="CE31" s="2768"/>
    </row>
    <row r="32" spans="1:83" s="2571" customFormat="1" ht="27">
      <c r="A32" s="2647" t="s">
        <v>605</v>
      </c>
      <c r="B32" s="2648">
        <v>120</v>
      </c>
      <c r="C32" s="2639"/>
      <c r="D32" s="2620"/>
      <c r="E32" s="2619"/>
      <c r="F32" s="2619"/>
      <c r="G32" s="2619"/>
      <c r="H32" s="2619"/>
      <c r="I32" s="2619"/>
      <c r="J32" s="2619"/>
      <c r="K32" s="2705"/>
      <c r="L32" s="2705"/>
      <c r="M32" s="2617"/>
      <c r="N32" s="2617"/>
      <c r="O32" s="2617"/>
      <c r="P32" s="2617"/>
      <c r="Q32" s="2617"/>
      <c r="R32" s="2617"/>
      <c r="S32" s="2617"/>
      <c r="T32" s="2617"/>
      <c r="U32" s="2617"/>
      <c r="V32" s="2617"/>
      <c r="W32" s="2617"/>
      <c r="X32" s="2617"/>
      <c r="Y32" s="2617"/>
      <c r="Z32" s="2617"/>
      <c r="AA32" s="2617"/>
      <c r="AB32" s="2617"/>
      <c r="AC32" s="2617"/>
      <c r="AD32" s="2617"/>
      <c r="AE32" s="2617"/>
      <c r="AF32" s="2617"/>
      <c r="AG32" s="2617"/>
      <c r="AH32" s="2617"/>
      <c r="AI32" s="2617"/>
      <c r="AJ32" s="2617"/>
      <c r="AK32" s="2617"/>
      <c r="AL32" s="2617"/>
      <c r="AM32" s="2617"/>
      <c r="AN32" s="2617"/>
      <c r="AO32" s="2617"/>
      <c r="AP32" s="2617"/>
      <c r="AQ32" s="2617"/>
      <c r="AR32" s="2617"/>
      <c r="AS32" s="2617"/>
      <c r="AT32" s="2617"/>
      <c r="AU32" s="2617"/>
      <c r="AV32" s="2617"/>
      <c r="AW32" s="2617"/>
      <c r="AX32" s="2617"/>
      <c r="AY32" s="2617"/>
      <c r="AZ32" s="2617"/>
      <c r="BA32" s="2768"/>
      <c r="BB32" s="2768"/>
      <c r="BC32" s="2768"/>
      <c r="BD32" s="2768"/>
      <c r="BE32" s="2768"/>
      <c r="BF32" s="2768"/>
      <c r="BG32" s="2768"/>
      <c r="BH32" s="2768"/>
      <c r="BI32" s="2768"/>
      <c r="BJ32" s="2768"/>
      <c r="BK32" s="2768"/>
      <c r="BL32" s="2768"/>
      <c r="BM32" s="2768"/>
      <c r="BN32" s="2768"/>
      <c r="BO32" s="2768"/>
      <c r="BP32" s="2768"/>
      <c r="BQ32" s="2768"/>
      <c r="BR32" s="2768"/>
      <c r="BS32" s="2768"/>
      <c r="BT32" s="2768"/>
      <c r="BU32" s="2768"/>
      <c r="BV32" s="2768"/>
      <c r="BW32" s="2768"/>
      <c r="BX32" s="2768"/>
      <c r="BY32" s="2768"/>
      <c r="BZ32" s="2768"/>
      <c r="CA32" s="2768"/>
      <c r="CB32" s="2768"/>
      <c r="CC32" s="2768"/>
      <c r="CD32" s="2768"/>
      <c r="CE32" s="2768"/>
    </row>
    <row r="33" spans="1:83" s="2571" customFormat="1" ht="14.25">
      <c r="A33" s="2632" t="s">
        <v>606</v>
      </c>
      <c r="B33" s="2649">
        <v>0.04</v>
      </c>
      <c r="C33" s="2650" t="s">
        <v>607</v>
      </c>
      <c r="D33" s="2635"/>
      <c r="E33" s="2636"/>
      <c r="F33" s="2636"/>
      <c r="G33" s="2619"/>
      <c r="H33" s="2619"/>
      <c r="I33" s="2619"/>
      <c r="J33" s="2619"/>
      <c r="K33" s="2705"/>
      <c r="L33" s="2705"/>
      <c r="M33" s="2617"/>
      <c r="N33" s="2617"/>
      <c r="O33" s="2617"/>
      <c r="P33" s="2617"/>
      <c r="Q33" s="2617"/>
      <c r="R33" s="2617"/>
      <c r="S33" s="2617"/>
      <c r="T33" s="2617"/>
      <c r="U33" s="2617"/>
      <c r="V33" s="2617"/>
      <c r="W33" s="2617"/>
      <c r="X33" s="2617"/>
      <c r="Y33" s="2617"/>
      <c r="Z33" s="2617"/>
      <c r="AA33" s="2617"/>
      <c r="AB33" s="2617"/>
      <c r="AC33" s="2617"/>
      <c r="AD33" s="2617"/>
      <c r="AE33" s="2617"/>
      <c r="AF33" s="2617"/>
      <c r="AG33" s="2617"/>
      <c r="AH33" s="2617"/>
      <c r="AI33" s="2617"/>
      <c r="AJ33" s="2617"/>
      <c r="AK33" s="2617"/>
      <c r="AL33" s="2617"/>
      <c r="AM33" s="2617"/>
      <c r="AN33" s="2617"/>
      <c r="AO33" s="2617"/>
      <c r="AP33" s="2617"/>
      <c r="AQ33" s="2617"/>
      <c r="AR33" s="2617"/>
      <c r="AS33" s="2617"/>
      <c r="AT33" s="2617"/>
      <c r="AU33" s="2617"/>
      <c r="AV33" s="2617"/>
      <c r="AW33" s="2617"/>
      <c r="AX33" s="2617"/>
      <c r="AY33" s="2617"/>
      <c r="AZ33" s="2617"/>
      <c r="BA33" s="2768"/>
      <c r="BB33" s="2768"/>
      <c r="BC33" s="2768"/>
      <c r="BD33" s="2768"/>
      <c r="BE33" s="2768"/>
      <c r="BF33" s="2768"/>
      <c r="BG33" s="2768"/>
      <c r="BH33" s="2768"/>
      <c r="BI33" s="2768"/>
      <c r="BJ33" s="2768"/>
      <c r="BK33" s="2768"/>
      <c r="BL33" s="2768"/>
      <c r="BM33" s="2768"/>
      <c r="BN33" s="2768"/>
      <c r="BO33" s="2768"/>
      <c r="BP33" s="2768"/>
      <c r="BQ33" s="2768"/>
      <c r="BR33" s="2768"/>
      <c r="BS33" s="2768"/>
      <c r="BT33" s="2768"/>
      <c r="BU33" s="2768"/>
      <c r="BV33" s="2768"/>
      <c r="BW33" s="2768"/>
      <c r="BX33" s="2768"/>
      <c r="BY33" s="2768"/>
      <c r="BZ33" s="2768"/>
      <c r="CA33" s="2768"/>
      <c r="CB33" s="2768"/>
      <c r="CC33" s="2768"/>
      <c r="CD33" s="2768"/>
      <c r="CE33" s="2768"/>
    </row>
    <row r="34" spans="1:83" ht="14.25">
      <c r="A34" s="2637" t="s">
        <v>608</v>
      </c>
      <c r="B34" s="2651">
        <v>0.1</v>
      </c>
      <c r="C34" s="2650" t="s">
        <v>609</v>
      </c>
      <c r="D34" s="2652" t="s">
        <v>610</v>
      </c>
      <c r="E34" s="2617"/>
      <c r="F34" s="2619"/>
      <c r="G34" s="2619"/>
      <c r="H34" s="2619"/>
      <c r="I34" s="2619"/>
      <c r="J34" s="2619"/>
      <c r="K34" s="2705"/>
      <c r="L34" s="2705"/>
      <c r="M34" s="2617"/>
      <c r="N34" s="2617"/>
      <c r="O34" s="2617"/>
      <c r="P34" s="2617"/>
      <c r="Q34" s="2617"/>
      <c r="R34" s="2617"/>
      <c r="S34" s="2617"/>
      <c r="T34" s="2617"/>
      <c r="U34" s="2617"/>
      <c r="V34" s="2617"/>
      <c r="W34" s="2617"/>
      <c r="X34" s="2617"/>
      <c r="Y34" s="2617"/>
      <c r="Z34" s="2617"/>
      <c r="AA34" s="2617"/>
      <c r="AB34" s="2617"/>
      <c r="AC34" s="2617"/>
      <c r="AD34" s="2617"/>
      <c r="AE34" s="2617"/>
      <c r="AF34" s="2617"/>
      <c r="AG34" s="2617"/>
      <c r="AH34" s="2617"/>
      <c r="AI34" s="2617"/>
      <c r="AJ34" s="2617"/>
      <c r="AK34" s="2617"/>
      <c r="AL34" s="2617"/>
      <c r="AM34" s="2617"/>
      <c r="AN34" s="2617"/>
      <c r="AO34" s="2617"/>
      <c r="AP34" s="2617"/>
      <c r="AQ34" s="2617"/>
      <c r="AR34" s="2617"/>
      <c r="AS34" s="2617"/>
      <c r="AT34" s="2617"/>
      <c r="AU34" s="2617"/>
      <c r="AV34" s="2617"/>
      <c r="AW34" s="2617"/>
      <c r="AX34" s="2617"/>
      <c r="AY34" s="2617"/>
      <c r="AZ34" s="2617"/>
    </row>
    <row r="35" spans="1:83" ht="14.25">
      <c r="A35" s="2637" t="s">
        <v>611</v>
      </c>
      <c r="B35" s="2638">
        <v>200</v>
      </c>
      <c r="C35" s="2650" t="s">
        <v>612</v>
      </c>
      <c r="D35" s="2620"/>
      <c r="E35" s="2619"/>
      <c r="F35" s="2619"/>
      <c r="G35" s="2619"/>
      <c r="H35" s="2619"/>
      <c r="I35" s="2619"/>
      <c r="J35" s="2619"/>
      <c r="K35" s="2705"/>
      <c r="L35" s="2705"/>
      <c r="M35" s="2617"/>
      <c r="N35" s="2617"/>
      <c r="O35" s="2617"/>
      <c r="P35" s="2617"/>
      <c r="Q35" s="2617"/>
      <c r="R35" s="2617"/>
      <c r="S35" s="2617"/>
      <c r="T35" s="2617"/>
      <c r="U35" s="2617"/>
      <c r="V35" s="2617"/>
      <c r="W35" s="2617"/>
      <c r="X35" s="2617"/>
      <c r="Y35" s="2617"/>
      <c r="Z35" s="2617"/>
      <c r="AA35" s="2617"/>
      <c r="AB35" s="2617"/>
      <c r="AC35" s="2617"/>
      <c r="AD35" s="2617"/>
      <c r="AE35" s="2617"/>
      <c r="AF35" s="2617"/>
      <c r="AG35" s="2617"/>
      <c r="AH35" s="2617"/>
      <c r="AI35" s="2617"/>
      <c r="AJ35" s="2617"/>
      <c r="AK35" s="2617"/>
      <c r="AL35" s="2617"/>
      <c r="AM35" s="2617"/>
      <c r="AN35" s="2617"/>
      <c r="AO35" s="2617"/>
      <c r="AP35" s="2617"/>
      <c r="AQ35" s="2617"/>
      <c r="AR35" s="2617"/>
      <c r="AS35" s="2617"/>
      <c r="AT35" s="2617"/>
      <c r="AU35" s="2617"/>
      <c r="AV35" s="2617"/>
      <c r="AW35" s="2617"/>
      <c r="AX35" s="2617"/>
      <c r="AY35" s="2617"/>
      <c r="AZ35" s="2617"/>
    </row>
    <row r="36" spans="1:83" ht="14.25">
      <c r="A36" s="2640" t="s">
        <v>613</v>
      </c>
      <c r="B36" s="2653">
        <v>1.4999999999999999E-2</v>
      </c>
      <c r="C36" s="2650" t="s">
        <v>614</v>
      </c>
      <c r="D36" s="2618"/>
      <c r="E36" s="2617"/>
      <c r="F36" s="2619"/>
      <c r="G36" s="2619"/>
      <c r="H36" s="2619"/>
      <c r="I36" s="2619"/>
      <c r="J36" s="2619"/>
      <c r="K36" s="2705"/>
      <c r="L36" s="2705"/>
      <c r="M36" s="2617"/>
      <c r="N36" s="2617"/>
      <c r="O36" s="2617"/>
      <c r="P36" s="2617"/>
      <c r="Q36" s="2617"/>
      <c r="R36" s="2617"/>
      <c r="S36" s="2617"/>
      <c r="T36" s="2617"/>
      <c r="U36" s="2617"/>
      <c r="V36" s="2617"/>
      <c r="W36" s="2617"/>
      <c r="X36" s="2617"/>
      <c r="Y36" s="2617"/>
      <c r="Z36" s="2617"/>
      <c r="AA36" s="2617"/>
      <c r="AB36" s="2617"/>
      <c r="AC36" s="2617"/>
      <c r="AD36" s="2617"/>
      <c r="AE36" s="2617"/>
      <c r="AF36" s="2617"/>
      <c r="AG36" s="2617"/>
      <c r="AH36" s="2617"/>
      <c r="AI36" s="2617"/>
      <c r="AJ36" s="2617"/>
      <c r="AK36" s="2617"/>
      <c r="AL36" s="2617"/>
      <c r="AM36" s="2617"/>
      <c r="AN36" s="2617"/>
      <c r="AO36" s="2617"/>
      <c r="AP36" s="2617"/>
      <c r="AQ36" s="2617"/>
      <c r="AR36" s="2617"/>
      <c r="AS36" s="2617"/>
      <c r="AT36" s="2617"/>
      <c r="AU36" s="2617"/>
      <c r="AV36" s="2617"/>
      <c r="AW36" s="2617"/>
      <c r="AX36" s="2617"/>
      <c r="AY36" s="2617"/>
      <c r="AZ36" s="2617"/>
    </row>
    <row r="37" spans="1:83" ht="14.25">
      <c r="A37" s="2643" t="s">
        <v>615</v>
      </c>
      <c r="B37" s="2654">
        <v>0.02</v>
      </c>
      <c r="C37" s="2650" t="s">
        <v>616</v>
      </c>
      <c r="D37" s="2620"/>
      <c r="E37" s="2619"/>
      <c r="F37" s="2619"/>
      <c r="G37" s="2619"/>
      <c r="H37" s="2619"/>
      <c r="I37" s="2619"/>
      <c r="J37" s="2619"/>
      <c r="K37" s="2705"/>
      <c r="L37" s="2705"/>
      <c r="M37" s="2617"/>
      <c r="N37" s="2617"/>
      <c r="O37" s="2617"/>
      <c r="P37" s="2617"/>
      <c r="Q37" s="2617"/>
      <c r="R37" s="2617"/>
      <c r="S37" s="2617"/>
      <c r="T37" s="2617"/>
      <c r="U37" s="2617"/>
      <c r="V37" s="2617"/>
      <c r="W37" s="2617"/>
      <c r="X37" s="2617"/>
      <c r="Y37" s="2617"/>
      <c r="Z37" s="2617"/>
      <c r="AA37" s="2617"/>
      <c r="AB37" s="2617"/>
      <c r="AC37" s="2617"/>
      <c r="AD37" s="2617"/>
      <c r="AE37" s="2617"/>
      <c r="AF37" s="2617"/>
      <c r="AG37" s="2617"/>
      <c r="AH37" s="2617"/>
      <c r="AI37" s="2617"/>
      <c r="AJ37" s="2617"/>
      <c r="AK37" s="2617"/>
      <c r="AL37" s="2617"/>
      <c r="AM37" s="2617"/>
      <c r="AN37" s="2617"/>
      <c r="AO37" s="2617"/>
      <c r="AP37" s="2617"/>
      <c r="AQ37" s="2617"/>
      <c r="AR37" s="2617"/>
      <c r="AS37" s="2617"/>
      <c r="AT37" s="2617"/>
      <c r="AU37" s="2617"/>
      <c r="AV37" s="2617"/>
      <c r="AW37" s="2617"/>
      <c r="AX37" s="2617"/>
      <c r="AY37" s="2617"/>
      <c r="AZ37" s="2617"/>
    </row>
    <row r="38" spans="1:83" ht="14.25">
      <c r="A38" s="2637" t="s">
        <v>617</v>
      </c>
      <c r="B38" s="2651">
        <v>0.02</v>
      </c>
      <c r="C38" s="2650" t="s">
        <v>616</v>
      </c>
      <c r="D38" s="2620"/>
      <c r="E38" s="2619"/>
      <c r="F38" s="2619"/>
      <c r="G38" s="2619"/>
      <c r="H38" s="2619"/>
      <c r="I38" s="2619"/>
      <c r="J38" s="2619"/>
      <c r="K38" s="2705"/>
      <c r="L38" s="2705"/>
      <c r="M38" s="2617"/>
      <c r="N38" s="2617"/>
      <c r="O38" s="2617"/>
      <c r="P38" s="2617"/>
      <c r="Q38" s="2617"/>
      <c r="R38" s="2617"/>
      <c r="S38" s="2617"/>
      <c r="T38" s="2617"/>
      <c r="U38" s="2617"/>
      <c r="V38" s="2617"/>
      <c r="W38" s="2617"/>
      <c r="X38" s="2617"/>
      <c r="Y38" s="2617"/>
      <c r="Z38" s="2617"/>
      <c r="AA38" s="2617"/>
      <c r="AB38" s="2617"/>
      <c r="AC38" s="2617"/>
      <c r="AD38" s="2617"/>
      <c r="AE38" s="2617"/>
      <c r="AF38" s="2617"/>
      <c r="AG38" s="2617"/>
      <c r="AH38" s="2617"/>
      <c r="AI38" s="2617"/>
      <c r="AJ38" s="2617"/>
      <c r="AK38" s="2617"/>
      <c r="AL38" s="2617"/>
      <c r="AM38" s="2617"/>
      <c r="AN38" s="2617"/>
      <c r="AO38" s="2617"/>
      <c r="AP38" s="2617"/>
      <c r="AQ38" s="2617"/>
      <c r="AR38" s="2617"/>
      <c r="AS38" s="2617"/>
      <c r="AT38" s="2617"/>
      <c r="AU38" s="2617"/>
      <c r="AV38" s="2617"/>
      <c r="AW38" s="2617"/>
      <c r="AX38" s="2617"/>
      <c r="AY38" s="2617"/>
      <c r="AZ38" s="2617"/>
    </row>
    <row r="39" spans="1:83" ht="14.25">
      <c r="A39" s="2655" t="s">
        <v>618</v>
      </c>
      <c r="B39" s="860">
        <f ca="1">存贷款利率!C4</f>
        <v>1.4999999999999999E-2</v>
      </c>
      <c r="C39" s="2656"/>
      <c r="D39" s="2620"/>
      <c r="E39" s="2619"/>
      <c r="F39" s="2619"/>
      <c r="G39" s="2619"/>
      <c r="H39" s="2619"/>
      <c r="I39" s="2619"/>
      <c r="J39" s="2619"/>
      <c r="K39" s="2705"/>
      <c r="L39" s="2705"/>
      <c r="M39" s="2617"/>
      <c r="N39" s="2617"/>
      <c r="O39" s="2617"/>
      <c r="P39" s="2617"/>
      <c r="Q39" s="2617"/>
      <c r="R39" s="2617"/>
      <c r="S39" s="2617"/>
      <c r="T39" s="2617"/>
      <c r="U39" s="2617"/>
      <c r="V39" s="2617"/>
      <c r="W39" s="2617"/>
      <c r="X39" s="2617"/>
      <c r="Y39" s="2617"/>
      <c r="Z39" s="2617"/>
      <c r="AA39" s="2617"/>
      <c r="AB39" s="2617"/>
      <c r="AC39" s="2617"/>
      <c r="AD39" s="2617"/>
      <c r="AE39" s="2617"/>
      <c r="AF39" s="2617"/>
      <c r="AG39" s="2617"/>
      <c r="AH39" s="2617"/>
      <c r="AI39" s="2617"/>
      <c r="AJ39" s="2617"/>
      <c r="AK39" s="2617"/>
      <c r="AL39" s="2617"/>
      <c r="AM39" s="2617"/>
      <c r="AN39" s="2617"/>
      <c r="AO39" s="2617"/>
      <c r="AP39" s="2617"/>
      <c r="AQ39" s="2617"/>
      <c r="AR39" s="2617"/>
      <c r="AS39" s="2617"/>
      <c r="AT39" s="2617"/>
      <c r="AU39" s="2617"/>
      <c r="AV39" s="2617"/>
      <c r="AW39" s="2617"/>
      <c r="AX39" s="2617"/>
      <c r="AY39" s="2617"/>
      <c r="AZ39" s="2617"/>
    </row>
    <row r="40" spans="1:83" ht="14.25">
      <c r="A40" s="2655" t="s">
        <v>619</v>
      </c>
      <c r="B40" s="2657">
        <f ca="1">存贷款利率!E2</f>
        <v>4.7500000000000001E-2</v>
      </c>
      <c r="C40" s="2650" t="s">
        <v>620</v>
      </c>
      <c r="D40" s="2620"/>
      <c r="E40" s="2619"/>
      <c r="F40" s="2619"/>
      <c r="G40" s="2619"/>
      <c r="H40" s="2619"/>
      <c r="I40" s="2619"/>
      <c r="J40" s="2619"/>
      <c r="K40" s="2705"/>
      <c r="L40" s="2705"/>
      <c r="M40" s="2617"/>
      <c r="N40" s="2617"/>
      <c r="O40" s="2617"/>
      <c r="P40" s="2617"/>
      <c r="Q40" s="2617"/>
      <c r="R40" s="2617"/>
      <c r="S40" s="2617"/>
      <c r="T40" s="2617"/>
      <c r="U40" s="2617"/>
      <c r="V40" s="2617"/>
      <c r="W40" s="2617"/>
      <c r="X40" s="2617"/>
      <c r="Y40" s="2617"/>
      <c r="Z40" s="2617"/>
      <c r="AA40" s="2617"/>
      <c r="AB40" s="2617"/>
      <c r="AC40" s="2617"/>
      <c r="AD40" s="2617"/>
      <c r="AE40" s="2617"/>
      <c r="AF40" s="2617"/>
      <c r="AG40" s="2617"/>
      <c r="AH40" s="2617"/>
      <c r="AI40" s="2617"/>
      <c r="AJ40" s="2617"/>
      <c r="AK40" s="2617"/>
      <c r="AL40" s="2617"/>
      <c r="AM40" s="2617"/>
      <c r="AN40" s="2617"/>
      <c r="AO40" s="2617"/>
      <c r="AP40" s="2617"/>
      <c r="AQ40" s="2617"/>
      <c r="AR40" s="2617"/>
      <c r="AS40" s="2617"/>
      <c r="AT40" s="2617"/>
      <c r="AU40" s="2617"/>
      <c r="AV40" s="2617"/>
      <c r="AW40" s="2617"/>
      <c r="AX40" s="2617"/>
      <c r="AY40" s="2617"/>
      <c r="AZ40" s="2617"/>
    </row>
    <row r="41" spans="1:83" ht="14.25">
      <c r="A41" s="2632" t="s">
        <v>621</v>
      </c>
      <c r="B41" s="2658">
        <f>B42+B43</f>
        <v>5.6000000000000001E-2</v>
      </c>
      <c r="C41" s="2646"/>
      <c r="D41" s="2620"/>
      <c r="E41" s="2619"/>
      <c r="F41" s="2619"/>
      <c r="G41" s="2619"/>
      <c r="H41" s="2619"/>
      <c r="I41" s="2619"/>
      <c r="J41" s="2619"/>
      <c r="K41" s="2705"/>
      <c r="L41" s="2705"/>
      <c r="M41" s="2617"/>
      <c r="N41" s="2617"/>
      <c r="O41" s="2617"/>
      <c r="P41" s="2617"/>
      <c r="Q41" s="2617"/>
      <c r="R41" s="2617"/>
      <c r="S41" s="2617"/>
      <c r="T41" s="2617"/>
      <c r="U41" s="2617"/>
      <c r="V41" s="2617"/>
      <c r="W41" s="2617"/>
      <c r="X41" s="2617"/>
      <c r="Y41" s="2617"/>
      <c r="Z41" s="2617"/>
      <c r="AA41" s="2617"/>
      <c r="AB41" s="2617"/>
      <c r="AC41" s="2617"/>
      <c r="AD41" s="2617"/>
      <c r="AE41" s="2617"/>
      <c r="AF41" s="2617"/>
      <c r="AG41" s="2617"/>
      <c r="AH41" s="2617"/>
      <c r="AI41" s="2617"/>
      <c r="AJ41" s="2617"/>
      <c r="AK41" s="2617"/>
      <c r="AL41" s="2617"/>
      <c r="AM41" s="2617"/>
      <c r="AN41" s="2617"/>
      <c r="AO41" s="2617"/>
      <c r="AP41" s="2617"/>
      <c r="AQ41" s="2617"/>
      <c r="AR41" s="2617"/>
      <c r="AS41" s="2617"/>
      <c r="AT41" s="2617"/>
      <c r="AU41" s="2617"/>
      <c r="AV41" s="2617"/>
      <c r="AW41" s="2617"/>
      <c r="AX41" s="2617"/>
      <c r="AY41" s="2617"/>
      <c r="AZ41" s="2617"/>
    </row>
    <row r="42" spans="1:83" ht="14.25">
      <c r="A42" s="2659" t="s">
        <v>622</v>
      </c>
      <c r="B42" s="2660">
        <v>0.05</v>
      </c>
      <c r="C42" s="2661">
        <f>IF(B2&lt;DATE(2016,5,1),0,B42)</f>
        <v>0.05</v>
      </c>
      <c r="D42" s="2620"/>
      <c r="E42" s="2619"/>
      <c r="F42" s="2619"/>
      <c r="G42" s="2619"/>
      <c r="H42" s="2619"/>
      <c r="I42" s="2619"/>
      <c r="J42" s="2619"/>
      <c r="K42" s="2705"/>
      <c r="L42" s="2705"/>
      <c r="M42" s="2617"/>
      <c r="N42" s="2617"/>
      <c r="O42" s="2617"/>
      <c r="P42" s="2617"/>
      <c r="Q42" s="2617"/>
      <c r="R42" s="2617"/>
      <c r="S42" s="2617"/>
      <c r="T42" s="2617"/>
      <c r="U42" s="2617"/>
      <c r="V42" s="2617"/>
      <c r="W42" s="2617"/>
      <c r="X42" s="2617"/>
      <c r="Y42" s="2617"/>
      <c r="Z42" s="2617"/>
      <c r="AA42" s="2617"/>
      <c r="AB42" s="2617"/>
      <c r="AC42" s="2617"/>
      <c r="AD42" s="2617"/>
      <c r="AE42" s="2617"/>
      <c r="AF42" s="2617"/>
      <c r="AG42" s="2617"/>
      <c r="AH42" s="2617"/>
      <c r="AI42" s="2617"/>
      <c r="AJ42" s="2617"/>
      <c r="AK42" s="2617"/>
      <c r="AL42" s="2617"/>
      <c r="AM42" s="2617"/>
      <c r="AN42" s="2617"/>
      <c r="AO42" s="2617"/>
      <c r="AP42" s="2617"/>
      <c r="AQ42" s="2617"/>
      <c r="AR42" s="2617"/>
      <c r="AS42" s="2617"/>
      <c r="AT42" s="2617"/>
      <c r="AU42" s="2617"/>
      <c r="AV42" s="2617"/>
      <c r="AW42" s="2617"/>
      <c r="AX42" s="2617"/>
      <c r="AY42" s="2617"/>
      <c r="AZ42" s="2617"/>
    </row>
    <row r="43" spans="1:83" ht="14.25">
      <c r="A43" s="2659" t="s">
        <v>623</v>
      </c>
      <c r="B43" s="2662">
        <f>B42*(B44+B45+B46)+B47</f>
        <v>6.000000000000001E-3</v>
      </c>
      <c r="C43" s="2646"/>
      <c r="D43" s="2620"/>
      <c r="E43" s="2619"/>
      <c r="F43" s="2619"/>
      <c r="G43" s="2619"/>
      <c r="H43" s="2619"/>
      <c r="I43" s="2619"/>
      <c r="J43" s="2619"/>
      <c r="K43" s="2705"/>
      <c r="L43" s="2705"/>
      <c r="M43" s="2617"/>
      <c r="N43" s="2617"/>
      <c r="O43" s="2617"/>
      <c r="P43" s="2617"/>
      <c r="Q43" s="2617"/>
      <c r="R43" s="2617"/>
      <c r="S43" s="2617"/>
      <c r="T43" s="2617"/>
      <c r="U43" s="2617"/>
      <c r="V43" s="2617"/>
      <c r="W43" s="2617"/>
      <c r="X43" s="2617"/>
      <c r="Y43" s="2617"/>
      <c r="Z43" s="2617"/>
      <c r="AA43" s="2617"/>
      <c r="AB43" s="2617"/>
      <c r="AC43" s="2617"/>
      <c r="AD43" s="2617"/>
      <c r="AE43" s="2617"/>
      <c r="AF43" s="2617"/>
      <c r="AG43" s="2617"/>
      <c r="AH43" s="2617"/>
      <c r="AI43" s="2617"/>
      <c r="AJ43" s="2617"/>
      <c r="AK43" s="2617"/>
      <c r="AL43" s="2617"/>
      <c r="AM43" s="2617"/>
      <c r="AN43" s="2617"/>
      <c r="AO43" s="2617"/>
      <c r="AP43" s="2617"/>
      <c r="AQ43" s="2617"/>
      <c r="AR43" s="2617"/>
      <c r="AS43" s="2617"/>
      <c r="AT43" s="2617"/>
      <c r="AU43" s="2617"/>
      <c r="AV43" s="2617"/>
      <c r="AW43" s="2617"/>
      <c r="AX43" s="2617"/>
      <c r="AY43" s="2617"/>
      <c r="AZ43" s="2617"/>
    </row>
    <row r="44" spans="1:83" ht="14.25">
      <c r="A44" s="2663" t="s">
        <v>624</v>
      </c>
      <c r="B44" s="2664">
        <v>7.0000000000000007E-2</v>
      </c>
      <c r="C44" s="2650" t="s">
        <v>625</v>
      </c>
      <c r="D44" s="2620"/>
      <c r="E44" s="2619"/>
      <c r="F44" s="2619"/>
      <c r="G44" s="2619"/>
      <c r="H44" s="2619"/>
      <c r="I44" s="2619"/>
      <c r="J44" s="2619"/>
      <c r="K44" s="2705"/>
      <c r="L44" s="2705"/>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row>
    <row r="45" spans="1:83" ht="14.25">
      <c r="A45" s="2663" t="s">
        <v>626</v>
      </c>
      <c r="B45" s="2660">
        <v>0.03</v>
      </c>
      <c r="C45" s="2665" t="s">
        <v>627</v>
      </c>
      <c r="D45" s="2620"/>
      <c r="E45" s="2619"/>
      <c r="F45" s="2619"/>
      <c r="G45" s="2619"/>
      <c r="H45" s="2619"/>
      <c r="I45" s="2619"/>
      <c r="J45" s="2619"/>
      <c r="K45" s="2705"/>
      <c r="L45" s="2705"/>
      <c r="M45" s="2617"/>
      <c r="N45" s="2617"/>
      <c r="O45" s="2617"/>
      <c r="P45" s="2617"/>
      <c r="Q45" s="2617"/>
      <c r="R45" s="2617"/>
      <c r="S45" s="2617"/>
      <c r="T45" s="2617"/>
      <c r="U45" s="2617"/>
      <c r="V45" s="2617"/>
      <c r="W45" s="2617"/>
      <c r="X45" s="2617"/>
      <c r="Y45" s="2617"/>
      <c r="Z45" s="2617"/>
      <c r="AA45" s="2617"/>
      <c r="AB45" s="2617"/>
      <c r="AC45" s="2617"/>
      <c r="AD45" s="2617"/>
      <c r="AE45" s="2617"/>
      <c r="AF45" s="2617"/>
      <c r="AG45" s="2617"/>
      <c r="AH45" s="2617"/>
      <c r="AI45" s="2617"/>
      <c r="AJ45" s="2617"/>
      <c r="AK45" s="2617"/>
      <c r="AL45" s="2617"/>
      <c r="AM45" s="2617"/>
      <c r="AN45" s="2617"/>
      <c r="AO45" s="2617"/>
      <c r="AP45" s="2617"/>
      <c r="AQ45" s="2617"/>
      <c r="AR45" s="2617"/>
      <c r="AS45" s="2617"/>
      <c r="AT45" s="2617"/>
      <c r="AU45" s="2617"/>
      <c r="AV45" s="2617"/>
      <c r="AW45" s="2617"/>
      <c r="AX45" s="2617"/>
      <c r="AY45" s="2617"/>
      <c r="AZ45" s="2617"/>
    </row>
    <row r="46" spans="1:83" ht="14.25">
      <c r="A46" s="2663" t="s">
        <v>628</v>
      </c>
      <c r="B46" s="2660">
        <v>0.02</v>
      </c>
      <c r="C46" s="2665" t="s">
        <v>629</v>
      </c>
      <c r="D46" s="2620"/>
      <c r="E46" s="2619"/>
      <c r="F46" s="2619"/>
      <c r="G46" s="2619"/>
      <c r="H46" s="2619"/>
      <c r="I46" s="2619"/>
      <c r="J46" s="2619"/>
      <c r="K46" s="2705"/>
      <c r="L46" s="2705"/>
      <c r="M46" s="2617"/>
      <c r="N46" s="2617"/>
      <c r="O46" s="2617"/>
      <c r="P46" s="2617"/>
      <c r="Q46" s="2617"/>
      <c r="R46" s="2617"/>
      <c r="S46" s="2617"/>
      <c r="T46" s="2617"/>
      <c r="U46" s="2617"/>
      <c r="V46" s="2617"/>
      <c r="W46" s="2617"/>
      <c r="X46" s="2617"/>
      <c r="Y46" s="2617"/>
      <c r="Z46" s="2617"/>
      <c r="AA46" s="2617"/>
      <c r="AB46" s="2617"/>
      <c r="AC46" s="2617"/>
      <c r="AD46" s="2617"/>
      <c r="AE46" s="2617"/>
      <c r="AF46" s="2617"/>
      <c r="AG46" s="2617"/>
      <c r="AH46" s="2617"/>
      <c r="AI46" s="2617"/>
      <c r="AJ46" s="2617"/>
      <c r="AK46" s="2617"/>
      <c r="AL46" s="2617"/>
      <c r="AM46" s="2617"/>
      <c r="AN46" s="2617"/>
      <c r="AO46" s="2617"/>
      <c r="AP46" s="2617"/>
      <c r="AQ46" s="2617"/>
      <c r="AR46" s="2617"/>
      <c r="AS46" s="2617"/>
      <c r="AT46" s="2617"/>
      <c r="AU46" s="2617"/>
      <c r="AV46" s="2617"/>
      <c r="AW46" s="2617"/>
      <c r="AX46" s="2617"/>
      <c r="AY46" s="2617"/>
      <c r="AZ46" s="2617"/>
    </row>
    <row r="47" spans="1:83" ht="14.25">
      <c r="A47" s="2666" t="s">
        <v>630</v>
      </c>
      <c r="B47" s="2667"/>
      <c r="C47" s="2634" t="s">
        <v>631</v>
      </c>
      <c r="D47" s="2620"/>
      <c r="E47" s="2619"/>
      <c r="F47" s="2619"/>
      <c r="G47" s="2619"/>
      <c r="H47" s="2619"/>
      <c r="I47" s="2619"/>
      <c r="J47" s="2619"/>
      <c r="K47" s="2705"/>
      <c r="L47" s="2705"/>
      <c r="M47" s="2617"/>
      <c r="N47" s="2617"/>
      <c r="O47" s="2617"/>
      <c r="P47" s="2617"/>
      <c r="Q47" s="2617"/>
      <c r="R47" s="2617"/>
      <c r="S47" s="2617"/>
      <c r="T47" s="2617"/>
      <c r="U47" s="2617"/>
      <c r="V47" s="2617"/>
      <c r="W47" s="2617"/>
      <c r="X47" s="2617"/>
      <c r="Y47" s="2617"/>
      <c r="Z47" s="2617"/>
      <c r="AA47" s="2617"/>
      <c r="AB47" s="2617"/>
      <c r="AC47" s="2617"/>
      <c r="AD47" s="2617"/>
      <c r="AE47" s="2617"/>
      <c r="AF47" s="2617"/>
      <c r="AG47" s="2617"/>
      <c r="AH47" s="2617"/>
      <c r="AI47" s="2617"/>
      <c r="AJ47" s="2617"/>
      <c r="AK47" s="2617"/>
      <c r="AL47" s="2617"/>
      <c r="AM47" s="2617"/>
      <c r="AN47" s="2617"/>
      <c r="AO47" s="2617"/>
      <c r="AP47" s="2617"/>
      <c r="AQ47" s="2617"/>
      <c r="AR47" s="2617"/>
      <c r="AS47" s="2617"/>
      <c r="AT47" s="2617"/>
      <c r="AU47" s="2617"/>
      <c r="AV47" s="2617"/>
      <c r="AW47" s="2617"/>
      <c r="AX47" s="2617"/>
      <c r="AY47" s="2617"/>
      <c r="AZ47" s="2617"/>
    </row>
    <row r="48" spans="1:83" ht="14.25">
      <c r="A48" s="2668" t="s">
        <v>632</v>
      </c>
      <c r="B48" s="2669">
        <v>0.03</v>
      </c>
      <c r="C48" s="2665" t="s">
        <v>627</v>
      </c>
      <c r="D48" s="2620"/>
      <c r="E48" s="2619"/>
      <c r="F48" s="2619"/>
      <c r="G48" s="2619"/>
      <c r="H48" s="2619"/>
      <c r="I48" s="2619"/>
      <c r="J48" s="2619"/>
      <c r="K48" s="2705"/>
      <c r="L48" s="2705"/>
      <c r="M48" s="2617"/>
      <c r="N48" s="2617"/>
      <c r="O48" s="2617"/>
      <c r="P48" s="2617"/>
      <c r="Q48" s="2617"/>
      <c r="R48" s="2617"/>
      <c r="S48" s="2617"/>
      <c r="T48" s="2617"/>
      <c r="U48" s="2617"/>
      <c r="V48" s="2617"/>
      <c r="W48" s="2617"/>
      <c r="X48" s="2617"/>
      <c r="Y48" s="2617"/>
      <c r="Z48" s="2617"/>
      <c r="AA48" s="2617"/>
      <c r="AB48" s="2617"/>
      <c r="AC48" s="2617"/>
      <c r="AD48" s="2617"/>
      <c r="AE48" s="2617"/>
      <c r="AF48" s="2617"/>
      <c r="AG48" s="2617"/>
      <c r="AH48" s="2617"/>
      <c r="AI48" s="2617"/>
      <c r="AJ48" s="2617"/>
      <c r="AK48" s="2617"/>
      <c r="AL48" s="2617"/>
      <c r="AM48" s="2617"/>
      <c r="AN48" s="2617"/>
      <c r="AO48" s="2617"/>
      <c r="AP48" s="2617"/>
      <c r="AQ48" s="2617"/>
      <c r="AR48" s="2617"/>
      <c r="AS48" s="2617"/>
      <c r="AT48" s="2617"/>
      <c r="AU48" s="2617"/>
      <c r="AV48" s="2617"/>
      <c r="AW48" s="2617"/>
      <c r="AX48" s="2617"/>
      <c r="AY48" s="2617"/>
      <c r="AZ48" s="2617"/>
    </row>
    <row r="49" spans="1:52" ht="14.25">
      <c r="A49" s="2647" t="s">
        <v>633</v>
      </c>
      <c r="B49" s="2660">
        <v>5.0000000000000001E-4</v>
      </c>
      <c r="C49" s="2665" t="s">
        <v>634</v>
      </c>
      <c r="D49" s="2620"/>
      <c r="E49" s="2619"/>
      <c r="F49" s="2619"/>
      <c r="G49" s="2619"/>
      <c r="H49" s="2619"/>
      <c r="I49" s="2619"/>
      <c r="J49" s="2619"/>
      <c r="K49" s="2705"/>
      <c r="L49" s="2705"/>
      <c r="M49" s="2617"/>
      <c r="N49" s="2617"/>
      <c r="O49" s="2617"/>
      <c r="P49" s="2617"/>
      <c r="Q49" s="2617"/>
      <c r="R49" s="2617"/>
      <c r="S49" s="2617"/>
      <c r="T49" s="2617"/>
      <c r="U49" s="2617"/>
      <c r="V49" s="2617"/>
      <c r="W49" s="2617"/>
      <c r="X49" s="2617"/>
      <c r="Y49" s="2617"/>
      <c r="Z49" s="2617"/>
      <c r="AA49" s="2617"/>
      <c r="AB49" s="2617"/>
      <c r="AC49" s="2617"/>
      <c r="AD49" s="2617"/>
      <c r="AE49" s="2617"/>
      <c r="AF49" s="2617"/>
      <c r="AG49" s="2617"/>
      <c r="AH49" s="2617"/>
      <c r="AI49" s="2617"/>
      <c r="AJ49" s="2617"/>
      <c r="AK49" s="2617"/>
      <c r="AL49" s="2617"/>
      <c r="AM49" s="2617"/>
      <c r="AN49" s="2617"/>
      <c r="AO49" s="2617"/>
      <c r="AP49" s="2617"/>
      <c r="AQ49" s="2617"/>
      <c r="AR49" s="2617"/>
      <c r="AS49" s="2617"/>
      <c r="AT49" s="2617"/>
      <c r="AU49" s="2617"/>
      <c r="AV49" s="2617"/>
      <c r="AW49" s="2617"/>
      <c r="AX49" s="2617"/>
      <c r="AY49" s="2617"/>
      <c r="AZ49" s="2617"/>
    </row>
    <row r="50" spans="1:52" ht="14.25">
      <c r="A50" s="2670" t="s">
        <v>635</v>
      </c>
      <c r="B50" s="2671">
        <v>1.2E-2</v>
      </c>
      <c r="C50" s="2639"/>
      <c r="D50" s="2620"/>
      <c r="E50" s="2619"/>
      <c r="F50" s="2619"/>
      <c r="G50" s="2619"/>
      <c r="H50" s="2619"/>
      <c r="I50" s="2619"/>
      <c r="J50" s="2619"/>
      <c r="K50" s="2705"/>
      <c r="L50" s="2705"/>
      <c r="M50" s="2617"/>
      <c r="N50" s="2617"/>
      <c r="O50" s="2617"/>
      <c r="P50" s="2617"/>
      <c r="Q50" s="2617"/>
      <c r="R50" s="2617"/>
      <c r="S50" s="2617"/>
      <c r="T50" s="2617"/>
      <c r="U50" s="2617"/>
      <c r="V50" s="2617"/>
      <c r="W50" s="2617"/>
      <c r="X50" s="2617"/>
      <c r="Y50" s="2617"/>
      <c r="Z50" s="2617"/>
      <c r="AA50" s="2617"/>
      <c r="AB50" s="2617"/>
      <c r="AC50" s="2617"/>
      <c r="AD50" s="2617"/>
      <c r="AE50" s="2617"/>
      <c r="AF50" s="2617"/>
      <c r="AG50" s="2617"/>
      <c r="AH50" s="2617"/>
      <c r="AI50" s="2617"/>
      <c r="AJ50" s="2617"/>
      <c r="AK50" s="2617"/>
      <c r="AL50" s="2617"/>
      <c r="AM50" s="2617"/>
      <c r="AN50" s="2617"/>
      <c r="AO50" s="2617"/>
      <c r="AP50" s="2617"/>
      <c r="AQ50" s="2617"/>
      <c r="AR50" s="2617"/>
      <c r="AS50" s="2617"/>
      <c r="AT50" s="2617"/>
      <c r="AU50" s="2617"/>
      <c r="AV50" s="2617"/>
      <c r="AW50" s="2617"/>
      <c r="AX50" s="2617"/>
      <c r="AY50" s="2617"/>
      <c r="AZ50" s="2617"/>
    </row>
    <row r="51" spans="1:52" ht="14.25">
      <c r="A51" s="2640" t="s">
        <v>636</v>
      </c>
      <c r="B51" s="2672">
        <v>0.12</v>
      </c>
      <c r="C51" s="2639"/>
      <c r="D51" s="2620"/>
      <c r="E51" s="2619"/>
      <c r="F51" s="2619"/>
      <c r="G51" s="2619"/>
      <c r="H51" s="2619"/>
      <c r="I51" s="2619"/>
      <c r="J51" s="2619"/>
      <c r="K51" s="2705"/>
      <c r="L51" s="2705"/>
      <c r="M51" s="2617"/>
      <c r="N51" s="2617"/>
      <c r="O51" s="2617"/>
      <c r="P51" s="2617"/>
      <c r="Q51" s="2617"/>
      <c r="R51" s="2617"/>
      <c r="S51" s="2617"/>
      <c r="T51" s="2617"/>
      <c r="U51" s="2617"/>
      <c r="V51" s="2617"/>
      <c r="W51" s="2617"/>
      <c r="X51" s="2617"/>
      <c r="Y51" s="2617"/>
      <c r="Z51" s="2617"/>
      <c r="AA51" s="2617"/>
      <c r="AB51" s="2617"/>
      <c r="AC51" s="2617"/>
      <c r="AD51" s="2617"/>
      <c r="AE51" s="2617"/>
      <c r="AF51" s="2617"/>
      <c r="AG51" s="2617"/>
      <c r="AH51" s="2617"/>
      <c r="AI51" s="2617"/>
      <c r="AJ51" s="2617"/>
      <c r="AK51" s="2617"/>
      <c r="AL51" s="2617"/>
      <c r="AM51" s="2617"/>
      <c r="AN51" s="2617"/>
      <c r="AO51" s="2617"/>
      <c r="AP51" s="2617"/>
      <c r="AQ51" s="2617"/>
      <c r="AR51" s="2617"/>
      <c r="AS51" s="2617"/>
      <c r="AT51" s="2617"/>
      <c r="AU51" s="2617"/>
      <c r="AV51" s="2617"/>
      <c r="AW51" s="2617"/>
      <c r="AX51" s="2617"/>
      <c r="AY51" s="2617"/>
      <c r="AZ51" s="2617"/>
    </row>
    <row r="52" spans="1:52" ht="14.25">
      <c r="A52" s="2670" t="s">
        <v>637</v>
      </c>
      <c r="B52" s="2673">
        <f>SUMIF(A54:A63,B53,B54:B63)</f>
        <v>1.5</v>
      </c>
      <c r="C52" s="2639"/>
      <c r="D52" s="2620"/>
      <c r="E52" s="2619"/>
      <c r="F52" s="2619"/>
      <c r="G52" s="2619"/>
      <c r="H52" s="2619"/>
      <c r="I52" s="2619"/>
      <c r="J52" s="2619"/>
      <c r="K52" s="2705"/>
      <c r="L52" s="2705"/>
      <c r="M52" s="2617"/>
      <c r="N52" s="2617"/>
      <c r="O52" s="2617"/>
      <c r="P52" s="2617"/>
      <c r="Q52" s="2617"/>
      <c r="R52" s="2617"/>
      <c r="S52" s="2617"/>
      <c r="T52" s="2617"/>
      <c r="U52" s="2617"/>
      <c r="V52" s="2617"/>
      <c r="W52" s="2617"/>
      <c r="X52" s="2617"/>
      <c r="Y52" s="2617"/>
      <c r="Z52" s="2617"/>
      <c r="AA52" s="2617"/>
      <c r="AB52" s="2617"/>
      <c r="AC52" s="2617"/>
      <c r="AD52" s="2617"/>
      <c r="AE52" s="2617"/>
      <c r="AF52" s="2617"/>
      <c r="AG52" s="2617"/>
      <c r="AH52" s="2617"/>
      <c r="AI52" s="2617"/>
      <c r="AJ52" s="2617"/>
      <c r="AK52" s="2617"/>
      <c r="AL52" s="2617"/>
      <c r="AM52" s="2617"/>
      <c r="AN52" s="2617"/>
      <c r="AO52" s="2617"/>
      <c r="AP52" s="2617"/>
      <c r="AQ52" s="2617"/>
      <c r="AR52" s="2617"/>
      <c r="AS52" s="2617"/>
      <c r="AT52" s="2617"/>
      <c r="AU52" s="2617"/>
      <c r="AV52" s="2617"/>
      <c r="AW52" s="2617"/>
      <c r="AX52" s="2617"/>
      <c r="AY52" s="2617"/>
      <c r="AZ52" s="2617"/>
    </row>
    <row r="53" spans="1:52" ht="27">
      <c r="A53" s="2637" t="s">
        <v>638</v>
      </c>
      <c r="B53" s="2674" t="s">
        <v>292</v>
      </c>
      <c r="C53" s="2675" t="s">
        <v>639</v>
      </c>
      <c r="D53" s="2676" t="s">
        <v>640</v>
      </c>
      <c r="E53" s="2619"/>
      <c r="F53" s="2619"/>
      <c r="G53" s="2619"/>
      <c r="H53" s="2619"/>
      <c r="I53" s="2619"/>
      <c r="J53" s="2619"/>
      <c r="K53" s="2705"/>
      <c r="L53" s="2705"/>
      <c r="M53" s="2617"/>
      <c r="N53" s="2617"/>
      <c r="O53" s="2617"/>
      <c r="P53" s="2617"/>
      <c r="Q53" s="2617"/>
      <c r="R53" s="2617"/>
      <c r="S53" s="2617"/>
      <c r="T53" s="2617"/>
      <c r="U53" s="2617"/>
      <c r="V53" s="2617"/>
      <c r="W53" s="2617"/>
      <c r="X53" s="2617"/>
      <c r="Y53" s="2617"/>
      <c r="Z53" s="2617"/>
      <c r="AA53" s="2617"/>
      <c r="AB53" s="2617"/>
      <c r="AC53" s="2617"/>
      <c r="AD53" s="2617"/>
      <c r="AE53" s="2617"/>
      <c r="AF53" s="2617"/>
      <c r="AG53" s="2617"/>
      <c r="AH53" s="2617"/>
      <c r="AI53" s="2617"/>
      <c r="AJ53" s="2617"/>
      <c r="AK53" s="2617"/>
      <c r="AL53" s="2617"/>
      <c r="AM53" s="2617"/>
      <c r="AN53" s="2617"/>
      <c r="AO53" s="2617"/>
      <c r="AP53" s="2617"/>
      <c r="AQ53" s="2617"/>
      <c r="AR53" s="2617"/>
      <c r="AS53" s="2617"/>
      <c r="AT53" s="2617"/>
      <c r="AU53" s="2617"/>
      <c r="AV53" s="2617"/>
      <c r="AW53" s="2617"/>
      <c r="AX53" s="2617"/>
      <c r="AY53" s="2617"/>
      <c r="AZ53" s="2617"/>
    </row>
    <row r="54" spans="1:52" ht="14.25">
      <c r="A54" s="2677" t="s">
        <v>240</v>
      </c>
      <c r="B54" s="2678"/>
      <c r="C54" s="2636">
        <v>30</v>
      </c>
      <c r="D54" s="2679"/>
      <c r="E54" s="2619"/>
      <c r="F54" s="2619"/>
      <c r="G54" s="2619"/>
      <c r="H54" s="2619"/>
      <c r="I54" s="2619"/>
      <c r="J54" s="2619"/>
      <c r="K54" s="2705"/>
      <c r="L54" s="2705"/>
      <c r="M54" s="2617"/>
      <c r="N54" s="2617"/>
      <c r="O54" s="2617"/>
      <c r="P54" s="2617"/>
      <c r="Q54" s="2617"/>
      <c r="R54" s="2617"/>
      <c r="S54" s="2617"/>
      <c r="T54" s="2617"/>
      <c r="U54" s="2617"/>
      <c r="V54" s="2617"/>
      <c r="W54" s="2617"/>
      <c r="X54" s="2617"/>
      <c r="Y54" s="2617"/>
      <c r="Z54" s="2617"/>
      <c r="AA54" s="2617"/>
      <c r="AB54" s="2617"/>
      <c r="AC54" s="2617"/>
      <c r="AD54" s="2617"/>
      <c r="AE54" s="2617"/>
      <c r="AF54" s="2617"/>
      <c r="AG54" s="2617"/>
      <c r="AH54" s="2617"/>
      <c r="AI54" s="2617"/>
      <c r="AJ54" s="2617"/>
      <c r="AK54" s="2617"/>
      <c r="AL54" s="2617"/>
      <c r="AM54" s="2617"/>
      <c r="AN54" s="2617"/>
      <c r="AO54" s="2617"/>
      <c r="AP54" s="2617"/>
      <c r="AQ54" s="2617"/>
      <c r="AR54" s="2617"/>
      <c r="AS54" s="2617"/>
      <c r="AT54" s="2617"/>
      <c r="AU54" s="2617"/>
      <c r="AV54" s="2617"/>
      <c r="AW54" s="2617"/>
      <c r="AX54" s="2617"/>
      <c r="AY54" s="2617"/>
      <c r="AZ54" s="2617"/>
    </row>
    <row r="55" spans="1:52" ht="14.25">
      <c r="A55" s="2677" t="s">
        <v>253</v>
      </c>
      <c r="B55" s="2678"/>
      <c r="C55" s="2636">
        <v>24</v>
      </c>
      <c r="D55" s="2679"/>
      <c r="E55" s="2619"/>
      <c r="F55" s="2619"/>
      <c r="G55" s="2619"/>
      <c r="H55" s="2619"/>
      <c r="I55" s="2706"/>
      <c r="J55" s="2619"/>
      <c r="K55" s="2705"/>
      <c r="L55" s="2705"/>
      <c r="M55" s="2617"/>
      <c r="N55" s="2617"/>
      <c r="O55" s="2617"/>
      <c r="P55" s="2617"/>
      <c r="Q55" s="2617"/>
      <c r="R55" s="2617"/>
      <c r="S55" s="2617"/>
      <c r="T55" s="2617"/>
      <c r="U55" s="2617"/>
      <c r="V55" s="2617"/>
      <c r="W55" s="2617"/>
      <c r="X55" s="2617"/>
      <c r="Y55" s="2617"/>
      <c r="Z55" s="2617"/>
      <c r="AA55" s="2617"/>
      <c r="AB55" s="2617"/>
      <c r="AC55" s="2617"/>
      <c r="AD55" s="2617"/>
      <c r="AE55" s="2617"/>
      <c r="AF55" s="2617"/>
      <c r="AG55" s="2617"/>
      <c r="AH55" s="2617"/>
      <c r="AI55" s="2617"/>
      <c r="AJ55" s="2617"/>
      <c r="AK55" s="2617"/>
      <c r="AL55" s="2617"/>
      <c r="AM55" s="2617"/>
      <c r="AN55" s="2617"/>
      <c r="AO55" s="2617"/>
      <c r="AP55" s="2617"/>
      <c r="AQ55" s="2617"/>
      <c r="AR55" s="2617"/>
      <c r="AS55" s="2617"/>
      <c r="AT55" s="2617"/>
      <c r="AU55" s="2617"/>
      <c r="AV55" s="2617"/>
      <c r="AW55" s="2617"/>
      <c r="AX55" s="2617"/>
      <c r="AY55" s="2617"/>
      <c r="AZ55" s="2617"/>
    </row>
    <row r="56" spans="1:52" ht="14.25">
      <c r="A56" s="2677" t="s">
        <v>265</v>
      </c>
      <c r="B56" s="2678"/>
      <c r="C56" s="2636">
        <v>18</v>
      </c>
      <c r="D56" s="2679"/>
      <c r="E56" s="2619"/>
      <c r="F56" s="2619"/>
      <c r="G56" s="2619"/>
      <c r="H56" s="2619"/>
      <c r="I56" s="2619"/>
      <c r="J56" s="2619"/>
      <c r="K56" s="2705"/>
      <c r="L56" s="2705"/>
      <c r="M56" s="2617"/>
      <c r="N56" s="2617"/>
      <c r="O56" s="2617"/>
      <c r="P56" s="2617"/>
      <c r="Q56" s="2617"/>
      <c r="R56" s="2617"/>
      <c r="S56" s="2617"/>
      <c r="T56" s="2617"/>
      <c r="U56" s="2617"/>
      <c r="V56" s="2617"/>
      <c r="W56" s="2617"/>
      <c r="X56" s="2617"/>
      <c r="Y56" s="2617"/>
      <c r="Z56" s="2617"/>
      <c r="AA56" s="2617"/>
      <c r="AB56" s="2617"/>
      <c r="AC56" s="2617"/>
      <c r="AD56" s="2617"/>
      <c r="AE56" s="2617"/>
      <c r="AF56" s="2617"/>
      <c r="AG56" s="2617"/>
      <c r="AH56" s="2617"/>
      <c r="AI56" s="2617"/>
      <c r="AJ56" s="2617"/>
      <c r="AK56" s="2617"/>
      <c r="AL56" s="2617"/>
      <c r="AM56" s="2617"/>
      <c r="AN56" s="2617"/>
      <c r="AO56" s="2617"/>
      <c r="AP56" s="2617"/>
      <c r="AQ56" s="2617"/>
      <c r="AR56" s="2617"/>
      <c r="AS56" s="2617"/>
      <c r="AT56" s="2617"/>
      <c r="AU56" s="2617"/>
      <c r="AV56" s="2617"/>
      <c r="AW56" s="2617"/>
      <c r="AX56" s="2617"/>
      <c r="AY56" s="2617"/>
      <c r="AZ56" s="2617"/>
    </row>
    <row r="57" spans="1:52" ht="14.25">
      <c r="A57" s="2677" t="s">
        <v>275</v>
      </c>
      <c r="B57" s="2678"/>
      <c r="C57" s="2636">
        <v>12</v>
      </c>
      <c r="D57" s="2679"/>
      <c r="E57" s="2619"/>
      <c r="F57" s="2619"/>
      <c r="G57" s="2619"/>
      <c r="H57" s="2619"/>
      <c r="I57" s="2619"/>
      <c r="J57" s="2619"/>
      <c r="K57" s="2705"/>
      <c r="L57" s="2705"/>
      <c r="M57" s="2617"/>
      <c r="N57" s="2617"/>
      <c r="O57" s="2617"/>
      <c r="P57" s="2617"/>
      <c r="Q57" s="2617"/>
      <c r="R57" s="2617"/>
      <c r="S57" s="2617"/>
      <c r="T57" s="2617"/>
      <c r="U57" s="2617"/>
      <c r="V57" s="2617"/>
      <c r="W57" s="2617"/>
      <c r="X57" s="2617"/>
      <c r="Y57" s="2617"/>
      <c r="Z57" s="2617"/>
      <c r="AA57" s="2617"/>
      <c r="AB57" s="2617"/>
      <c r="AC57" s="2617"/>
      <c r="AD57" s="2617"/>
      <c r="AE57" s="2617"/>
      <c r="AF57" s="2617"/>
      <c r="AG57" s="2617"/>
      <c r="AH57" s="2617"/>
      <c r="AI57" s="2617"/>
      <c r="AJ57" s="2617"/>
      <c r="AK57" s="2617"/>
      <c r="AL57" s="2617"/>
      <c r="AM57" s="2617"/>
      <c r="AN57" s="2617"/>
      <c r="AO57" s="2617"/>
      <c r="AP57" s="2617"/>
      <c r="AQ57" s="2617"/>
      <c r="AR57" s="2617"/>
      <c r="AS57" s="2617"/>
      <c r="AT57" s="2617"/>
      <c r="AU57" s="2617"/>
      <c r="AV57" s="2617"/>
      <c r="AW57" s="2617"/>
      <c r="AX57" s="2617"/>
      <c r="AY57" s="2617"/>
      <c r="AZ57" s="2617"/>
    </row>
    <row r="58" spans="1:52" ht="14.25">
      <c r="A58" s="2677" t="s">
        <v>284</v>
      </c>
      <c r="B58" s="2678"/>
      <c r="C58" s="2636">
        <v>3</v>
      </c>
      <c r="D58" s="2679"/>
      <c r="E58" s="2619"/>
      <c r="F58" s="2619"/>
      <c r="G58" s="2619"/>
      <c r="H58" s="2619"/>
      <c r="I58" s="2619"/>
      <c r="J58" s="2619"/>
      <c r="K58" s="2705"/>
      <c r="L58" s="2705"/>
      <c r="M58" s="2617"/>
      <c r="N58" s="2617"/>
      <c r="O58" s="2617"/>
      <c r="P58" s="2617"/>
      <c r="Q58" s="2617"/>
      <c r="R58" s="2617"/>
      <c r="S58" s="2617"/>
      <c r="T58" s="2617"/>
      <c r="U58" s="2617"/>
      <c r="V58" s="2617"/>
      <c r="W58" s="2617"/>
      <c r="X58" s="2617"/>
      <c r="Y58" s="2617"/>
      <c r="Z58" s="2617"/>
      <c r="AA58" s="2617"/>
      <c r="AB58" s="2617"/>
      <c r="AC58" s="2617"/>
      <c r="AD58" s="2617"/>
      <c r="AE58" s="2617"/>
      <c r="AF58" s="2617"/>
      <c r="AG58" s="2617"/>
      <c r="AH58" s="2617"/>
      <c r="AI58" s="2617"/>
      <c r="AJ58" s="2617"/>
      <c r="AK58" s="2617"/>
      <c r="AL58" s="2617"/>
      <c r="AM58" s="2617"/>
      <c r="AN58" s="2617"/>
      <c r="AO58" s="2617"/>
      <c r="AP58" s="2617"/>
      <c r="AQ58" s="2617"/>
      <c r="AR58" s="2617"/>
      <c r="AS58" s="2617"/>
      <c r="AT58" s="2617"/>
      <c r="AU58" s="2617"/>
      <c r="AV58" s="2617"/>
      <c r="AW58" s="2617"/>
      <c r="AX58" s="2617"/>
      <c r="AY58" s="2617"/>
      <c r="AZ58" s="2617"/>
    </row>
    <row r="59" spans="1:52" ht="14.25">
      <c r="A59" s="2677" t="s">
        <v>292</v>
      </c>
      <c r="B59" s="2678">
        <v>1.5</v>
      </c>
      <c r="C59" s="2636">
        <v>1.5</v>
      </c>
      <c r="D59" s="2679"/>
      <c r="E59" s="2619"/>
      <c r="F59" s="2619"/>
      <c r="G59" s="2619"/>
      <c r="H59" s="2619"/>
      <c r="I59" s="2619"/>
      <c r="J59" s="2619"/>
      <c r="K59" s="2705"/>
      <c r="L59" s="2705"/>
      <c r="M59" s="2617"/>
      <c r="N59" s="2617"/>
      <c r="O59" s="2617"/>
      <c r="P59" s="2617"/>
      <c r="Q59" s="2617"/>
      <c r="R59" s="2617"/>
      <c r="S59" s="2617"/>
      <c r="T59" s="2617"/>
      <c r="U59" s="2617"/>
      <c r="V59" s="2617"/>
      <c r="W59" s="2617"/>
      <c r="X59" s="2617"/>
      <c r="Y59" s="2617"/>
      <c r="Z59" s="2617"/>
      <c r="AA59" s="2617"/>
      <c r="AB59" s="2617"/>
      <c r="AC59" s="2617"/>
      <c r="AD59" s="2617"/>
      <c r="AE59" s="2617"/>
      <c r="AF59" s="2617"/>
      <c r="AG59" s="2617"/>
      <c r="AH59" s="2617"/>
      <c r="AI59" s="2617"/>
      <c r="AJ59" s="2617"/>
      <c r="AK59" s="2617"/>
      <c r="AL59" s="2617"/>
      <c r="AM59" s="2617"/>
      <c r="AN59" s="2617"/>
      <c r="AO59" s="2617"/>
      <c r="AP59" s="2617"/>
      <c r="AQ59" s="2617"/>
      <c r="AR59" s="2617"/>
      <c r="AS59" s="2617"/>
      <c r="AT59" s="2617"/>
      <c r="AU59" s="2617"/>
      <c r="AV59" s="2617"/>
      <c r="AW59" s="2617"/>
      <c r="AX59" s="2617"/>
      <c r="AY59" s="2617"/>
      <c r="AZ59" s="2617"/>
    </row>
    <row r="60" spans="1:52" ht="14.25">
      <c r="A60" s="2677" t="s">
        <v>297</v>
      </c>
      <c r="B60" s="2678"/>
      <c r="C60" s="2619"/>
      <c r="D60" s="2620"/>
      <c r="E60" s="2619"/>
      <c r="F60" s="2619"/>
      <c r="G60" s="2619"/>
      <c r="H60" s="2619"/>
      <c r="I60" s="2619"/>
      <c r="J60" s="2619"/>
      <c r="K60" s="2705"/>
      <c r="L60" s="2705"/>
      <c r="M60" s="2617"/>
      <c r="N60" s="2617"/>
      <c r="O60" s="2617"/>
      <c r="P60" s="2617"/>
      <c r="Q60" s="2617"/>
      <c r="R60" s="2617"/>
      <c r="S60" s="2617"/>
      <c r="T60" s="2617"/>
      <c r="U60" s="2617"/>
      <c r="V60" s="2617"/>
      <c r="W60" s="2617"/>
      <c r="X60" s="2617"/>
      <c r="Y60" s="2617"/>
      <c r="Z60" s="2617"/>
      <c r="AA60" s="2617"/>
      <c r="AB60" s="2617"/>
      <c r="AC60" s="2617"/>
      <c r="AD60" s="2617"/>
      <c r="AE60" s="2617"/>
      <c r="AF60" s="2617"/>
      <c r="AG60" s="2617"/>
      <c r="AH60" s="2617"/>
      <c r="AI60" s="2617"/>
      <c r="AJ60" s="2617"/>
      <c r="AK60" s="2617"/>
      <c r="AL60" s="2617"/>
      <c r="AM60" s="2617"/>
      <c r="AN60" s="2617"/>
      <c r="AO60" s="2617"/>
      <c r="AP60" s="2617"/>
      <c r="AQ60" s="2617"/>
      <c r="AR60" s="2617"/>
      <c r="AS60" s="2617"/>
      <c r="AT60" s="2617"/>
      <c r="AU60" s="2617"/>
      <c r="AV60" s="2617"/>
      <c r="AW60" s="2617"/>
      <c r="AX60" s="2617"/>
      <c r="AY60" s="2617"/>
      <c r="AZ60" s="2617"/>
    </row>
    <row r="61" spans="1:52" ht="14.25">
      <c r="A61" s="2677" t="s">
        <v>302</v>
      </c>
      <c r="B61" s="2678"/>
      <c r="C61" s="2619"/>
      <c r="D61" s="2620"/>
      <c r="E61" s="2619"/>
      <c r="F61" s="2619"/>
      <c r="G61" s="2619"/>
      <c r="H61" s="2619"/>
      <c r="I61" s="2619"/>
      <c r="J61" s="2619"/>
      <c r="K61" s="2705"/>
      <c r="L61" s="2705"/>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row>
    <row r="62" spans="1:52" ht="14.25">
      <c r="A62" s="2677" t="s">
        <v>305</v>
      </c>
      <c r="B62" s="2678"/>
      <c r="C62" s="2619"/>
      <c r="D62" s="2620"/>
      <c r="E62" s="2619"/>
      <c r="F62" s="2619"/>
      <c r="G62" s="2619"/>
      <c r="H62" s="2619"/>
      <c r="I62" s="2619"/>
      <c r="J62" s="2619"/>
      <c r="K62" s="2705"/>
      <c r="L62" s="2705"/>
      <c r="M62" s="2617"/>
      <c r="N62" s="2617"/>
      <c r="O62" s="2617"/>
      <c r="P62" s="2617"/>
      <c r="Q62" s="2617"/>
      <c r="R62" s="2617"/>
      <c r="S62" s="2617"/>
      <c r="T62" s="2617"/>
      <c r="U62" s="2617"/>
      <c r="V62" s="2617"/>
      <c r="W62" s="2617"/>
      <c r="X62" s="2617"/>
      <c r="Y62" s="2617"/>
      <c r="Z62" s="2617"/>
      <c r="AA62" s="2617"/>
      <c r="AB62" s="2617"/>
      <c r="AC62" s="2617"/>
      <c r="AD62" s="2617"/>
      <c r="AE62" s="2617"/>
      <c r="AF62" s="2617"/>
      <c r="AG62" s="2617"/>
      <c r="AH62" s="2617"/>
      <c r="AI62" s="2617"/>
      <c r="AJ62" s="2617"/>
      <c r="AK62" s="2617"/>
      <c r="AL62" s="2617"/>
      <c r="AM62" s="2617"/>
      <c r="AN62" s="2617"/>
      <c r="AO62" s="2617"/>
      <c r="AP62" s="2617"/>
      <c r="AQ62" s="2617"/>
      <c r="AR62" s="2617"/>
      <c r="AS62" s="2617"/>
      <c r="AT62" s="2617"/>
      <c r="AU62" s="2617"/>
      <c r="AV62" s="2617"/>
      <c r="AW62" s="2617"/>
      <c r="AX62" s="2617"/>
      <c r="AY62" s="2617"/>
      <c r="AZ62" s="2617"/>
    </row>
    <row r="63" spans="1:52" ht="14.25">
      <c r="A63" s="2680" t="s">
        <v>308</v>
      </c>
      <c r="B63" s="2681"/>
      <c r="C63" s="2619"/>
      <c r="D63" s="2620"/>
      <c r="E63" s="2619"/>
      <c r="F63" s="2619"/>
      <c r="G63" s="2619"/>
      <c r="H63" s="2619"/>
      <c r="I63" s="2619"/>
      <c r="J63" s="2619"/>
      <c r="K63" s="2705"/>
      <c r="L63" s="2705"/>
      <c r="M63" s="2617"/>
      <c r="N63" s="2617"/>
      <c r="O63" s="2617"/>
      <c r="P63" s="2617"/>
      <c r="Q63" s="2617"/>
      <c r="R63" s="2617"/>
      <c r="S63" s="2617"/>
      <c r="T63" s="2617"/>
      <c r="U63" s="2617"/>
      <c r="V63" s="2617"/>
      <c r="W63" s="2617"/>
      <c r="X63" s="2617"/>
      <c r="Y63" s="2617"/>
      <c r="Z63" s="2617"/>
      <c r="AA63" s="2617"/>
      <c r="AB63" s="2617"/>
      <c r="AC63" s="2617"/>
      <c r="AD63" s="2617"/>
      <c r="AE63" s="2617"/>
      <c r="AF63" s="2617"/>
      <c r="AG63" s="2617"/>
      <c r="AH63" s="2617"/>
      <c r="AI63" s="2617"/>
      <c r="AJ63" s="2617"/>
      <c r="AK63" s="2617"/>
      <c r="AL63" s="2617"/>
      <c r="AM63" s="2617"/>
      <c r="AN63" s="2617"/>
      <c r="AO63" s="2617"/>
      <c r="AP63" s="2617"/>
      <c r="AQ63" s="2617"/>
      <c r="AR63" s="2617"/>
      <c r="AS63" s="2617"/>
      <c r="AT63" s="2617"/>
      <c r="AU63" s="2617"/>
      <c r="AV63" s="2617"/>
      <c r="AW63" s="2617"/>
      <c r="AX63" s="2617"/>
      <c r="AY63" s="2617"/>
      <c r="AZ63" s="2617"/>
    </row>
    <row r="64" spans="1:52" s="2572" customFormat="1">
      <c r="A64" s="2259"/>
      <c r="D64" s="2682"/>
      <c r="K64" s="190"/>
      <c r="L64" s="190"/>
    </row>
    <row r="65" spans="1:12" s="2572" customFormat="1">
      <c r="A65" s="2259"/>
      <c r="D65" s="2682"/>
      <c r="K65" s="190"/>
      <c r="L65" s="190"/>
    </row>
    <row r="66" spans="1:12" s="2572" customFormat="1">
      <c r="A66" s="2259"/>
      <c r="D66" s="2682"/>
      <c r="K66" s="190"/>
      <c r="L66" s="190"/>
    </row>
    <row r="67" spans="1:12" s="2572" customFormat="1">
      <c r="A67" s="2259"/>
      <c r="D67" s="2682"/>
      <c r="K67" s="190"/>
      <c r="L67" s="190"/>
    </row>
    <row r="68" spans="1:12" s="2572" customFormat="1">
      <c r="A68" s="2259"/>
      <c r="D68" s="2682"/>
      <c r="K68" s="190"/>
      <c r="L68" s="190"/>
    </row>
    <row r="69" spans="1:12" s="2572" customFormat="1">
      <c r="A69" s="2259"/>
      <c r="D69" s="2682"/>
      <c r="K69" s="190"/>
      <c r="L69" s="190"/>
    </row>
    <row r="70" spans="1:12" s="2572" customFormat="1">
      <c r="A70" s="2259"/>
      <c r="D70" s="2682"/>
      <c r="K70" s="190"/>
      <c r="L70" s="190"/>
    </row>
    <row r="71" spans="1:12" s="2572" customFormat="1">
      <c r="A71" s="2259"/>
      <c r="D71" s="2682"/>
      <c r="K71" s="190"/>
      <c r="L71" s="190"/>
    </row>
    <row r="72" spans="1:12" s="2572" customFormat="1">
      <c r="A72" s="2259"/>
      <c r="D72" s="2682"/>
      <c r="K72" s="190"/>
      <c r="L72" s="190"/>
    </row>
    <row r="73" spans="1:12" s="2572" customFormat="1">
      <c r="A73" s="2259"/>
      <c r="D73" s="2682"/>
      <c r="K73" s="190"/>
      <c r="L73" s="190"/>
    </row>
    <row r="74" spans="1:12" s="2572" customFormat="1">
      <c r="A74" s="2259"/>
      <c r="D74" s="2682"/>
      <c r="K74" s="190"/>
      <c r="L74" s="190"/>
    </row>
    <row r="75" spans="1:12" s="2572" customFormat="1">
      <c r="A75" s="2259"/>
      <c r="D75" s="2682"/>
      <c r="K75" s="190"/>
      <c r="L75" s="190"/>
    </row>
    <row r="76" spans="1:12" s="2572" customFormat="1">
      <c r="A76" s="2259"/>
      <c r="D76" s="2682"/>
      <c r="K76" s="190"/>
      <c r="L76" s="190"/>
    </row>
    <row r="77" spans="1:12" s="2572" customFormat="1">
      <c r="A77" s="2259"/>
      <c r="D77" s="2682"/>
      <c r="K77" s="190"/>
      <c r="L77" s="190"/>
    </row>
    <row r="78" spans="1:12" s="2572" customFormat="1">
      <c r="A78" s="2259"/>
      <c r="D78" s="2682"/>
      <c r="K78" s="190"/>
      <c r="L78" s="190"/>
    </row>
    <row r="79" spans="1:12" s="2572" customFormat="1">
      <c r="A79" s="2259"/>
      <c r="D79" s="2682"/>
      <c r="K79" s="190"/>
      <c r="L79" s="190"/>
    </row>
    <row r="80" spans="1:12" s="2572" customFormat="1">
      <c r="A80" s="2259"/>
      <c r="D80" s="2682"/>
      <c r="K80" s="190"/>
      <c r="L80" s="190"/>
    </row>
    <row r="81" spans="1:12" s="2572" customFormat="1">
      <c r="A81" s="2259"/>
      <c r="D81" s="2682"/>
      <c r="K81" s="190"/>
      <c r="L81" s="190"/>
    </row>
    <row r="82" spans="1:12" s="2572" customFormat="1">
      <c r="A82" s="2259"/>
      <c r="D82" s="2682"/>
      <c r="K82" s="190"/>
      <c r="L82" s="190"/>
    </row>
    <row r="83" spans="1:12" s="2572" customFormat="1">
      <c r="A83" s="2259"/>
      <c r="D83" s="2682"/>
      <c r="K83" s="190"/>
      <c r="L83" s="190"/>
    </row>
    <row r="84" spans="1:12" s="2572" customFormat="1">
      <c r="A84" s="2259"/>
      <c r="D84" s="2682"/>
      <c r="K84" s="190"/>
      <c r="L84" s="190"/>
    </row>
    <row r="85" spans="1:12" s="2572" customFormat="1">
      <c r="A85" s="2259"/>
      <c r="D85" s="2682"/>
      <c r="K85" s="190"/>
      <c r="L85" s="190"/>
    </row>
    <row r="86" spans="1:12" s="2572" customFormat="1">
      <c r="A86" s="2259"/>
      <c r="D86" s="2682"/>
      <c r="K86" s="190"/>
      <c r="L86" s="190"/>
    </row>
    <row r="87" spans="1:12" s="2572" customFormat="1">
      <c r="A87" s="2259"/>
      <c r="D87" s="2682"/>
      <c r="K87" s="190"/>
      <c r="L87" s="190"/>
    </row>
    <row r="88" spans="1:12" s="2572" customFormat="1">
      <c r="A88" s="2259"/>
      <c r="D88" s="2682"/>
      <c r="K88" s="190"/>
      <c r="L88" s="190"/>
    </row>
    <row r="89" spans="1:12" s="2572" customFormat="1">
      <c r="A89" s="2259"/>
      <c r="D89" s="2682"/>
      <c r="K89" s="190"/>
      <c r="L89" s="190"/>
    </row>
    <row r="90" spans="1:12" s="2572" customFormat="1">
      <c r="A90" s="2259"/>
      <c r="D90" s="2682"/>
      <c r="K90" s="190"/>
      <c r="L90" s="190"/>
    </row>
    <row r="91" spans="1:12" s="2572" customFormat="1">
      <c r="A91" s="2259"/>
      <c r="D91" s="2682"/>
      <c r="K91" s="190"/>
      <c r="L91" s="190"/>
    </row>
    <row r="92" spans="1:12" s="2572" customFormat="1">
      <c r="A92" s="2259"/>
      <c r="D92" s="2682"/>
      <c r="K92" s="190"/>
      <c r="L92" s="190"/>
    </row>
    <row r="93" spans="1:12" s="2572" customFormat="1">
      <c r="A93" s="2259"/>
      <c r="D93" s="2682"/>
      <c r="K93" s="190"/>
      <c r="L93" s="190"/>
    </row>
    <row r="94" spans="1:12" s="2572" customFormat="1">
      <c r="A94" s="2259"/>
      <c r="D94" s="2682"/>
      <c r="K94" s="190"/>
      <c r="L94" s="190"/>
    </row>
    <row r="95" spans="1:12" s="2572" customFormat="1">
      <c r="A95" s="2259"/>
      <c r="D95" s="2682"/>
      <c r="K95" s="190"/>
      <c r="L95" s="190"/>
    </row>
    <row r="96" spans="1:12" s="2572" customFormat="1">
      <c r="A96" s="2259"/>
      <c r="D96" s="2682"/>
      <c r="K96" s="190"/>
      <c r="L96" s="190"/>
    </row>
    <row r="97" spans="1:12" s="2572" customFormat="1">
      <c r="A97" s="2259"/>
      <c r="D97" s="2682"/>
      <c r="K97" s="190"/>
      <c r="L97" s="190"/>
    </row>
    <row r="98" spans="1:12" s="2572" customFormat="1">
      <c r="A98" s="2259"/>
      <c r="D98" s="2682"/>
      <c r="K98" s="190"/>
      <c r="L98" s="190"/>
    </row>
    <row r="99" spans="1:12" s="2572" customFormat="1">
      <c r="A99" s="2259"/>
      <c r="D99" s="2682"/>
      <c r="K99" s="190"/>
      <c r="L99" s="190"/>
    </row>
    <row r="100" spans="1:12" s="2572" customFormat="1">
      <c r="A100" s="2259"/>
      <c r="D100" s="2682"/>
      <c r="K100" s="190"/>
      <c r="L100" s="190"/>
    </row>
    <row r="101" spans="1:12" s="2572" customFormat="1">
      <c r="A101" s="2259"/>
      <c r="D101" s="2682"/>
      <c r="K101" s="190"/>
      <c r="L101" s="190"/>
    </row>
    <row r="102" spans="1:12" s="2572" customFormat="1">
      <c r="A102" s="2259"/>
      <c r="D102" s="2682"/>
      <c r="K102" s="190"/>
      <c r="L102" s="190"/>
    </row>
    <row r="103" spans="1:12" s="2572" customFormat="1">
      <c r="A103" s="2259"/>
      <c r="D103" s="2682"/>
      <c r="K103" s="190"/>
      <c r="L103" s="190"/>
    </row>
    <row r="104" spans="1:12" s="2572" customFormat="1">
      <c r="A104" s="2259"/>
      <c r="D104" s="2682"/>
      <c r="K104" s="190"/>
      <c r="L104" s="190"/>
    </row>
    <row r="105" spans="1:12" s="2572" customFormat="1">
      <c r="A105" s="2259"/>
      <c r="D105" s="2682"/>
      <c r="K105" s="190"/>
      <c r="L105" s="190"/>
    </row>
    <row r="106" spans="1:12" s="2572" customFormat="1">
      <c r="A106" s="2259"/>
      <c r="D106" s="2682"/>
      <c r="K106" s="190"/>
      <c r="L106" s="190"/>
    </row>
    <row r="107" spans="1:12" s="2572" customFormat="1">
      <c r="A107" s="2259"/>
      <c r="D107" s="2682"/>
      <c r="K107" s="190"/>
      <c r="L107" s="190"/>
    </row>
    <row r="108" spans="1:12" s="2572" customFormat="1">
      <c r="A108" s="2259"/>
      <c r="D108" s="2682"/>
      <c r="K108" s="190"/>
      <c r="L108" s="190"/>
    </row>
    <row r="109" spans="1:12" s="2572" customFormat="1">
      <c r="A109" s="2259"/>
      <c r="D109" s="2682"/>
      <c r="K109" s="190"/>
      <c r="L109" s="190"/>
    </row>
    <row r="110" spans="1:12" s="2572" customFormat="1">
      <c r="A110" s="2259"/>
      <c r="D110" s="2682"/>
      <c r="K110" s="190"/>
      <c r="L110" s="190"/>
    </row>
    <row r="111" spans="1:12" s="2572" customFormat="1">
      <c r="A111" s="2259"/>
      <c r="D111" s="2682"/>
      <c r="K111" s="190"/>
      <c r="L111" s="190"/>
    </row>
    <row r="112" spans="1:12" s="2572" customFormat="1">
      <c r="A112" s="2259"/>
      <c r="D112" s="2682"/>
      <c r="K112" s="190"/>
      <c r="L112" s="190"/>
    </row>
    <row r="113" spans="1:12" s="2572" customFormat="1">
      <c r="A113" s="2259"/>
      <c r="D113" s="2682"/>
      <c r="K113" s="190"/>
      <c r="L113" s="190"/>
    </row>
    <row r="114" spans="1:12" s="2572" customFormat="1">
      <c r="A114" s="2259"/>
      <c r="D114" s="2682"/>
      <c r="K114" s="190"/>
      <c r="L114" s="190"/>
    </row>
    <row r="115" spans="1:12" s="2572" customFormat="1">
      <c r="A115" s="2259"/>
      <c r="D115" s="2682"/>
      <c r="K115" s="190"/>
      <c r="L115" s="190"/>
    </row>
    <row r="116" spans="1:12" s="2572" customFormat="1">
      <c r="A116" s="2259"/>
      <c r="D116" s="2682"/>
      <c r="K116" s="190"/>
      <c r="L116" s="190"/>
    </row>
    <row r="117" spans="1:12" s="2572" customFormat="1">
      <c r="A117" s="2259"/>
      <c r="D117" s="2682"/>
      <c r="K117" s="190"/>
      <c r="L117" s="190"/>
    </row>
    <row r="118" spans="1:12" s="2572" customFormat="1">
      <c r="A118" s="2259"/>
      <c r="D118" s="2682"/>
      <c r="K118" s="190"/>
      <c r="L118" s="190"/>
    </row>
    <row r="119" spans="1:12" s="2572" customFormat="1">
      <c r="A119" s="2259"/>
      <c r="D119" s="2682"/>
      <c r="K119" s="190"/>
      <c r="L119" s="190"/>
    </row>
    <row r="120" spans="1:12" s="2572" customFormat="1">
      <c r="A120" s="2259"/>
      <c r="D120" s="2682"/>
      <c r="K120" s="190"/>
      <c r="L120" s="190"/>
    </row>
    <row r="121" spans="1:12" s="2572" customFormat="1">
      <c r="A121" s="2259"/>
      <c r="D121" s="2682"/>
      <c r="K121" s="190"/>
      <c r="L121" s="190"/>
    </row>
    <row r="122" spans="1:12" s="2572" customFormat="1">
      <c r="A122" s="2259"/>
      <c r="D122" s="2682"/>
      <c r="K122" s="190"/>
      <c r="L122" s="190"/>
    </row>
    <row r="123" spans="1:12" s="2572" customFormat="1">
      <c r="A123" s="2259"/>
      <c r="D123" s="2682"/>
      <c r="K123" s="190"/>
      <c r="L123" s="190"/>
    </row>
    <row r="124" spans="1:12" s="2572" customFormat="1">
      <c r="A124" s="2259"/>
      <c r="D124" s="2682"/>
      <c r="K124" s="190"/>
      <c r="L124" s="190"/>
    </row>
    <row r="125" spans="1:12" s="2572" customFormat="1">
      <c r="A125" s="2259"/>
      <c r="D125" s="2682"/>
      <c r="K125" s="190"/>
      <c r="L125" s="190"/>
    </row>
    <row r="126" spans="1:12" s="2572" customFormat="1">
      <c r="A126" s="2259"/>
      <c r="D126" s="2682"/>
      <c r="K126" s="190"/>
      <c r="L126" s="190"/>
    </row>
    <row r="127" spans="1:12" s="2572" customFormat="1">
      <c r="A127" s="2259"/>
      <c r="D127" s="2682"/>
      <c r="K127" s="190"/>
      <c r="L127" s="190"/>
    </row>
    <row r="128" spans="1:12" s="2572" customFormat="1">
      <c r="A128" s="2259"/>
      <c r="D128" s="2682"/>
      <c r="K128" s="190"/>
      <c r="L128" s="190"/>
    </row>
    <row r="129" spans="1:12" s="2572" customFormat="1">
      <c r="A129" s="2259"/>
      <c r="D129" s="2682"/>
      <c r="K129" s="190"/>
      <c r="L129" s="190"/>
    </row>
    <row r="130" spans="1:12" s="2572" customFormat="1">
      <c r="A130" s="2259"/>
      <c r="D130" s="2682"/>
      <c r="K130" s="190"/>
      <c r="L130" s="190"/>
    </row>
    <row r="131" spans="1:12" s="2572" customFormat="1">
      <c r="A131" s="2259"/>
      <c r="D131" s="2682"/>
      <c r="K131" s="190"/>
      <c r="L131" s="190"/>
    </row>
    <row r="132" spans="1:12" s="2572" customFormat="1">
      <c r="A132" s="2259"/>
      <c r="D132" s="2682"/>
      <c r="K132" s="190"/>
      <c r="L132" s="190"/>
    </row>
    <row r="133" spans="1:12" s="2572" customFormat="1">
      <c r="A133" s="2259"/>
      <c r="D133" s="2682"/>
      <c r="K133" s="190"/>
      <c r="L133" s="190"/>
    </row>
    <row r="134" spans="1:12" s="2572" customFormat="1">
      <c r="A134" s="2259"/>
      <c r="D134" s="2682"/>
      <c r="K134" s="190"/>
      <c r="L134" s="190"/>
    </row>
    <row r="135" spans="1:12" s="2572" customFormat="1">
      <c r="A135" s="2259"/>
      <c r="D135" s="2682"/>
      <c r="K135" s="190"/>
      <c r="L135" s="190"/>
    </row>
    <row r="136" spans="1:12" s="2572" customFormat="1">
      <c r="A136" s="2259"/>
      <c r="D136" s="2682"/>
      <c r="K136" s="190"/>
      <c r="L136" s="190"/>
    </row>
    <row r="137" spans="1:12" s="2572" customFormat="1">
      <c r="A137" s="2259"/>
      <c r="D137" s="2682"/>
      <c r="K137" s="190"/>
      <c r="L137" s="190"/>
    </row>
    <row r="138" spans="1:12" s="2572" customFormat="1">
      <c r="A138" s="2259"/>
      <c r="D138" s="2682"/>
      <c r="K138" s="190"/>
      <c r="L138" s="190"/>
    </row>
    <row r="139" spans="1:12" s="2572" customFormat="1">
      <c r="A139" s="2259"/>
      <c r="D139" s="2682"/>
      <c r="K139" s="190"/>
      <c r="L139" s="190"/>
    </row>
    <row r="140" spans="1:12" s="2572" customFormat="1">
      <c r="A140" s="2259"/>
      <c r="D140" s="2682"/>
      <c r="K140" s="190"/>
      <c r="L140" s="190"/>
    </row>
    <row r="141" spans="1:12" s="2572" customFormat="1">
      <c r="A141" s="2259"/>
      <c r="D141" s="2682"/>
      <c r="K141" s="190"/>
      <c r="L141" s="190"/>
    </row>
    <row r="142" spans="1:12" s="2572" customFormat="1">
      <c r="A142" s="2259"/>
      <c r="D142" s="2682"/>
      <c r="K142" s="190"/>
      <c r="L142" s="190"/>
    </row>
    <row r="143" spans="1:12" s="2572" customFormat="1">
      <c r="A143" s="2259"/>
      <c r="D143" s="2682"/>
      <c r="K143" s="190"/>
      <c r="L143" s="190"/>
    </row>
    <row r="144" spans="1:12" s="2572" customFormat="1">
      <c r="A144" s="2259"/>
      <c r="D144" s="2682"/>
      <c r="K144" s="190"/>
      <c r="L144" s="190"/>
    </row>
    <row r="145" spans="1:12" s="2572" customFormat="1">
      <c r="A145" s="2259"/>
      <c r="D145" s="2682"/>
      <c r="K145" s="190"/>
      <c r="L145" s="190"/>
    </row>
    <row r="146" spans="1:12" s="2572" customFormat="1">
      <c r="A146" s="2259"/>
      <c r="D146" s="2682"/>
      <c r="K146" s="190"/>
      <c r="L146" s="190"/>
    </row>
    <row r="147" spans="1:12" s="2572" customFormat="1">
      <c r="A147" s="2259"/>
      <c r="D147" s="2682"/>
      <c r="K147" s="190"/>
      <c r="L147" s="190"/>
    </row>
    <row r="148" spans="1:12" s="2572" customFormat="1">
      <c r="A148" s="2259"/>
      <c r="D148" s="2682"/>
      <c r="K148" s="190"/>
      <c r="L148" s="190"/>
    </row>
    <row r="149" spans="1:12" s="2572" customFormat="1">
      <c r="A149" s="2259"/>
      <c r="D149" s="2682"/>
      <c r="K149" s="190"/>
      <c r="L149" s="190"/>
    </row>
    <row r="150" spans="1:12" s="2572" customFormat="1">
      <c r="A150" s="2259"/>
      <c r="D150" s="2682"/>
      <c r="K150" s="190"/>
      <c r="L150" s="190"/>
    </row>
    <row r="151" spans="1:12" s="2572" customFormat="1">
      <c r="A151" s="2259"/>
      <c r="D151" s="2682"/>
      <c r="K151" s="190"/>
      <c r="L151" s="190"/>
    </row>
    <row r="152" spans="1:12" s="2572" customFormat="1">
      <c r="A152" s="2259"/>
      <c r="D152" s="2682"/>
      <c r="K152" s="190"/>
      <c r="L152" s="190"/>
    </row>
    <row r="153" spans="1:12" s="2572" customFormat="1">
      <c r="A153" s="2259"/>
      <c r="D153" s="2682"/>
      <c r="K153" s="190"/>
      <c r="L153" s="190"/>
    </row>
    <row r="154" spans="1:12" s="2572" customFormat="1">
      <c r="A154" s="2259"/>
      <c r="D154" s="2682"/>
      <c r="K154" s="190"/>
      <c r="L154" s="190"/>
    </row>
    <row r="155" spans="1:12" s="2572" customFormat="1">
      <c r="A155" s="2259"/>
      <c r="D155" s="2682"/>
      <c r="K155" s="190"/>
      <c r="L155" s="190"/>
    </row>
    <row r="156" spans="1:12" s="2572" customFormat="1">
      <c r="A156" s="2259"/>
      <c r="D156" s="2682"/>
      <c r="K156" s="190"/>
      <c r="L156" s="190"/>
    </row>
    <row r="157" spans="1:12" s="2572" customFormat="1">
      <c r="A157" s="2259"/>
      <c r="D157" s="2682"/>
      <c r="K157" s="190"/>
      <c r="L157" s="190"/>
    </row>
    <row r="158" spans="1:12" s="2572" customFormat="1">
      <c r="A158" s="2259"/>
      <c r="D158" s="2682"/>
      <c r="K158" s="190"/>
      <c r="L158" s="190"/>
    </row>
    <row r="159" spans="1:12" s="2572" customFormat="1">
      <c r="A159" s="2259"/>
      <c r="D159" s="2682"/>
      <c r="K159" s="190"/>
      <c r="L159" s="190"/>
    </row>
    <row r="160" spans="1:12" s="2572" customFormat="1">
      <c r="A160" s="2259"/>
      <c r="D160" s="2682"/>
      <c r="K160" s="190"/>
      <c r="L160" s="190"/>
    </row>
    <row r="161" spans="1:12" s="2572" customFormat="1">
      <c r="A161" s="2259"/>
      <c r="D161" s="2682"/>
      <c r="K161" s="190"/>
      <c r="L161" s="190"/>
    </row>
    <row r="162" spans="1:12" s="2572" customFormat="1">
      <c r="A162" s="2259"/>
      <c r="D162" s="2682"/>
      <c r="K162" s="190"/>
      <c r="L162" s="190"/>
    </row>
    <row r="163" spans="1:12" s="2572" customFormat="1">
      <c r="A163" s="2259"/>
      <c r="D163" s="2682"/>
      <c r="K163" s="190"/>
      <c r="L163" s="190"/>
    </row>
    <row r="164" spans="1:12" s="2572" customFormat="1">
      <c r="A164" s="2259"/>
      <c r="D164" s="2682"/>
      <c r="K164" s="190"/>
      <c r="L164" s="190"/>
    </row>
    <row r="165" spans="1:12" s="2572" customFormat="1">
      <c r="A165" s="2259"/>
      <c r="D165" s="2682"/>
      <c r="K165" s="190"/>
      <c r="L165" s="190"/>
    </row>
    <row r="166" spans="1:12" s="2572" customFormat="1">
      <c r="A166" s="2259"/>
      <c r="D166" s="2682"/>
      <c r="K166" s="190"/>
      <c r="L166" s="190"/>
    </row>
    <row r="167" spans="1:12" s="2572" customFormat="1">
      <c r="A167" s="2259"/>
      <c r="D167" s="2682"/>
      <c r="K167" s="190"/>
      <c r="L167" s="190"/>
    </row>
    <row r="168" spans="1:12" s="2572" customFormat="1">
      <c r="A168" s="2259"/>
      <c r="D168" s="2682"/>
      <c r="K168" s="190"/>
      <c r="L168" s="190"/>
    </row>
    <row r="169" spans="1:12" s="2572" customFormat="1">
      <c r="A169" s="2259"/>
      <c r="D169" s="2682"/>
      <c r="K169" s="190"/>
      <c r="L169" s="190"/>
    </row>
    <row r="170" spans="1:12" s="2572" customFormat="1">
      <c r="A170" s="2259"/>
      <c r="D170" s="2682"/>
      <c r="K170" s="190"/>
      <c r="L170" s="190"/>
    </row>
    <row r="171" spans="1:12" s="2572" customFormat="1">
      <c r="A171" s="2259"/>
      <c r="D171" s="2682"/>
      <c r="K171" s="190"/>
      <c r="L171" s="190"/>
    </row>
    <row r="172" spans="1:12" s="2572" customFormat="1">
      <c r="A172" s="2259"/>
      <c r="D172" s="2682"/>
      <c r="K172" s="190"/>
      <c r="L172" s="190"/>
    </row>
    <row r="173" spans="1:12" s="2572" customFormat="1">
      <c r="A173" s="2259"/>
      <c r="D173" s="2682"/>
      <c r="K173" s="190"/>
      <c r="L173" s="190"/>
    </row>
    <row r="174" spans="1:12" s="2572" customFormat="1">
      <c r="A174" s="2259"/>
      <c r="D174" s="2682"/>
      <c r="K174" s="190"/>
      <c r="L174" s="190"/>
    </row>
    <row r="175" spans="1:12" s="2572" customFormat="1">
      <c r="A175" s="2259"/>
      <c r="D175" s="2682"/>
      <c r="K175" s="190"/>
      <c r="L175" s="190"/>
    </row>
    <row r="176" spans="1:12" s="2572" customFormat="1">
      <c r="A176" s="2259"/>
      <c r="D176" s="2682"/>
      <c r="K176" s="190"/>
      <c r="L176" s="190"/>
    </row>
    <row r="177" spans="1:12" s="2572" customFormat="1">
      <c r="A177" s="2259"/>
      <c r="D177" s="2682"/>
      <c r="K177" s="190"/>
      <c r="L177" s="190"/>
    </row>
    <row r="178" spans="1:12" s="2572" customFormat="1">
      <c r="A178" s="2259"/>
      <c r="D178" s="2682"/>
      <c r="K178" s="190"/>
      <c r="L178" s="190"/>
    </row>
    <row r="179" spans="1:12" s="2572" customFormat="1">
      <c r="A179" s="2259"/>
      <c r="D179" s="2682"/>
      <c r="K179" s="190"/>
      <c r="L179" s="190"/>
    </row>
    <row r="180" spans="1:12" s="2572" customFormat="1">
      <c r="A180" s="2259"/>
      <c r="D180" s="2682"/>
      <c r="K180" s="190"/>
      <c r="L180" s="190"/>
    </row>
    <row r="181" spans="1:12" s="2572" customFormat="1">
      <c r="A181" s="2259"/>
      <c r="D181" s="2682"/>
      <c r="K181" s="190"/>
      <c r="L181" s="190"/>
    </row>
    <row r="182" spans="1:12" s="2572" customFormat="1">
      <c r="A182" s="2259"/>
      <c r="D182" s="2682"/>
      <c r="K182" s="190"/>
      <c r="L182" s="190"/>
    </row>
    <row r="183" spans="1:12" s="2572" customFormat="1">
      <c r="A183" s="2259"/>
      <c r="D183" s="2682"/>
      <c r="K183" s="190"/>
      <c r="L183" s="190"/>
    </row>
    <row r="184" spans="1:12" s="2572" customFormat="1">
      <c r="A184" s="2259"/>
      <c r="D184" s="2682"/>
      <c r="K184" s="190"/>
      <c r="L184" s="190"/>
    </row>
    <row r="185" spans="1:12" s="2572" customFormat="1">
      <c r="A185" s="2259"/>
      <c r="D185" s="2682"/>
      <c r="K185" s="190"/>
      <c r="L185" s="190"/>
    </row>
    <row r="186" spans="1:12" s="2572" customFormat="1">
      <c r="A186" s="2259"/>
      <c r="D186" s="2682"/>
      <c r="K186" s="190"/>
      <c r="L186" s="190"/>
    </row>
    <row r="187" spans="1:12" s="2572" customFormat="1">
      <c r="A187" s="2259"/>
      <c r="D187" s="2682"/>
      <c r="K187" s="190"/>
      <c r="L187" s="190"/>
    </row>
    <row r="188" spans="1:12" s="2572" customFormat="1">
      <c r="A188" s="2259"/>
      <c r="D188" s="2682"/>
      <c r="K188" s="190"/>
      <c r="L188" s="190"/>
    </row>
    <row r="189" spans="1:12" s="2572" customFormat="1">
      <c r="A189" s="2259"/>
      <c r="D189" s="2682"/>
      <c r="K189" s="190"/>
      <c r="L189" s="190"/>
    </row>
    <row r="190" spans="1:12" s="2572" customFormat="1">
      <c r="A190" s="2259"/>
      <c r="D190" s="2682"/>
      <c r="K190" s="190"/>
      <c r="L190" s="190"/>
    </row>
    <row r="191" spans="1:12" s="2572" customFormat="1">
      <c r="A191" s="2259"/>
      <c r="D191" s="2682"/>
      <c r="K191" s="190"/>
      <c r="L191" s="190"/>
    </row>
    <row r="192" spans="1:12" s="2572" customFormat="1">
      <c r="A192" s="2259"/>
      <c r="D192" s="2682"/>
      <c r="K192" s="190"/>
      <c r="L192" s="190"/>
    </row>
  </sheetData>
  <sheetProtection formatCells="0" formatColumns="0" formatRows="0"/>
  <phoneticPr fontId="231" type="noConversion"/>
  <conditionalFormatting sqref="T6:T15">
    <cfRule type="expression" dxfId="192" priority="1" stopIfTrue="1">
      <formula>$T$4="按面积比例"</formula>
    </cfRule>
    <cfRule type="containsText" dxfId="191" priority="12" stopIfTrue="1" operator="containsText" text="自行计算">
      <formula>NOT(ISERROR(SEARCH("自行计算",T6)))</formula>
    </cfRule>
    <cfRule type="containsText" dxfId="190" priority="13" stopIfTrue="1" operator="containsText" text="自行计算">
      <formula>NOT(ISERROR(SEARCH("自行计算",T6)))</formula>
    </cfRule>
  </conditionalFormatting>
  <conditionalFormatting sqref="T6:T13">
    <cfRule type="containsText" dxfId="189" priority="10" stopIfTrue="1" operator="containsText" text="自行计算">
      <formula>NOT(ISERROR(SEARCH("自行计算",T6)))</formula>
    </cfRule>
    <cfRule type="containsText" dxfId="188" priority="11" stopIfTrue="1" operator="containsText" text="自行计算">
      <formula>NOT(ISERROR(SEARCH("自行计算",T6)))</formula>
    </cfRule>
  </conditionalFormatting>
  <conditionalFormatting sqref="T12:T13">
    <cfRule type="containsText" dxfId="187" priority="2" stopIfTrue="1" operator="containsText" text="自行计算">
      <formula>NOT(ISERROR(SEARCH("自行计算",T12)))</formula>
    </cfRule>
    <cfRule type="containsText" dxfId="186" priority="3" stopIfTrue="1" operator="containsText" text="自行计算">
      <formula>NOT(ISERROR(SEARCH("自行计算",T12)))</formula>
    </cfRule>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dataValidations count="7">
    <dataValidation type="list" allowBlank="1" showInputMessage="1" showErrorMessage="1" sqref="N5" xr:uid="{00000000-0002-0000-0D00-000000000000}">
      <formula1>"工程进度,成新度"</formula1>
    </dataValidation>
    <dataValidation type="list" allowBlank="1" showInputMessage="1" showErrorMessage="1" sqref="B44" xr:uid="{00000000-0002-0000-0D00-000001000000}">
      <formula1>"7%,5%,1%"</formula1>
    </dataValidation>
    <dataValidation type="list" allowBlank="1" showInputMessage="1" showErrorMessage="1" sqref="B53" xr:uid="{00000000-0002-0000-0D00-000002000000}">
      <formula1>城镇土地纳税等级分级范围</formula1>
    </dataValidation>
    <dataValidation type="list" allowBlank="1" showInputMessage="1" showErrorMessage="1" sqref="B14:B15" xr:uid="{00000000-0002-0000-0D00-000003000000}">
      <formula1>类别</formula1>
    </dataValidation>
    <dataValidation type="list" showInputMessage="1" showErrorMessage="1" sqref="AI6:AI13" xr:uid="{00000000-0002-0000-0D00-000004000000}">
      <formula1>"365,12,1"</formula1>
    </dataValidation>
    <dataValidation type="list" allowBlank="1" showInputMessage="1" showErrorMessage="1" sqref="C6:C15" xr:uid="{00000000-0002-0000-0D00-000005000000}">
      <formula1>地类判定</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G6" sqref="G6"/>
    </sheetView>
  </sheetViews>
  <sheetFormatPr defaultColWidth="9" defaultRowHeight="13.5"/>
  <cols>
    <col min="1" max="1" width="9.5" style="2500" customWidth="1"/>
    <col min="2" max="2" width="23.5" style="2501" customWidth="1"/>
    <col min="3" max="3" width="32.25" style="2502" customWidth="1"/>
    <col min="4" max="4" width="2.625" style="2502" customWidth="1"/>
    <col min="5" max="5" width="5.875" style="2502" customWidth="1"/>
    <col min="6" max="6" width="23.625" style="2501" customWidth="1"/>
    <col min="7" max="7" width="33.375" style="2503" customWidth="1"/>
    <col min="8" max="8" width="11.875" style="2501" customWidth="1"/>
    <col min="9" max="9" width="16.75" style="2503" customWidth="1"/>
    <col min="10" max="10" width="2.625" style="2502" customWidth="1"/>
    <col min="11" max="11" width="11.875" style="2501" customWidth="1"/>
    <col min="12" max="12" width="16.75" style="2503" customWidth="1"/>
    <col min="13" max="13" width="2.625" style="2502" customWidth="1"/>
    <col min="14" max="14" width="11.875" style="2501" customWidth="1"/>
    <col min="15" max="15" width="16.75" style="2503" customWidth="1"/>
    <col min="16" max="16" width="2.625" style="2502" customWidth="1"/>
    <col min="17" max="17" width="11.875" style="2501" customWidth="1"/>
    <col min="18" max="18" width="16.75" style="2504" customWidth="1"/>
    <col min="19" max="16384" width="9" style="2500"/>
  </cols>
  <sheetData>
    <row r="1" spans="1:18" s="2498" customFormat="1" ht="18.75">
      <c r="A1" s="3565" t="s">
        <v>641</v>
      </c>
      <c r="B1" s="3566"/>
      <c r="C1" s="3566"/>
      <c r="D1" s="3566"/>
      <c r="E1" s="3566"/>
      <c r="F1" s="3566"/>
      <c r="G1" s="3566"/>
      <c r="H1" s="2505"/>
      <c r="I1" s="2558"/>
      <c r="J1" s="2559"/>
      <c r="K1" s="2505"/>
      <c r="L1" s="2558"/>
      <c r="M1" s="2559"/>
      <c r="N1" s="2505"/>
      <c r="O1" s="2558"/>
      <c r="P1" s="2559"/>
      <c r="Q1" s="2567"/>
      <c r="R1" s="2568"/>
    </row>
    <row r="2" spans="1:18">
      <c r="A2" s="2506"/>
      <c r="B2" s="2507"/>
      <c r="C2" s="2508" t="s">
        <v>642</v>
      </c>
      <c r="D2" s="2509"/>
      <c r="E2" s="2506"/>
      <c r="F2" s="2510"/>
      <c r="G2" s="2508" t="s">
        <v>164</v>
      </c>
      <c r="H2" s="2500"/>
      <c r="I2" s="2500"/>
      <c r="J2" s="2500"/>
      <c r="K2" s="2500"/>
      <c r="L2" s="2500"/>
      <c r="M2" s="2500"/>
      <c r="N2" s="2500"/>
      <c r="O2" s="2500"/>
      <c r="P2" s="2500"/>
      <c r="Q2" s="2500"/>
      <c r="R2" s="2500"/>
    </row>
    <row r="3" spans="1:18" ht="54">
      <c r="A3" s="2511" t="s">
        <v>643</v>
      </c>
      <c r="B3" s="2512" t="s">
        <v>644</v>
      </c>
      <c r="C3" s="3458" t="s">
        <v>2804</v>
      </c>
      <c r="D3" s="2513"/>
      <c r="E3" s="2514" t="s">
        <v>643</v>
      </c>
      <c r="F3" s="2515" t="s">
        <v>645</v>
      </c>
      <c r="G3" s="2516" t="s">
        <v>646</v>
      </c>
      <c r="H3" s="2500"/>
      <c r="I3" s="2500"/>
      <c r="J3" s="2500"/>
      <c r="K3" s="2500"/>
      <c r="L3" s="2500"/>
      <c r="M3" s="2500"/>
      <c r="N3" s="2500"/>
      <c r="O3" s="2500"/>
      <c r="P3" s="2500"/>
      <c r="Q3" s="2500"/>
      <c r="R3" s="2500"/>
    </row>
    <row r="4" spans="1:18" ht="40.5">
      <c r="A4" s="2514"/>
      <c r="B4" s="2517" t="s">
        <v>647</v>
      </c>
      <c r="C4" s="2518" t="s">
        <v>648</v>
      </c>
      <c r="D4" s="2513"/>
      <c r="E4" s="2519"/>
      <c r="F4" s="2520" t="s">
        <v>649</v>
      </c>
      <c r="G4" s="2521" t="s">
        <v>650</v>
      </c>
      <c r="H4" s="2500"/>
      <c r="I4" s="2500"/>
      <c r="J4" s="2500"/>
      <c r="K4" s="2500"/>
      <c r="L4" s="2500"/>
      <c r="M4" s="2500"/>
      <c r="N4" s="2500"/>
      <c r="O4" s="2500"/>
      <c r="P4" s="2500"/>
      <c r="Q4" s="2500"/>
      <c r="R4" s="2500"/>
    </row>
    <row r="5" spans="1:18" ht="41.25">
      <c r="A5" s="2514"/>
      <c r="B5" s="2517" t="s">
        <v>651</v>
      </c>
      <c r="C5" s="2518" t="s">
        <v>652</v>
      </c>
      <c r="D5" s="2513"/>
      <c r="E5" s="2519"/>
      <c r="F5" s="2517" t="s">
        <v>231</v>
      </c>
      <c r="G5" s="2521" t="s">
        <v>653</v>
      </c>
      <c r="H5" s="2500"/>
      <c r="I5" s="2500"/>
      <c r="J5" s="2500"/>
      <c r="K5" s="2500"/>
      <c r="L5" s="2500"/>
      <c r="M5" s="2500"/>
      <c r="N5" s="2500"/>
      <c r="O5" s="2500"/>
      <c r="P5" s="2500"/>
      <c r="Q5" s="2500"/>
      <c r="R5" s="2500"/>
    </row>
    <row r="6" spans="1:18" ht="78" customHeight="1">
      <c r="A6" s="2514"/>
      <c r="B6" s="2517" t="s">
        <v>649</v>
      </c>
      <c r="C6" s="3376" t="s">
        <v>2806</v>
      </c>
      <c r="D6" s="2513"/>
      <c r="E6" s="2519"/>
      <c r="F6" s="2517" t="s">
        <v>232</v>
      </c>
      <c r="G6" s="2521" t="s">
        <v>654</v>
      </c>
      <c r="H6" s="2500"/>
      <c r="I6" s="2500"/>
      <c r="J6" s="2500"/>
      <c r="K6" s="2500"/>
      <c r="L6" s="2500"/>
      <c r="M6" s="2500"/>
      <c r="N6" s="2500"/>
      <c r="O6" s="2500"/>
      <c r="P6" s="2500"/>
      <c r="Q6" s="2500"/>
      <c r="R6" s="2500"/>
    </row>
    <row r="7" spans="1:18" ht="120">
      <c r="A7" s="2514"/>
      <c r="B7" s="2517" t="s">
        <v>231</v>
      </c>
      <c r="C7" s="3388" t="s">
        <v>2807</v>
      </c>
      <c r="D7" s="2522"/>
      <c r="E7" s="2523"/>
      <c r="F7" s="2524" t="s">
        <v>655</v>
      </c>
      <c r="G7" s="2525" t="s">
        <v>656</v>
      </c>
      <c r="H7" s="2500"/>
      <c r="I7" s="2500"/>
      <c r="J7" s="2500"/>
      <c r="K7" s="2500"/>
      <c r="L7" s="2500"/>
      <c r="M7" s="2500"/>
      <c r="N7" s="2500"/>
      <c r="O7" s="2500"/>
      <c r="P7" s="2500"/>
      <c r="Q7" s="2500"/>
      <c r="R7" s="2500"/>
    </row>
    <row r="8" spans="1:18" ht="30">
      <c r="A8" s="2514"/>
      <c r="B8" s="2517" t="s">
        <v>232</v>
      </c>
      <c r="C8" s="3376" t="s">
        <v>2707</v>
      </c>
      <c r="D8" s="2522"/>
      <c r="E8" s="2522"/>
      <c r="F8" s="2526"/>
      <c r="G8" s="2526"/>
      <c r="H8" s="2500"/>
      <c r="I8" s="2500"/>
      <c r="J8" s="2500"/>
      <c r="K8" s="2500"/>
      <c r="L8" s="2500"/>
      <c r="M8" s="2500"/>
      <c r="N8" s="2500"/>
      <c r="O8" s="2500"/>
      <c r="P8" s="2500"/>
      <c r="Q8" s="2500"/>
      <c r="R8" s="2500"/>
    </row>
    <row r="9" spans="1:18" ht="81.75">
      <c r="A9" s="2514"/>
      <c r="B9" s="2517" t="s">
        <v>657</v>
      </c>
      <c r="C9" s="3378" t="s">
        <v>2805</v>
      </c>
      <c r="D9" s="2513"/>
      <c r="E9" s="2522"/>
      <c r="F9" s="2526"/>
      <c r="G9" s="2526"/>
      <c r="H9" s="2500"/>
      <c r="I9" s="2500"/>
      <c r="J9" s="2500"/>
      <c r="K9" s="2500"/>
      <c r="L9" s="2500"/>
      <c r="M9" s="2500"/>
      <c r="N9" s="2500"/>
      <c r="O9" s="2500"/>
      <c r="P9" s="2500"/>
      <c r="Q9" s="2500"/>
      <c r="R9" s="2500"/>
    </row>
    <row r="10" spans="1:18" s="2499" customFormat="1">
      <c r="A10" s="2527"/>
      <c r="B10" s="2528" t="s">
        <v>658</v>
      </c>
      <c r="C10" s="3377" t="s">
        <v>2706</v>
      </c>
      <c r="D10" s="2513"/>
      <c r="E10" s="2513"/>
      <c r="F10" s="2526"/>
      <c r="G10" s="2526"/>
      <c r="H10" s="2529"/>
      <c r="I10" s="2560"/>
      <c r="J10" s="2561"/>
      <c r="K10" s="2529"/>
      <c r="L10" s="2560"/>
      <c r="M10" s="2561"/>
      <c r="N10" s="2529"/>
      <c r="O10" s="2560"/>
      <c r="P10" s="2561"/>
      <c r="Q10" s="2529"/>
      <c r="R10" s="2560"/>
    </row>
    <row r="11" spans="1:18" s="2499" customFormat="1">
      <c r="A11" s="2530"/>
      <c r="B11" s="2522"/>
      <c r="C11" s="2513"/>
      <c r="D11" s="2513"/>
      <c r="E11" s="2513"/>
      <c r="F11" s="2522"/>
      <c r="G11" s="2531"/>
      <c r="H11" s="2529"/>
      <c r="I11" s="2560"/>
      <c r="J11" s="2561"/>
      <c r="K11" s="2529"/>
      <c r="L11" s="2560"/>
      <c r="M11" s="2561"/>
      <c r="N11" s="2529"/>
      <c r="O11" s="2560"/>
      <c r="P11" s="2561"/>
      <c r="Q11" s="2529"/>
      <c r="R11" s="2560"/>
    </row>
    <row r="12" spans="1:18" s="2498" customFormat="1" ht="18.75">
      <c r="A12" s="2530"/>
      <c r="B12" s="2522"/>
      <c r="C12" s="2513"/>
      <c r="D12" s="2532"/>
      <c r="E12" s="2513"/>
      <c r="F12" s="2522"/>
      <c r="G12" s="2531"/>
      <c r="H12" s="2533"/>
      <c r="I12" s="2562"/>
      <c r="J12" s="2533"/>
      <c r="K12" s="2533"/>
      <c r="L12" s="2563"/>
      <c r="M12" s="2533"/>
      <c r="N12" s="2564"/>
      <c r="O12" s="2565"/>
      <c r="P12" s="2566"/>
      <c r="Q12" s="2564"/>
      <c r="R12" s="2568"/>
    </row>
    <row r="13" spans="1:18" ht="18.75">
      <c r="A13" s="2534" t="s">
        <v>659</v>
      </c>
      <c r="B13" s="2532"/>
      <c r="C13" s="2532"/>
      <c r="D13" s="2509"/>
      <c r="E13" s="2532"/>
      <c r="F13" s="2532"/>
      <c r="G13" s="2532"/>
    </row>
    <row r="14" spans="1:18">
      <c r="A14" s="2535"/>
      <c r="B14" s="2535"/>
      <c r="C14" s="2536" t="s">
        <v>642</v>
      </c>
      <c r="D14" s="2513"/>
      <c r="E14" s="2537"/>
      <c r="F14" s="2537"/>
      <c r="G14" s="2508" t="s">
        <v>164</v>
      </c>
    </row>
    <row r="15" spans="1:18" ht="54">
      <c r="A15" s="2538" t="s">
        <v>643</v>
      </c>
      <c r="B15" s="2539" t="s">
        <v>644</v>
      </c>
      <c r="C15" s="2540" t="str">
        <f>C3</f>
        <v>估价对象位于海淀区温泉镇，估价对象周边有燕保温泉家园、北辰香麓、尚峰尚水尚居园等小区，居住社区成熟度一般。</v>
      </c>
      <c r="D15" s="2513"/>
      <c r="E15" s="2541" t="s">
        <v>643</v>
      </c>
      <c r="F15" s="2539" t="s">
        <v>645</v>
      </c>
      <c r="G15" s="2542" t="str">
        <f>G3</f>
        <v>估价对象位于XX开发区，园区建设成熟度XX，产业集聚程度XX</v>
      </c>
    </row>
    <row r="16" spans="1:18" ht="40.5">
      <c r="A16" s="2543"/>
      <c r="B16" s="2544" t="s">
        <v>647</v>
      </c>
      <c r="C16" s="2545" t="str">
        <f>C4</f>
        <v>估价对象位于XX商圈，周边商业氛围成熟，人流量大，商业繁华度好</v>
      </c>
      <c r="D16" s="2513"/>
      <c r="E16" s="2546"/>
      <c r="F16" s="2547" t="s">
        <v>649</v>
      </c>
      <c r="G16" s="2548" t="str">
        <f>G4</f>
        <v>估价对象周边道路状况、公共交通通达情况、停车便捷程度，综合评价交通便捷度较好</v>
      </c>
    </row>
    <row r="17" spans="1:7" ht="40.5">
      <c r="A17" s="2543"/>
      <c r="B17" s="2544" t="s">
        <v>651</v>
      </c>
      <c r="C17" s="2545" t="str">
        <f>C5</f>
        <v>估价对象位于XX商圈，周边办公楼项目较多，入驻率高，办公集聚程度较好</v>
      </c>
      <c r="D17" s="2522"/>
      <c r="E17" s="2546"/>
      <c r="F17" s="2547" t="s">
        <v>660</v>
      </c>
      <c r="G17" s="2549"/>
    </row>
    <row r="18" spans="1:7" ht="121.5">
      <c r="A18" s="2543"/>
      <c r="B18" s="2547" t="s">
        <v>649</v>
      </c>
      <c r="C18" s="2548" t="str">
        <f>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8" s="2522"/>
      <c r="E18" s="2546"/>
      <c r="F18" s="2547" t="s">
        <v>655</v>
      </c>
      <c r="G18" s="2548" t="str">
        <f>G7</f>
        <v>该园区内是否有污染型企业，绿化情况，卫生条件，整体环境状况判断</v>
      </c>
    </row>
    <row r="19" spans="1:7" ht="27">
      <c r="A19" s="2543"/>
      <c r="B19" s="2547" t="s">
        <v>660</v>
      </c>
      <c r="C19" s="2549"/>
      <c r="D19" s="2513"/>
      <c r="E19" s="2546"/>
      <c r="F19" s="2517" t="s">
        <v>231</v>
      </c>
      <c r="G19" s="2548" t="str">
        <f>G5</f>
        <v>估价对象所在区域公共配套设施齐备情况</v>
      </c>
    </row>
    <row r="20" spans="1:7" ht="81">
      <c r="A20" s="2543"/>
      <c r="B20" s="2547" t="s">
        <v>661</v>
      </c>
      <c r="C20" s="2545" t="str">
        <f>C9</f>
        <v>估价对象所在海淀区温泉镇周边绿化条件较好，周边2公里内有温泉公园、齐物潭、梅花鹿公园、白家疃公园等绿化设施；辛亥滦州革命先烈纪念园等人文设施，综合考虑自然环境与人文环境较好。</v>
      </c>
      <c r="D20" s="2522"/>
      <c r="E20" s="2546"/>
      <c r="F20" s="2517" t="s">
        <v>232</v>
      </c>
      <c r="G20" s="2548" t="str">
        <f>G6</f>
        <v>估价对象所在区域基础设施水平</v>
      </c>
    </row>
    <row r="21" spans="1:7" ht="121.5">
      <c r="A21" s="2543"/>
      <c r="B21" s="2517" t="s">
        <v>231</v>
      </c>
      <c r="C21" s="2548" t="str">
        <f>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21" s="2513"/>
      <c r="E21" s="2546"/>
      <c r="F21" s="2547" t="s">
        <v>662</v>
      </c>
      <c r="G21" s="2550"/>
    </row>
    <row r="22" spans="1:7" ht="27">
      <c r="A22" s="2543"/>
      <c r="B22" s="2517" t="s">
        <v>232</v>
      </c>
      <c r="C22" s="2548" t="str">
        <f>C8</f>
        <v>估价对象所在区域基础设施水平-七通</v>
      </c>
      <c r="D22" s="2513"/>
      <c r="E22" s="2546"/>
      <c r="F22" s="2547" t="s">
        <v>658</v>
      </c>
      <c r="G22" s="2549"/>
    </row>
    <row r="23" spans="1:7" ht="14.25">
      <c r="A23" s="2543"/>
      <c r="B23" s="2547" t="s">
        <v>662</v>
      </c>
      <c r="C23" s="2550"/>
      <c r="E23" s="2551"/>
      <c r="F23" s="2552" t="s">
        <v>217</v>
      </c>
      <c r="G23" s="2553"/>
    </row>
    <row r="24" spans="1:7">
      <c r="A24" s="2554"/>
      <c r="B24" s="2552" t="s">
        <v>658</v>
      </c>
      <c r="C24" s="2555" t="str">
        <f>C10</f>
        <v>城市次干道-温泉路</v>
      </c>
      <c r="E24" s="2556"/>
      <c r="F24" s="2556"/>
      <c r="G24" s="2557"/>
    </row>
    <row r="25" spans="1:7">
      <c r="E25" s="2500"/>
      <c r="F25" s="2500"/>
      <c r="G25" s="2500"/>
    </row>
    <row r="26" spans="1:7">
      <c r="E26" s="2500"/>
      <c r="F26" s="2500"/>
      <c r="G26" s="2500"/>
    </row>
    <row r="27" spans="1:7">
      <c r="E27" s="2500"/>
      <c r="F27" s="2500"/>
      <c r="G27" s="2500"/>
    </row>
    <row r="28" spans="1:7">
      <c r="E28" s="2500"/>
      <c r="F28" s="2500"/>
      <c r="G28" s="2500"/>
    </row>
    <row r="29" spans="1:7">
      <c r="E29" s="2500"/>
      <c r="F29" s="2500"/>
      <c r="G29" s="2500"/>
    </row>
    <row r="30" spans="1:7">
      <c r="E30" s="2500"/>
      <c r="F30" s="2500"/>
      <c r="G30" s="2500"/>
    </row>
    <row r="31" spans="1:7">
      <c r="E31" s="2500"/>
      <c r="F31" s="2500"/>
      <c r="G31" s="2500"/>
    </row>
    <row r="32" spans="1:7">
      <c r="E32" s="2500"/>
      <c r="F32" s="2500"/>
      <c r="G32" s="2500"/>
    </row>
    <row r="33" spans="5:7">
      <c r="E33" s="2500"/>
      <c r="F33" s="2500"/>
      <c r="G33" s="2500"/>
    </row>
    <row r="34" spans="5:7">
      <c r="E34" s="2500"/>
      <c r="F34" s="2500"/>
      <c r="G34" s="2500"/>
    </row>
    <row r="35" spans="5:7">
      <c r="E35" s="2500"/>
      <c r="F35" s="2500"/>
      <c r="G35" s="2500"/>
    </row>
    <row r="36" spans="5:7">
      <c r="E36" s="2500"/>
      <c r="F36" s="2500"/>
      <c r="G36" s="2500"/>
    </row>
    <row r="37" spans="5:7">
      <c r="E37" s="2500"/>
      <c r="F37" s="2500"/>
      <c r="G37" s="2500"/>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workbookViewId="0">
      <selection activeCell="D14" sqref="D14"/>
    </sheetView>
  </sheetViews>
  <sheetFormatPr defaultColWidth="14.625" defaultRowHeight="13.5"/>
  <cols>
    <col min="1" max="1" width="24.375" style="2486" customWidth="1"/>
    <col min="2" max="16384" width="14.625" style="2486"/>
  </cols>
  <sheetData>
    <row r="1" spans="1:10" ht="16.5">
      <c r="A1" s="2487" t="s">
        <v>663</v>
      </c>
      <c r="B1" s="2487">
        <f>SUM(B14:B23)</f>
        <v>63500</v>
      </c>
      <c r="C1" s="2488"/>
      <c r="D1" s="2488"/>
      <c r="E1" s="2488"/>
      <c r="F1" s="2488"/>
      <c r="G1" s="2489"/>
      <c r="H1" s="2489"/>
      <c r="I1" s="2489"/>
      <c r="J1" s="2489"/>
    </row>
    <row r="2" spans="1:10" ht="16.5">
      <c r="A2" s="2487" t="s">
        <v>664</v>
      </c>
      <c r="B2" s="2487">
        <f>SUM(C14:C23)</f>
        <v>25406.38</v>
      </c>
      <c r="C2" s="2488"/>
      <c r="D2" s="2488"/>
      <c r="E2" s="2488"/>
      <c r="F2" s="2488"/>
      <c r="G2" s="2489"/>
      <c r="H2" s="2489"/>
      <c r="I2" s="2489"/>
      <c r="J2" s="2489"/>
    </row>
    <row r="3" spans="1:10" ht="16.5">
      <c r="A3" s="2487" t="s">
        <v>665</v>
      </c>
      <c r="B3" s="2490">
        <f>项目基本情况!D3</f>
        <v>44484</v>
      </c>
      <c r="C3" s="2488"/>
      <c r="D3" s="2488"/>
      <c r="E3" s="2488"/>
      <c r="F3" s="2488"/>
      <c r="G3" s="2489"/>
      <c r="H3" s="2489"/>
      <c r="I3" s="2489"/>
      <c r="J3" s="2489"/>
    </row>
    <row r="4" spans="1:10" ht="33">
      <c r="A4" s="2487" t="s">
        <v>357</v>
      </c>
      <c r="B4" s="2487" t="s">
        <v>666</v>
      </c>
      <c r="C4" s="2487" t="s">
        <v>667</v>
      </c>
      <c r="D4" s="2487" t="s">
        <v>668</v>
      </c>
      <c r="E4" s="2488"/>
      <c r="F4" s="2488"/>
      <c r="G4" s="2489"/>
      <c r="H4" s="2489"/>
      <c r="I4" s="2489"/>
      <c r="J4" s="2489"/>
    </row>
    <row r="5" spans="1:10" ht="16.5">
      <c r="A5" s="2487" t="s">
        <v>669</v>
      </c>
      <c r="B5" s="2487">
        <f ca="1">SUM(D14:D23)</f>
        <v>128539</v>
      </c>
      <c r="C5" s="2487">
        <f ca="1">ROUND(B5*10000/$B$1,0)</f>
        <v>20242</v>
      </c>
      <c r="D5" s="2487">
        <f ca="1">ROUND(B5*10000/$B$2,0)</f>
        <v>50593</v>
      </c>
      <c r="E5" s="2488"/>
      <c r="F5" s="2488"/>
      <c r="G5" s="2489"/>
      <c r="H5" s="2489"/>
      <c r="I5" s="2489"/>
      <c r="J5" s="2489"/>
    </row>
    <row r="6" spans="1:10" ht="16.5">
      <c r="A6" s="2487" t="s">
        <v>670</v>
      </c>
      <c r="B6" s="2487">
        <f>SUM(G14:G23)</f>
        <v>0</v>
      </c>
      <c r="C6" s="2487">
        <f t="shared" ref="C6:C8" si="0">ROUND(B6*10000/$B$1,0)</f>
        <v>0</v>
      </c>
      <c r="D6" s="2487">
        <f t="shared" ref="D6:D8" si="1">ROUND(B6*10000/$B$2,0)</f>
        <v>0</v>
      </c>
      <c r="E6" s="2488"/>
      <c r="F6" s="2488"/>
      <c r="G6" s="2489"/>
      <c r="H6" s="2489"/>
      <c r="I6" s="2489"/>
      <c r="J6" s="2489"/>
    </row>
    <row r="7" spans="1:10" ht="16.5">
      <c r="A7" s="2487" t="s">
        <v>671</v>
      </c>
      <c r="B7" s="2487">
        <f>SUM(H14:H23)</f>
        <v>0</v>
      </c>
      <c r="C7" s="2487">
        <f t="shared" si="0"/>
        <v>0</v>
      </c>
      <c r="D7" s="2487">
        <f t="shared" si="1"/>
        <v>0</v>
      </c>
      <c r="E7" s="2488"/>
      <c r="F7" s="2488"/>
      <c r="G7" s="2489"/>
      <c r="H7" s="2489"/>
      <c r="I7" s="2489"/>
      <c r="J7" s="2489"/>
    </row>
    <row r="8" spans="1:10" ht="16.5">
      <c r="A8" s="2487" t="s">
        <v>343</v>
      </c>
      <c r="B8" s="2487">
        <f>SUM(I14:I23)</f>
        <v>0</v>
      </c>
      <c r="C8" s="2487">
        <f t="shared" si="0"/>
        <v>0</v>
      </c>
      <c r="D8" s="2487">
        <f t="shared" si="1"/>
        <v>0</v>
      </c>
      <c r="E8" s="2488"/>
      <c r="F8" s="2488"/>
      <c r="G8" s="2489"/>
      <c r="H8" s="2489"/>
      <c r="I8" s="2489"/>
      <c r="J8" s="2489"/>
    </row>
    <row r="9" spans="1:10" ht="16.5">
      <c r="A9" s="2487" t="s">
        <v>672</v>
      </c>
      <c r="B9" s="2491"/>
      <c r="C9" s="2488"/>
      <c r="D9" s="2488"/>
      <c r="E9" s="2488"/>
      <c r="F9" s="2488"/>
      <c r="G9" s="2489"/>
      <c r="H9" s="2489"/>
      <c r="I9" s="2489"/>
      <c r="J9" s="2489"/>
    </row>
    <row r="10" spans="1:10" ht="16.5">
      <c r="A10" s="2487" t="s">
        <v>673</v>
      </c>
      <c r="B10" s="2491"/>
      <c r="C10" s="2488"/>
      <c r="D10" s="2488"/>
      <c r="E10" s="2488"/>
      <c r="F10" s="2488"/>
      <c r="G10" s="2489"/>
      <c r="H10" s="2489"/>
      <c r="I10" s="2489"/>
      <c r="J10" s="2489"/>
    </row>
    <row r="11" spans="1:10" ht="16.5">
      <c r="A11" s="2487" t="s">
        <v>674</v>
      </c>
      <c r="B11" s="2491"/>
      <c r="C11" s="2488"/>
      <c r="D11" s="2488"/>
      <c r="E11" s="2488"/>
      <c r="F11" s="2488"/>
      <c r="G11" s="2489"/>
      <c r="H11" s="2489"/>
      <c r="I11" s="2489"/>
      <c r="J11" s="2489"/>
    </row>
    <row r="12" spans="1:10" ht="16.5">
      <c r="A12" s="2488"/>
      <c r="B12" s="2488"/>
      <c r="C12" s="2488"/>
      <c r="D12" s="2488"/>
      <c r="E12" s="2488"/>
      <c r="F12" s="2488"/>
      <c r="G12" s="2489"/>
      <c r="H12" s="2489"/>
      <c r="I12" s="2489"/>
      <c r="J12" s="2489"/>
    </row>
    <row r="13" spans="1:10" ht="33">
      <c r="A13" s="2492" t="s">
        <v>675</v>
      </c>
      <c r="B13" s="2493" t="s">
        <v>663</v>
      </c>
      <c r="C13" s="2493" t="s">
        <v>664</v>
      </c>
      <c r="D13" s="2493" t="s">
        <v>676</v>
      </c>
      <c r="E13" s="2487" t="s">
        <v>667</v>
      </c>
      <c r="F13" s="2487" t="s">
        <v>668</v>
      </c>
      <c r="G13" s="2493" t="s">
        <v>677</v>
      </c>
      <c r="H13" s="2493" t="s">
        <v>678</v>
      </c>
      <c r="I13" s="2493" t="s">
        <v>679</v>
      </c>
      <c r="J13" s="2489"/>
    </row>
    <row r="14" spans="1:10" ht="16.5">
      <c r="A14" s="2494" t="s">
        <v>680</v>
      </c>
      <c r="B14" s="2495">
        <f>结果表!L38</f>
        <v>63500</v>
      </c>
      <c r="C14" s="2495">
        <f>结果表!K38</f>
        <v>25406.38</v>
      </c>
      <c r="D14" s="2495">
        <f ca="1">结果表!C42</f>
        <v>128539</v>
      </c>
      <c r="E14" s="2495">
        <f ca="1">ROUND(D14*10000/B14,0)</f>
        <v>20242</v>
      </c>
      <c r="F14" s="2495">
        <f ca="1">ROUND(D14*10000/C14,0)</f>
        <v>50593</v>
      </c>
      <c r="G14" s="2495" t="str">
        <f>结果表!C44</f>
        <v>——</v>
      </c>
      <c r="H14" s="2495" t="str">
        <f>结果表!C45</f>
        <v>——</v>
      </c>
      <c r="I14" s="2495" t="str">
        <f>结果表!C46</f>
        <v>——</v>
      </c>
      <c r="J14" s="2489"/>
    </row>
    <row r="15" spans="1:10" ht="16.5">
      <c r="A15" s="2494" t="s">
        <v>681</v>
      </c>
      <c r="B15" s="2496"/>
      <c r="C15" s="2496"/>
      <c r="D15" s="2496"/>
      <c r="E15" s="2495" t="e">
        <f t="shared" ref="E15:E23" si="2">ROUND(D15*10000/B15,0)</f>
        <v>#DIV/0!</v>
      </c>
      <c r="F15" s="2495" t="e">
        <f t="shared" ref="F15:F23" si="3">ROUND(D15*10000/C15,0)</f>
        <v>#DIV/0!</v>
      </c>
      <c r="G15" s="2497"/>
      <c r="H15" s="2497"/>
      <c r="I15" s="2496"/>
      <c r="J15" s="2489"/>
    </row>
    <row r="16" spans="1:10" ht="16.5">
      <c r="A16" s="2494" t="s">
        <v>682</v>
      </c>
      <c r="B16" s="2496"/>
      <c r="C16" s="2496"/>
      <c r="D16" s="2496"/>
      <c r="E16" s="2495" t="e">
        <f t="shared" si="2"/>
        <v>#DIV/0!</v>
      </c>
      <c r="F16" s="2495" t="e">
        <f t="shared" si="3"/>
        <v>#DIV/0!</v>
      </c>
      <c r="G16" s="2497"/>
      <c r="H16" s="2497"/>
      <c r="I16" s="2496"/>
      <c r="J16" s="2489"/>
    </row>
    <row r="17" spans="1:10" ht="16.5">
      <c r="A17" s="2494" t="s">
        <v>683</v>
      </c>
      <c r="B17" s="2496"/>
      <c r="C17" s="2496"/>
      <c r="D17" s="2496"/>
      <c r="E17" s="2495" t="e">
        <f t="shared" si="2"/>
        <v>#DIV/0!</v>
      </c>
      <c r="F17" s="2495" t="e">
        <f t="shared" si="3"/>
        <v>#DIV/0!</v>
      </c>
      <c r="G17" s="2497"/>
      <c r="H17" s="2497"/>
      <c r="I17" s="2496"/>
      <c r="J17" s="2489"/>
    </row>
    <row r="18" spans="1:10" ht="16.5">
      <c r="A18" s="2494" t="s">
        <v>684</v>
      </c>
      <c r="B18" s="2496"/>
      <c r="C18" s="2496"/>
      <c r="D18" s="2496"/>
      <c r="E18" s="2495" t="e">
        <f t="shared" si="2"/>
        <v>#DIV/0!</v>
      </c>
      <c r="F18" s="2495" t="e">
        <f t="shared" si="3"/>
        <v>#DIV/0!</v>
      </c>
      <c r="G18" s="2496"/>
      <c r="H18" s="2496"/>
      <c r="I18" s="2496"/>
      <c r="J18" s="2489"/>
    </row>
    <row r="19" spans="1:10" ht="16.5">
      <c r="A19" s="2494" t="s">
        <v>685</v>
      </c>
      <c r="B19" s="2496"/>
      <c r="C19" s="2496"/>
      <c r="D19" s="2496"/>
      <c r="E19" s="2495" t="e">
        <f t="shared" si="2"/>
        <v>#DIV/0!</v>
      </c>
      <c r="F19" s="2495" t="e">
        <f t="shared" si="3"/>
        <v>#DIV/0!</v>
      </c>
      <c r="G19" s="2496"/>
      <c r="H19" s="2496"/>
      <c r="I19" s="2496"/>
      <c r="J19" s="2489"/>
    </row>
    <row r="20" spans="1:10" ht="16.5">
      <c r="A20" s="2494" t="s">
        <v>686</v>
      </c>
      <c r="B20" s="2496"/>
      <c r="C20" s="2496"/>
      <c r="D20" s="2496"/>
      <c r="E20" s="2495" t="e">
        <f t="shared" si="2"/>
        <v>#DIV/0!</v>
      </c>
      <c r="F20" s="2495" t="e">
        <f t="shared" si="3"/>
        <v>#DIV/0!</v>
      </c>
      <c r="G20" s="2496"/>
      <c r="H20" s="2496"/>
      <c r="I20" s="2496"/>
      <c r="J20" s="2489"/>
    </row>
    <row r="21" spans="1:10" ht="16.5">
      <c r="A21" s="2494" t="s">
        <v>687</v>
      </c>
      <c r="B21" s="2496"/>
      <c r="C21" s="2496"/>
      <c r="D21" s="2496"/>
      <c r="E21" s="2495" t="e">
        <f t="shared" si="2"/>
        <v>#DIV/0!</v>
      </c>
      <c r="F21" s="2495" t="e">
        <f t="shared" si="3"/>
        <v>#DIV/0!</v>
      </c>
      <c r="G21" s="2496"/>
      <c r="H21" s="2496"/>
      <c r="I21" s="2496"/>
      <c r="J21" s="2489"/>
    </row>
    <row r="22" spans="1:10" ht="16.5">
      <c r="A22" s="2494" t="s">
        <v>688</v>
      </c>
      <c r="B22" s="2496"/>
      <c r="C22" s="2496"/>
      <c r="D22" s="2496"/>
      <c r="E22" s="2495" t="e">
        <f t="shared" si="2"/>
        <v>#DIV/0!</v>
      </c>
      <c r="F22" s="2495" t="e">
        <f t="shared" si="3"/>
        <v>#DIV/0!</v>
      </c>
      <c r="G22" s="2496"/>
      <c r="H22" s="2496"/>
      <c r="I22" s="2496"/>
      <c r="J22" s="2489"/>
    </row>
    <row r="23" spans="1:10" ht="16.5">
      <c r="A23" s="2494" t="s">
        <v>689</v>
      </c>
      <c r="B23" s="2496"/>
      <c r="C23" s="2496"/>
      <c r="D23" s="2496"/>
      <c r="E23" s="2491" t="e">
        <f t="shared" si="2"/>
        <v>#DIV/0!</v>
      </c>
      <c r="F23" s="2491" t="e">
        <f t="shared" si="3"/>
        <v>#DIV/0!</v>
      </c>
      <c r="G23" s="2496"/>
      <c r="H23" s="2496"/>
      <c r="I23" s="2496"/>
      <c r="J23" s="2489"/>
    </row>
    <row r="24" spans="1:10">
      <c r="A24" s="2489"/>
      <c r="B24" s="2489"/>
      <c r="C24" s="2489"/>
      <c r="D24" s="2489"/>
      <c r="E24" s="2489"/>
      <c r="F24" s="2489"/>
      <c r="G24" s="2489"/>
      <c r="H24" s="2489"/>
      <c r="I24" s="2489"/>
      <c r="J24" s="2489"/>
    </row>
    <row r="25" spans="1:10">
      <c r="A25" s="2489"/>
      <c r="B25" s="2489"/>
      <c r="C25" s="2489"/>
      <c r="D25" s="2489"/>
      <c r="E25" s="2489"/>
      <c r="F25" s="2489"/>
      <c r="G25" s="2489"/>
      <c r="H25" s="2489"/>
      <c r="I25" s="2489"/>
      <c r="J25" s="2489"/>
    </row>
    <row r="26" spans="1:10">
      <c r="A26" s="2489"/>
      <c r="B26" s="2489"/>
      <c r="C26" s="2489"/>
      <c r="D26" s="2489"/>
      <c r="E26" s="2489"/>
      <c r="F26" s="2489"/>
      <c r="G26" s="2489"/>
      <c r="H26" s="2489"/>
      <c r="I26" s="2489"/>
      <c r="J26" s="2489"/>
    </row>
  </sheetData>
  <sheetProtection password="CEE9" sheet="1" objects="1" scenarios="1" formatCells="0" formatColumns="0" formatRows="0"/>
  <phoneticPr fontId="231"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90" zoomScaleNormal="100" zoomScaleSheetLayoutView="90" zoomScalePageLayoutView="80" workbookViewId="0">
      <selection activeCell="D17" sqref="D17"/>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152" t="s">
        <v>690</v>
      </c>
      <c r="B1" s="2153"/>
      <c r="C1" s="2154" t="s">
        <v>691</v>
      </c>
      <c r="D1" s="2155"/>
      <c r="E1" s="2154" t="s">
        <v>692</v>
      </c>
      <c r="F1" s="2156"/>
      <c r="G1" s="115"/>
      <c r="H1" s="115"/>
      <c r="I1" s="115"/>
      <c r="J1" s="182"/>
      <c r="K1" s="182"/>
      <c r="L1" s="182"/>
      <c r="M1" s="182"/>
      <c r="N1" s="182"/>
      <c r="O1" s="182"/>
      <c r="P1" s="182"/>
      <c r="Q1" s="182"/>
      <c r="R1" s="182"/>
      <c r="S1" s="182"/>
      <c r="T1" s="182"/>
      <c r="U1" s="182"/>
      <c r="V1" s="182"/>
    </row>
    <row r="2" spans="1:22" ht="21.75" customHeight="1">
      <c r="A2" s="3638" t="str">
        <f>项目基本情况!K2</f>
        <v>北京市出让国有建设用地使用权</v>
      </c>
      <c r="B2" s="3639"/>
      <c r="C2" s="3640"/>
      <c r="D2" s="3640"/>
      <c r="E2" s="3640"/>
      <c r="F2" s="3640"/>
      <c r="G2" s="3639"/>
      <c r="H2" s="3639"/>
      <c r="I2" s="3641"/>
      <c r="J2" s="2268"/>
      <c r="K2" s="182"/>
      <c r="L2" s="182"/>
      <c r="M2" s="182"/>
      <c r="N2" s="182"/>
      <c r="O2" s="182"/>
      <c r="P2" s="182"/>
      <c r="Q2" s="182"/>
      <c r="R2" s="182"/>
      <c r="S2" s="182"/>
      <c r="T2" s="182"/>
      <c r="U2" s="182"/>
      <c r="V2" s="182"/>
    </row>
    <row r="3" spans="1:22" ht="14.25">
      <c r="A3" s="3642" t="s">
        <v>693</v>
      </c>
      <c r="B3" s="3643"/>
      <c r="C3" s="3643"/>
      <c r="D3" s="3643"/>
      <c r="E3" s="3643"/>
      <c r="F3" s="3643"/>
      <c r="G3" s="3643"/>
      <c r="H3" s="3643"/>
      <c r="I3" s="3643"/>
      <c r="J3" s="2268"/>
      <c r="K3" s="182"/>
      <c r="L3" s="182"/>
      <c r="M3" s="182"/>
      <c r="N3" s="182"/>
      <c r="O3" s="182"/>
      <c r="P3" s="182"/>
      <c r="Q3" s="182"/>
      <c r="R3" s="182"/>
      <c r="S3" s="182"/>
      <c r="T3" s="182"/>
      <c r="U3" s="182"/>
      <c r="V3" s="182"/>
    </row>
    <row r="4" spans="1:22" ht="14.25">
      <c r="A4" s="2157" t="s">
        <v>694</v>
      </c>
      <c r="B4" s="2122" t="s">
        <v>695</v>
      </c>
      <c r="C4" s="2158" t="s">
        <v>2669</v>
      </c>
      <c r="D4" s="2158" t="s">
        <v>173</v>
      </c>
      <c r="E4" s="3610" t="s">
        <v>696</v>
      </c>
      <c r="F4" s="3612"/>
      <c r="G4" s="3612"/>
      <c r="H4" s="3612"/>
      <c r="I4" s="3611"/>
      <c r="J4" s="2268"/>
      <c r="K4" s="182"/>
      <c r="L4" s="2270" t="str">
        <f>IF(ISNUMBER(FIND("比较法",C4)),"比较法",IF(ISNUMBER(FIND("成本法",C4)),"成本法",IF(ISNUMBER(FIND("剩余法",C4)),"剩余法",IF(ISNUMBER(FIND("收益法",C4)),"收益法","基准地价系数修正法"))))</f>
        <v>剩余法</v>
      </c>
      <c r="M4" s="116" t="str">
        <f>IF(ISNUMBER(FIND("比较法",D4)),"比较法",IF(ISNUMBER(FIND("成本法",D4)),"成本法",IF(ISNUMBER(FIND("剩余法",D4)),"剩余法",IF(ISNUMBER(FIND("收益法",D4)),"收益法","基准地价系数修正法"))))</f>
        <v>基准地价系数修正法</v>
      </c>
      <c r="N4" s="182"/>
      <c r="O4" s="182"/>
      <c r="P4" s="182"/>
      <c r="Q4" s="182"/>
      <c r="R4" s="182"/>
      <c r="S4" s="182"/>
      <c r="T4" s="182"/>
      <c r="U4" s="182"/>
      <c r="V4" s="182"/>
    </row>
    <row r="5" spans="1:22" ht="14.25">
      <c r="A5" s="3647" t="s">
        <v>697</v>
      </c>
      <c r="B5" s="3635">
        <v>25</v>
      </c>
      <c r="C5" s="3583"/>
      <c r="D5" s="3586"/>
      <c r="E5" s="791" t="s">
        <v>698</v>
      </c>
      <c r="F5" s="2161"/>
      <c r="G5" s="2161"/>
      <c r="H5" s="2161"/>
      <c r="I5" s="2271"/>
      <c r="J5" s="2268"/>
      <c r="K5" s="182"/>
      <c r="L5" s="182"/>
      <c r="M5" s="182"/>
      <c r="N5" s="182"/>
      <c r="O5" s="182"/>
      <c r="P5" s="182"/>
      <c r="Q5" s="182"/>
      <c r="R5" s="182"/>
      <c r="S5" s="182"/>
      <c r="T5" s="182"/>
      <c r="U5" s="182"/>
      <c r="V5" s="182"/>
    </row>
    <row r="6" spans="1:22" ht="14.25">
      <c r="A6" s="3647"/>
      <c r="B6" s="3635"/>
      <c r="C6" s="3584"/>
      <c r="D6" s="3586"/>
      <c r="E6" s="791" t="s">
        <v>699</v>
      </c>
      <c r="F6" s="2161"/>
      <c r="G6" s="2161"/>
      <c r="H6" s="2161"/>
      <c r="I6" s="2271"/>
      <c r="J6" s="2268"/>
      <c r="K6" s="182"/>
      <c r="L6" s="182"/>
      <c r="M6" s="182"/>
      <c r="N6" s="182"/>
      <c r="O6" s="182"/>
      <c r="P6" s="182"/>
      <c r="Q6" s="182"/>
      <c r="R6" s="182"/>
      <c r="S6" s="182"/>
      <c r="T6" s="182"/>
      <c r="U6" s="182"/>
      <c r="V6" s="182"/>
    </row>
    <row r="7" spans="1:22" ht="14.25">
      <c r="A7" s="3647"/>
      <c r="B7" s="3635"/>
      <c r="C7" s="3585"/>
      <c r="D7" s="3586"/>
      <c r="E7" s="791" t="s">
        <v>700</v>
      </c>
      <c r="F7" s="2161"/>
      <c r="G7" s="2161"/>
      <c r="H7" s="2161"/>
      <c r="I7" s="2271"/>
      <c r="J7" s="2268"/>
      <c r="K7" s="182"/>
      <c r="L7" s="182"/>
      <c r="M7" s="182"/>
      <c r="N7" s="182"/>
      <c r="O7" s="182"/>
      <c r="P7" s="182"/>
      <c r="Q7" s="182"/>
      <c r="R7" s="182"/>
      <c r="S7" s="182"/>
      <c r="T7" s="182"/>
      <c r="U7" s="182"/>
      <c r="V7" s="182"/>
    </row>
    <row r="8" spans="1:22" ht="14.25">
      <c r="A8" s="3647" t="s">
        <v>701</v>
      </c>
      <c r="B8" s="3635">
        <v>15</v>
      </c>
      <c r="C8" s="3583"/>
      <c r="D8" s="3586"/>
      <c r="E8" s="791" t="s">
        <v>702</v>
      </c>
      <c r="F8" s="2161"/>
      <c r="G8" s="2161"/>
      <c r="H8" s="2161"/>
      <c r="I8" s="2271"/>
      <c r="J8" s="2268"/>
      <c r="K8" s="182"/>
      <c r="L8" s="182"/>
      <c r="M8" s="182"/>
      <c r="N8" s="182"/>
      <c r="O8" s="182"/>
      <c r="P8" s="182"/>
      <c r="Q8" s="182"/>
      <c r="R8" s="182"/>
      <c r="S8" s="182"/>
      <c r="T8" s="182"/>
      <c r="U8" s="182"/>
      <c r="V8" s="182"/>
    </row>
    <row r="9" spans="1:22" ht="14.25">
      <c r="A9" s="3647"/>
      <c r="B9" s="3635"/>
      <c r="C9" s="3585"/>
      <c r="D9" s="3586"/>
      <c r="E9" s="791" t="s">
        <v>703</v>
      </c>
      <c r="F9" s="2161"/>
      <c r="G9" s="2161"/>
      <c r="H9" s="2161"/>
      <c r="I9" s="2271"/>
      <c r="J9" s="2268"/>
      <c r="K9" s="182"/>
      <c r="L9" s="182"/>
      <c r="M9" s="182"/>
      <c r="N9" s="182"/>
      <c r="O9" s="182"/>
      <c r="P9" s="182"/>
      <c r="Q9" s="182"/>
      <c r="R9" s="182"/>
      <c r="S9" s="182"/>
      <c r="T9" s="182"/>
      <c r="U9" s="182"/>
      <c r="V9" s="182"/>
    </row>
    <row r="10" spans="1:22" ht="14.25">
      <c r="A10" s="3647" t="s">
        <v>704</v>
      </c>
      <c r="B10" s="3635">
        <v>15</v>
      </c>
      <c r="C10" s="3583"/>
      <c r="D10" s="3586"/>
      <c r="E10" s="791" t="s">
        <v>705</v>
      </c>
      <c r="F10" s="2161"/>
      <c r="G10" s="2161"/>
      <c r="H10" s="2161"/>
      <c r="I10" s="2271"/>
      <c r="J10" s="2268"/>
      <c r="K10" s="182"/>
      <c r="L10" s="182"/>
      <c r="M10" s="182"/>
      <c r="N10" s="182"/>
      <c r="O10" s="182"/>
      <c r="P10" s="182"/>
      <c r="Q10" s="182"/>
      <c r="R10" s="182"/>
      <c r="S10" s="182"/>
      <c r="T10" s="182"/>
      <c r="U10" s="182"/>
      <c r="V10" s="182"/>
    </row>
    <row r="11" spans="1:22" ht="14.25">
      <c r="A11" s="3647"/>
      <c r="B11" s="3635"/>
      <c r="C11" s="3585"/>
      <c r="D11" s="3586"/>
      <c r="E11" s="791" t="s">
        <v>706</v>
      </c>
      <c r="F11" s="2161"/>
      <c r="G11" s="2161"/>
      <c r="H11" s="2161"/>
      <c r="I11" s="2271"/>
      <c r="J11" s="2268"/>
      <c r="K11" s="182"/>
      <c r="L11" s="182"/>
      <c r="M11" s="182"/>
      <c r="N11" s="182"/>
      <c r="O11" s="182"/>
      <c r="P11" s="182"/>
      <c r="Q11" s="182"/>
      <c r="R11" s="182"/>
      <c r="S11" s="182"/>
      <c r="T11" s="182"/>
      <c r="U11" s="182"/>
      <c r="V11" s="182"/>
    </row>
    <row r="12" spans="1:22" ht="14.25">
      <c r="A12" s="3647" t="s">
        <v>707</v>
      </c>
      <c r="B12" s="3635">
        <v>15</v>
      </c>
      <c r="C12" s="3583"/>
      <c r="D12" s="3586"/>
      <c r="E12" s="791" t="s">
        <v>708</v>
      </c>
      <c r="F12" s="2161"/>
      <c r="G12" s="2161"/>
      <c r="H12" s="2161"/>
      <c r="I12" s="2271"/>
      <c r="J12" s="2268"/>
      <c r="K12" s="182"/>
      <c r="L12" s="182"/>
      <c r="M12" s="182"/>
      <c r="N12" s="182"/>
      <c r="O12" s="182"/>
      <c r="P12" s="182"/>
      <c r="Q12" s="182"/>
      <c r="R12" s="182"/>
      <c r="S12" s="182"/>
      <c r="T12" s="182"/>
      <c r="U12" s="182"/>
      <c r="V12" s="182"/>
    </row>
    <row r="13" spans="1:22" ht="14.25">
      <c r="A13" s="3647"/>
      <c r="B13" s="3635"/>
      <c r="C13" s="3585"/>
      <c r="D13" s="3586"/>
      <c r="E13" s="791" t="s">
        <v>709</v>
      </c>
      <c r="F13" s="2161"/>
      <c r="G13" s="2161"/>
      <c r="H13" s="2161"/>
      <c r="I13" s="2271"/>
      <c r="J13" s="2268"/>
      <c r="K13" s="182"/>
      <c r="L13" s="182"/>
      <c r="M13" s="117"/>
      <c r="N13" s="182"/>
      <c r="O13" s="182"/>
      <c r="P13" s="182"/>
      <c r="Q13" s="182"/>
      <c r="R13" s="182"/>
      <c r="S13" s="182"/>
      <c r="T13" s="182"/>
      <c r="U13" s="182"/>
      <c r="V13" s="182"/>
    </row>
    <row r="14" spans="1:22" ht="14.25">
      <c r="A14" s="3647" t="s">
        <v>710</v>
      </c>
      <c r="B14" s="3635">
        <v>30</v>
      </c>
      <c r="C14" s="3583">
        <v>7</v>
      </c>
      <c r="D14" s="3586">
        <v>3</v>
      </c>
      <c r="E14" s="791" t="s">
        <v>711</v>
      </c>
      <c r="F14" s="2161"/>
      <c r="G14" s="2161"/>
      <c r="H14" s="2161"/>
      <c r="I14" s="2271"/>
      <c r="J14" s="2268"/>
      <c r="K14" s="182"/>
      <c r="L14" s="182"/>
      <c r="M14" s="3366" t="s">
        <v>2665</v>
      </c>
      <c r="N14" s="3367" t="s">
        <v>2666</v>
      </c>
      <c r="O14" s="3367"/>
      <c r="P14" s="3367" t="s">
        <v>2667</v>
      </c>
      <c r="Q14" s="182"/>
      <c r="R14" s="182"/>
      <c r="S14" s="182"/>
      <c r="T14" s="182"/>
      <c r="U14" s="182"/>
      <c r="V14" s="182"/>
    </row>
    <row r="15" spans="1:22" ht="14.25">
      <c r="A15" s="3647"/>
      <c r="B15" s="3635"/>
      <c r="C15" s="3584"/>
      <c r="D15" s="3586"/>
      <c r="E15" s="791" t="s">
        <v>712</v>
      </c>
      <c r="F15" s="2161"/>
      <c r="G15" s="2161"/>
      <c r="H15" s="2161"/>
      <c r="I15" s="2271"/>
      <c r="J15" s="2268"/>
      <c r="K15" s="182"/>
      <c r="L15" s="182"/>
      <c r="M15" s="117">
        <v>20454.400000000001</v>
      </c>
      <c r="N15" s="3368">
        <f ca="1">基准地价!C30</f>
        <v>2652</v>
      </c>
      <c r="O15" s="3369">
        <f ca="1">M15+N15</f>
        <v>23106.400000000001</v>
      </c>
      <c r="P15" s="182">
        <f ca="1">'基准地价 (2)'!C29</f>
        <v>6222</v>
      </c>
      <c r="Q15" s="182"/>
      <c r="R15" s="182"/>
      <c r="S15" s="182"/>
      <c r="T15" s="182"/>
      <c r="U15" s="182"/>
      <c r="V15" s="182"/>
    </row>
    <row r="16" spans="1:22" ht="14.25">
      <c r="A16" s="3647"/>
      <c r="B16" s="3635"/>
      <c r="C16" s="3585"/>
      <c r="D16" s="3586"/>
      <c r="E16" s="791" t="s">
        <v>713</v>
      </c>
      <c r="F16" s="2161"/>
      <c r="G16" s="2161"/>
      <c r="H16" s="2161"/>
      <c r="I16" s="2271"/>
      <c r="J16" s="2268"/>
      <c r="K16" s="182"/>
      <c r="L16" s="182"/>
      <c r="M16" s="117"/>
      <c r="N16" s="182"/>
      <c r="O16" s="182"/>
      <c r="P16" s="182"/>
      <c r="Q16" s="182"/>
      <c r="R16" s="182"/>
      <c r="S16" s="182"/>
      <c r="T16" s="182"/>
      <c r="U16" s="182"/>
      <c r="V16" s="182"/>
    </row>
    <row r="17" spans="1:26" ht="15">
      <c r="A17" s="2162" t="s">
        <v>714</v>
      </c>
      <c r="B17" s="2163"/>
      <c r="C17" s="2164">
        <f>SUM(C5:C16)</f>
        <v>7</v>
      </c>
      <c r="D17" s="2164">
        <f>SUM(D5:D16)</f>
        <v>3</v>
      </c>
      <c r="E17" s="115"/>
      <c r="F17" s="115"/>
      <c r="G17" s="115"/>
      <c r="H17" s="115"/>
      <c r="I17" s="115"/>
      <c r="J17" s="2268"/>
      <c r="K17" s="182"/>
      <c r="L17" s="182"/>
      <c r="M17" s="117"/>
      <c r="N17" s="182"/>
      <c r="O17" s="182"/>
      <c r="P17" s="182"/>
      <c r="Q17" s="182"/>
      <c r="R17" s="182"/>
      <c r="S17" s="182"/>
      <c r="T17" s="182"/>
      <c r="U17" s="182"/>
      <c r="V17" s="182"/>
    </row>
    <row r="18" spans="1:26" ht="32.450000000000003" customHeight="1">
      <c r="A18" s="2165" t="s">
        <v>715</v>
      </c>
      <c r="B18" s="2166"/>
      <c r="C18" s="2167">
        <f>ROUND(C17/SUM(C17:D17),2)</f>
        <v>0.7</v>
      </c>
      <c r="D18" s="2167">
        <f>1-C18</f>
        <v>0.30000000000000004</v>
      </c>
      <c r="E18" s="3644" t="s">
        <v>716</v>
      </c>
      <c r="F18" s="3645"/>
      <c r="G18" s="3645"/>
      <c r="H18" s="3645"/>
      <c r="I18" s="3645"/>
      <c r="J18" s="182"/>
      <c r="K18" s="182"/>
      <c r="L18" s="182"/>
      <c r="M18" s="117"/>
      <c r="N18" s="182"/>
      <c r="O18" s="182"/>
      <c r="P18" s="182"/>
      <c r="Q18" s="182"/>
      <c r="R18" s="182"/>
      <c r="S18" s="182"/>
      <c r="T18" s="182"/>
      <c r="U18" s="182"/>
      <c r="V18" s="182"/>
    </row>
    <row r="19" spans="1:26" ht="15">
      <c r="A19" s="2168" t="s">
        <v>717</v>
      </c>
      <c r="B19" s="2169" t="s">
        <v>718</v>
      </c>
      <c r="C19" s="2170">
        <f ca="1">SUMIF(INDIRECT("'"&amp;C4&amp;"'"&amp;"!A:A"),结果表!B19,INDIRECT("'"&amp;C4&amp;"'"&amp;"!B:B"))</f>
        <v>154758</v>
      </c>
      <c r="D19" s="2171">
        <f ca="1">SUMIF(INDIRECT("'"&amp;D4&amp;"'"&amp;"!A:A"),结果表!B19,INDIRECT("'"&amp;D4&amp;"'"&amp;"!B:B"))</f>
        <v>67361</v>
      </c>
      <c r="E19" s="2168" t="s">
        <v>719</v>
      </c>
      <c r="F19" s="2169" t="s">
        <v>718</v>
      </c>
      <c r="G19" s="2172">
        <f ca="1">ROUND(C19*$C$18+D19*$D$18,0)</f>
        <v>128539</v>
      </c>
      <c r="H19" s="2173" t="s">
        <v>720</v>
      </c>
      <c r="I19" s="115"/>
      <c r="J19" s="182"/>
      <c r="K19" s="182"/>
      <c r="L19" s="182"/>
      <c r="M19" s="182"/>
      <c r="N19" s="182"/>
      <c r="O19" s="182"/>
      <c r="P19" s="182"/>
      <c r="Q19" s="182"/>
      <c r="R19" s="182"/>
      <c r="S19" s="182"/>
      <c r="T19" s="182"/>
      <c r="U19" s="182"/>
      <c r="V19" s="182"/>
    </row>
    <row r="20" spans="1:26" ht="15">
      <c r="A20" s="2174"/>
      <c r="B20" s="2175" t="s">
        <v>261</v>
      </c>
      <c r="C20" s="2176">
        <f ca="1">SUMIF(INDIRECT("'"&amp;C4&amp;"'"&amp;"!A:A"),结果表!B20,INDIRECT("'"&amp;C4&amp;"'"&amp;"!B:B"))</f>
        <v>24371</v>
      </c>
      <c r="D20" s="2177">
        <f ca="1">SUMIF(INDIRECT("'"&amp;D4&amp;"'"&amp;"!A:A"),结果表!B20,INDIRECT("'"&amp;D4&amp;"'"&amp;"!B:B"))</f>
        <v>10608</v>
      </c>
      <c r="E20" s="2174"/>
      <c r="F20" s="2175" t="s">
        <v>261</v>
      </c>
      <c r="G20" s="2178">
        <f ca="1">ROUND(C20*$C$18+D20*$D$18,0)</f>
        <v>20242</v>
      </c>
      <c r="H20" s="2104" t="s">
        <v>721</v>
      </c>
      <c r="I20" s="115"/>
      <c r="J20" s="182"/>
      <c r="K20" s="182"/>
      <c r="L20" s="182"/>
      <c r="M20" s="182"/>
      <c r="N20" s="182"/>
      <c r="O20" s="182"/>
      <c r="P20" s="182"/>
      <c r="Q20" s="182"/>
      <c r="R20" s="182"/>
      <c r="S20" s="182"/>
      <c r="T20" s="182"/>
      <c r="U20" s="182"/>
      <c r="V20" s="182"/>
    </row>
    <row r="21" spans="1:26" ht="15" customHeight="1">
      <c r="A21" s="2174"/>
      <c r="B21" s="2179" t="s">
        <v>249</v>
      </c>
      <c r="C21" s="2180">
        <f ca="1">SUMIF(INDIRECT("'"&amp;C4&amp;"'"&amp;"!A:A"),结果表!B21,INDIRECT("'"&amp;C4&amp;"'"&amp;"!B:B"))</f>
        <v>60913</v>
      </c>
      <c r="D21" s="2181" t="e">
        <f ca="1">SUMIF(INDIRECT("'"&amp;D4&amp;"'"&amp;"!A:A"),结果表!B21,INDIRECT("'"&amp;D4&amp;"'"&amp;"!B:B"))</f>
        <v>#DIV/0!</v>
      </c>
      <c r="E21" s="2174"/>
      <c r="F21" s="2179" t="s">
        <v>249</v>
      </c>
      <c r="G21" s="2182" t="e">
        <f ca="1">ROUND(C21*$C$18+D21*$D$18,0)</f>
        <v>#DIV/0!</v>
      </c>
      <c r="H21" s="2183" t="s">
        <v>721</v>
      </c>
      <c r="I21" s="115"/>
      <c r="J21" s="182"/>
      <c r="K21" s="182"/>
      <c r="L21" s="182"/>
      <c r="M21" s="182"/>
      <c r="N21" s="182"/>
      <c r="O21" s="182"/>
      <c r="P21" s="182"/>
      <c r="Q21" s="182"/>
      <c r="R21" s="182"/>
      <c r="S21" s="182"/>
      <c r="T21" s="182"/>
      <c r="U21" s="182"/>
      <c r="V21" s="182"/>
    </row>
    <row r="22" spans="1:26" ht="15">
      <c r="A22" s="2184" t="s">
        <v>722</v>
      </c>
      <c r="B22" s="2185"/>
      <c r="C22" s="2186"/>
      <c r="D22" s="2187">
        <f ca="1">IF(C19&lt;D19,D19/C19-1,C19/D19-1)</f>
        <v>1.2974421401107468</v>
      </c>
      <c r="E22" s="2096"/>
      <c r="F22" s="2188"/>
      <c r="G22" s="2189">
        <f ca="1">ROUND(G19/('数据-汇总表'!D3/666.67),0)</f>
        <v>3373</v>
      </c>
      <c r="H22" s="2190" t="s">
        <v>723</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587" t="s">
        <v>724</v>
      </c>
      <c r="B24" s="2169" t="s">
        <v>718</v>
      </c>
      <c r="C24" s="2191">
        <f>IF(B30=0,0,D30)</f>
        <v>0</v>
      </c>
      <c r="D24" s="2192"/>
      <c r="E24" s="115"/>
      <c r="F24" s="115"/>
      <c r="G24" s="115"/>
      <c r="H24" s="115"/>
      <c r="I24" s="115"/>
      <c r="J24" s="182"/>
      <c r="K24" s="182"/>
      <c r="L24" s="182"/>
      <c r="M24" s="182"/>
      <c r="N24" s="182"/>
      <c r="O24" s="182"/>
      <c r="P24" s="182"/>
      <c r="Q24" s="182"/>
      <c r="R24" s="182"/>
      <c r="S24" s="182"/>
      <c r="T24" s="182"/>
      <c r="U24" s="182"/>
      <c r="V24" s="182"/>
    </row>
    <row r="25" spans="1:26" ht="18">
      <c r="A25" s="3648"/>
      <c r="B25" s="2193" t="s">
        <v>894</v>
      </c>
      <c r="C25" s="2194">
        <f>IF(B30=0,0,C30)</f>
        <v>0</v>
      </c>
      <c r="D25" s="2195"/>
      <c r="E25" s="115"/>
      <c r="F25" s="115"/>
      <c r="G25" s="115"/>
      <c r="H25" s="115"/>
      <c r="I25" s="115"/>
      <c r="J25" s="182"/>
      <c r="K25" s="2272" t="str">
        <f ca="1">项目基本情况!B16&amp;"国有建设用地使用权价格："&amp;O38&amp;"万元"</f>
        <v>出让国有建设用地使用权价格：128539万元</v>
      </c>
      <c r="L25" s="2273"/>
      <c r="M25" s="2273"/>
      <c r="N25" s="2273"/>
      <c r="O25" s="2274"/>
      <c r="P25" s="182"/>
      <c r="Q25" s="182"/>
      <c r="R25" s="182"/>
      <c r="S25" s="182"/>
      <c r="T25" s="182"/>
      <c r="U25" s="182"/>
      <c r="V25" s="182"/>
    </row>
    <row r="26" spans="1:26" s="2150" customFormat="1" ht="18">
      <c r="A26" s="2196" t="s">
        <v>725</v>
      </c>
      <c r="B26" s="2197" t="s">
        <v>726</v>
      </c>
      <c r="C26" s="2197" t="s">
        <v>727</v>
      </c>
      <c r="D26" s="2198" t="s">
        <v>728</v>
      </c>
      <c r="E26" s="115"/>
      <c r="F26" s="115"/>
      <c r="G26" s="115"/>
      <c r="H26" s="115"/>
      <c r="I26" s="115"/>
      <c r="J26" s="182"/>
      <c r="K26" s="2275" t="str">
        <f ca="1">"大写金额：人民币"&amp;NUMBERSTRING(INT(O38*10000),2)&amp;"元整"</f>
        <v>大写金额：人民币壹拾贰亿捌仟伍佰叁拾玖万元整</v>
      </c>
      <c r="L26" s="2185"/>
      <c r="M26" s="2185"/>
      <c r="N26" s="2185"/>
      <c r="O26" s="2183"/>
      <c r="P26" s="182"/>
      <c r="Q26" s="182"/>
      <c r="R26" s="182"/>
      <c r="S26" s="182"/>
      <c r="T26" s="182"/>
      <c r="U26" s="182"/>
      <c r="V26" s="182"/>
      <c r="W26" s="1919"/>
      <c r="X26" s="1919"/>
      <c r="Y26" s="1919"/>
      <c r="Z26" s="1919"/>
    </row>
    <row r="27" spans="1:26" ht="18">
      <c r="A27" s="2196"/>
      <c r="B27" s="2197"/>
      <c r="C27" s="2197"/>
      <c r="D27" s="2198"/>
      <c r="E27" s="115"/>
      <c r="F27" s="115"/>
      <c r="G27" s="115"/>
      <c r="H27" s="115"/>
      <c r="I27" s="115"/>
      <c r="J27" s="182"/>
      <c r="K27" s="2275" t="str">
        <f ca="1">"单位面积地价："&amp;M38&amp;"元/平方米"</f>
        <v>单位面积地价：50593元/平方米</v>
      </c>
      <c r="L27" s="2185"/>
      <c r="M27" s="2185"/>
      <c r="N27" s="2185"/>
      <c r="O27" s="2183"/>
      <c r="P27" s="182"/>
      <c r="Q27" s="182"/>
      <c r="R27" s="182"/>
      <c r="S27" s="182"/>
      <c r="T27" s="182"/>
      <c r="U27" s="182"/>
      <c r="V27" s="182"/>
    </row>
    <row r="28" spans="1:26" ht="18.75" customHeight="1">
      <c r="A28" s="2196"/>
      <c r="B28" s="2197"/>
      <c r="C28" s="2197"/>
      <c r="D28" s="2198"/>
      <c r="E28" s="115"/>
      <c r="F28" s="115"/>
      <c r="G28" s="115"/>
      <c r="H28" s="115"/>
      <c r="I28" s="115"/>
      <c r="J28" s="182"/>
      <c r="K28" s="2275" t="str">
        <f ca="1">"楼面地价："&amp;N38&amp;"元/平方米"</f>
        <v>楼面地价：20242元/平方米</v>
      </c>
      <c r="L28" s="2185"/>
      <c r="M28" s="2185"/>
      <c r="N28" s="2185"/>
      <c r="O28" s="2183"/>
      <c r="P28" s="182"/>
      <c r="V28" s="182"/>
    </row>
    <row r="29" spans="1:26" ht="18">
      <c r="A29" s="2196"/>
      <c r="B29" s="2197"/>
      <c r="C29" s="2197"/>
      <c r="D29" s="2198"/>
      <c r="E29" s="115"/>
      <c r="F29" s="115"/>
      <c r="G29" s="115"/>
      <c r="H29" s="115"/>
      <c r="I29" s="115"/>
      <c r="J29" s="182"/>
      <c r="K29" s="2275" t="str">
        <f>IF(OR(项目基本情况!E8="抵押价格",项目基本情况!E8="已注销及未注销"),"抵押价格："&amp;O39&amp;"万元","——")</f>
        <v>——</v>
      </c>
      <c r="L29" s="2185"/>
      <c r="M29" s="2185"/>
      <c r="N29" s="2185"/>
      <c r="O29" s="2183"/>
      <c r="P29" s="182"/>
      <c r="V29" s="182"/>
    </row>
    <row r="30" spans="1:26" ht="18">
      <c r="A30" s="2199" t="s">
        <v>729</v>
      </c>
      <c r="B30" s="2200"/>
      <c r="C30" s="2200"/>
      <c r="D30" s="2201"/>
      <c r="E30" s="2202" t="s">
        <v>730</v>
      </c>
      <c r="F30" s="115"/>
      <c r="G30" s="115"/>
      <c r="H30" s="115"/>
      <c r="I30" s="115"/>
      <c r="J30" s="182"/>
      <c r="K30" s="2275" t="str">
        <f>IF(K29="——","——","大写金额：人民币"&amp;NUMBERSTRING(INT(O39*10000),2)&amp;"元整")</f>
        <v>——</v>
      </c>
      <c r="L30" s="2185"/>
      <c r="M30" s="2185"/>
      <c r="N30" s="2185"/>
      <c r="O30" s="2183"/>
      <c r="P30" s="182"/>
      <c r="V30" s="182"/>
    </row>
    <row r="31" spans="1:26" ht="24" customHeight="1">
      <c r="A31" s="3646" t="s">
        <v>731</v>
      </c>
      <c r="B31" s="3646"/>
      <c r="C31" s="3646"/>
      <c r="D31" s="3646"/>
      <c r="E31" s="3646"/>
      <c r="F31" s="3646"/>
      <c r="G31" s="3646"/>
      <c r="H31" s="3646"/>
      <c r="I31" s="3646"/>
      <c r="J31" s="182"/>
      <c r="K31" s="2276" t="str">
        <f>IF(项目基本情况!E8="抵押价格","——","抵押担保权已注销时的抵押价格："&amp;O40&amp;"万元")</f>
        <v>抵押担保权已注销时的抵押价格：——万元</v>
      </c>
      <c r="L31" s="2277"/>
      <c r="M31" s="2277"/>
      <c r="N31" s="2277"/>
      <c r="O31" s="2278"/>
      <c r="P31" s="182"/>
      <c r="V31" s="182"/>
    </row>
    <row r="32" spans="1:26" ht="18">
      <c r="A32" s="2174" t="s">
        <v>732</v>
      </c>
      <c r="B32" s="2203" t="s">
        <v>733</v>
      </c>
      <c r="C32" s="2165">
        <f ca="1">G19-C24</f>
        <v>128539</v>
      </c>
      <c r="D32" s="2204" t="s">
        <v>734</v>
      </c>
      <c r="E32" s="115"/>
      <c r="F32" s="115"/>
      <c r="G32" s="115"/>
      <c r="H32" s="115"/>
      <c r="I32" s="115"/>
      <c r="J32" s="182"/>
      <c r="K32" s="2279" t="e">
        <f>IF(K31="——","——","大写金额：人民币"&amp;NUMBERSTRING(INT(O40*10000),2)&amp;"元整")</f>
        <v>#VALUE!</v>
      </c>
      <c r="L32" s="2280"/>
      <c r="M32" s="2280"/>
      <c r="N32" s="2280"/>
      <c r="O32" s="2281"/>
      <c r="P32" s="182"/>
      <c r="V32" s="182"/>
    </row>
    <row r="33" spans="1:26" ht="18">
      <c r="A33" s="2205" t="s">
        <v>735</v>
      </c>
      <c r="B33" s="2206" t="s">
        <v>736</v>
      </c>
      <c r="C33" s="2162">
        <f ca="1">ROUND(C32*10000/'数据-汇总表'!E3,0)</f>
        <v>20242</v>
      </c>
      <c r="D33" s="2207" t="s">
        <v>737</v>
      </c>
      <c r="E33" s="3587" t="s">
        <v>738</v>
      </c>
      <c r="F33" s="2208" t="s">
        <v>739</v>
      </c>
      <c r="G33" s="2209"/>
      <c r="H33" s="2210"/>
      <c r="I33" s="2282"/>
      <c r="J33" s="182"/>
      <c r="K33" s="2275" t="str">
        <f>IF(项目基本情况!E9="——","——","抵押净值："&amp;C46&amp;"万元")</f>
        <v>抵押净值：——万元</v>
      </c>
      <c r="L33" s="2185"/>
      <c r="M33" s="2185"/>
      <c r="N33" s="2185"/>
      <c r="O33" s="2183"/>
      <c r="P33" s="182"/>
      <c r="V33" s="182"/>
    </row>
    <row r="34" spans="1:26" s="2150" customFormat="1" ht="18">
      <c r="A34" s="2211"/>
      <c r="B34" s="2212" t="s">
        <v>740</v>
      </c>
      <c r="C34" s="2162">
        <f ca="1">ROUND(C32*10000/'数据-汇总表'!D3,0)</f>
        <v>50593</v>
      </c>
      <c r="D34" s="2213" t="s">
        <v>737</v>
      </c>
      <c r="E34" s="3588"/>
      <c r="F34" s="2214" t="s">
        <v>741</v>
      </c>
      <c r="G34" s="2215"/>
      <c r="H34" s="2166"/>
      <c r="I34" s="115"/>
      <c r="J34" s="182"/>
      <c r="K34" s="2283" t="e">
        <f>IF(K33="——","——","大写金额：人民币"&amp;NUMBERSTRING(INT(O41*10000),2)&amp;"元整")</f>
        <v>#VALUE!</v>
      </c>
      <c r="L34" s="2284"/>
      <c r="M34" s="2284"/>
      <c r="N34" s="2284"/>
      <c r="O34" s="2285"/>
      <c r="P34" s="182"/>
      <c r="Q34" s="1919"/>
      <c r="R34" s="1919"/>
      <c r="S34" s="1919"/>
      <c r="T34" s="1919"/>
      <c r="U34" s="1919"/>
      <c r="V34" s="182"/>
      <c r="W34" s="1919"/>
      <c r="X34" s="1919"/>
      <c r="Y34" s="1919"/>
      <c r="Z34" s="1919"/>
    </row>
    <row r="35" spans="1:26" ht="15">
      <c r="A35" s="2096"/>
      <c r="B35" s="2216"/>
      <c r="C35" s="2217">
        <f ca="1">ROUND(C32/('数据-汇总表'!D3/666.67),0)</f>
        <v>3373</v>
      </c>
      <c r="D35" s="2218" t="s">
        <v>742</v>
      </c>
      <c r="E35" s="3589"/>
      <c r="F35" s="2219" t="s">
        <v>743</v>
      </c>
      <c r="G35" s="2220"/>
      <c r="H35" s="2221" t="s">
        <v>744</v>
      </c>
      <c r="I35" s="115"/>
      <c r="J35" s="182"/>
      <c r="K35" s="3567" t="s">
        <v>745</v>
      </c>
      <c r="L35" s="3567" t="s">
        <v>746</v>
      </c>
      <c r="M35" s="2286" t="s">
        <v>747</v>
      </c>
      <c r="N35" s="3567" t="s">
        <v>748</v>
      </c>
      <c r="O35" s="3567" t="s">
        <v>749</v>
      </c>
      <c r="P35" s="182"/>
      <c r="V35" s="182"/>
    </row>
    <row r="36" spans="1:26" ht="16.5" customHeight="1">
      <c r="A36" s="2222" t="s">
        <v>750</v>
      </c>
      <c r="B36" s="2223" t="s">
        <v>726</v>
      </c>
      <c r="C36" s="2224" t="s">
        <v>727</v>
      </c>
      <c r="D36" s="2224" t="s">
        <v>751</v>
      </c>
      <c r="E36" s="2225" t="s">
        <v>728</v>
      </c>
      <c r="F36" s="115"/>
      <c r="G36" s="115"/>
      <c r="H36" s="115"/>
      <c r="I36" s="115"/>
      <c r="J36" s="2287"/>
      <c r="K36" s="3568"/>
      <c r="L36" s="3568"/>
      <c r="M36" s="2288" t="s">
        <v>752</v>
      </c>
      <c r="N36" s="3568"/>
      <c r="O36" s="3568"/>
      <c r="P36" s="182"/>
      <c r="V36" s="182"/>
    </row>
    <row r="37" spans="1:26" ht="16.5" customHeight="1">
      <c r="A37" s="2226" t="s">
        <v>753</v>
      </c>
      <c r="B37" s="2227"/>
      <c r="C37" s="2197"/>
      <c r="D37" s="2197"/>
      <c r="E37" s="2198"/>
      <c r="F37" s="115"/>
      <c r="G37" s="115"/>
      <c r="H37" s="115"/>
      <c r="I37" s="115"/>
      <c r="J37" s="2287"/>
      <c r="K37" s="3569"/>
      <c r="L37" s="3569"/>
      <c r="M37" s="2289"/>
      <c r="N37" s="3569"/>
      <c r="O37" s="3569"/>
      <c r="P37" s="182"/>
      <c r="V37" s="182"/>
    </row>
    <row r="38" spans="1:26" ht="16.5" customHeight="1">
      <c r="A38" s="2226" t="s">
        <v>754</v>
      </c>
      <c r="B38" s="2227"/>
      <c r="C38" s="2197"/>
      <c r="D38" s="2197"/>
      <c r="E38" s="2198"/>
      <c r="F38" s="115"/>
      <c r="G38" s="115"/>
      <c r="H38" s="115"/>
      <c r="I38" s="115"/>
      <c r="J38" s="2287"/>
      <c r="K38" s="2290">
        <f>'数据-汇总表'!D3</f>
        <v>25406.38</v>
      </c>
      <c r="L38" s="2291">
        <f>'数据-汇总表'!E3</f>
        <v>63500</v>
      </c>
      <c r="M38" s="2291">
        <f ca="1">C34</f>
        <v>50593</v>
      </c>
      <c r="N38" s="2291">
        <f ca="1">C33</f>
        <v>20242</v>
      </c>
      <c r="O38" s="2292">
        <f ca="1">C32</f>
        <v>128539</v>
      </c>
      <c r="P38" s="182"/>
      <c r="V38" s="182"/>
    </row>
    <row r="39" spans="1:26" ht="16.5" customHeight="1">
      <c r="A39" s="2228"/>
      <c r="B39" s="2229"/>
      <c r="C39" s="2200"/>
      <c r="D39" s="2200"/>
      <c r="E39" s="2201"/>
      <c r="F39" s="115"/>
      <c r="G39" s="115"/>
      <c r="H39" s="115"/>
      <c r="I39" s="115"/>
      <c r="J39" s="2287"/>
      <c r="K39" s="3573" t="str">
        <f>MID(A44,3,LEN(A44)-2)</f>
        <v/>
      </c>
      <c r="L39" s="3574"/>
      <c r="M39" s="3574"/>
      <c r="N39" s="3575"/>
      <c r="O39" s="2293" t="str">
        <f>C44</f>
        <v>——</v>
      </c>
      <c r="P39" s="182"/>
      <c r="V39" s="182"/>
    </row>
    <row r="40" spans="1:26" ht="18.75">
      <c r="A40" s="2230" t="s">
        <v>755</v>
      </c>
      <c r="B40" s="115"/>
      <c r="C40" s="115"/>
      <c r="D40" s="115"/>
      <c r="E40" s="115"/>
      <c r="F40" s="115"/>
      <c r="G40" s="115"/>
      <c r="H40" s="115"/>
      <c r="I40" s="115"/>
      <c r="J40" s="2287"/>
      <c r="K40" s="3573" t="str">
        <f t="shared" ref="K40:K41" si="0">MID(A45,3,LEN(A45)-2)</f>
        <v/>
      </c>
      <c r="L40" s="3574"/>
      <c r="M40" s="3574"/>
      <c r="N40" s="3575"/>
      <c r="O40" s="2293" t="str">
        <f>C45</f>
        <v>——</v>
      </c>
      <c r="P40" s="182"/>
      <c r="V40" s="182"/>
    </row>
    <row r="41" spans="1:26" ht="15.75">
      <c r="A41" s="2231" t="s">
        <v>756</v>
      </c>
      <c r="B41" s="2232"/>
      <c r="C41" s="2233" t="s">
        <v>757</v>
      </c>
      <c r="D41" s="2234" t="s">
        <v>758</v>
      </c>
      <c r="E41" s="2234" t="s">
        <v>759</v>
      </c>
      <c r="F41" s="2235" t="s">
        <v>760</v>
      </c>
      <c r="G41" s="115"/>
      <c r="H41" s="115"/>
      <c r="I41" s="115"/>
      <c r="J41" s="2287"/>
      <c r="K41" s="3573" t="str">
        <f t="shared" si="0"/>
        <v/>
      </c>
      <c r="L41" s="3574"/>
      <c r="M41" s="3574"/>
      <c r="N41" s="3575"/>
      <c r="O41" s="2293" t="str">
        <f>C46</f>
        <v>——</v>
      </c>
      <c r="P41" s="182"/>
      <c r="V41" s="182"/>
    </row>
    <row r="42" spans="1:26" ht="30">
      <c r="A42" s="3629" t="s">
        <v>761</v>
      </c>
      <c r="B42" s="3630"/>
      <c r="C42" s="2162">
        <f ca="1">C32</f>
        <v>128539</v>
      </c>
      <c r="D42" s="2236">
        <f ca="1">C33</f>
        <v>20242</v>
      </c>
      <c r="E42" s="2236">
        <f ca="1">C34</f>
        <v>50593</v>
      </c>
      <c r="F42" s="2237">
        <f ca="1">C35</f>
        <v>3373</v>
      </c>
      <c r="G42" s="115"/>
      <c r="H42" s="115"/>
      <c r="I42" s="2294"/>
      <c r="J42" s="2287"/>
      <c r="K42" s="2295" t="s">
        <v>762</v>
      </c>
      <c r="L42" s="2296" t="s">
        <v>2751</v>
      </c>
      <c r="M42" s="2297" t="s">
        <v>763</v>
      </c>
      <c r="N42" s="2298" t="s">
        <v>2752</v>
      </c>
      <c r="O42" s="2299" t="s">
        <v>2750</v>
      </c>
      <c r="P42" s="182"/>
      <c r="V42" s="182"/>
    </row>
    <row r="43" spans="1:26" ht="30">
      <c r="A43" s="3636" t="s">
        <v>764</v>
      </c>
      <c r="B43" s="3637"/>
      <c r="C43" s="2162">
        <f>IF(H33="正常操作",G33+G34+G35,G34+G35)</f>
        <v>0</v>
      </c>
      <c r="D43" s="2236" t="s">
        <v>138</v>
      </c>
      <c r="E43" s="2236" t="s">
        <v>138</v>
      </c>
      <c r="F43" s="2237" t="s">
        <v>138</v>
      </c>
      <c r="G43" s="2238" t="s">
        <v>138</v>
      </c>
      <c r="H43" s="115"/>
      <c r="I43" s="2294"/>
      <c r="J43" s="2287"/>
      <c r="K43" s="2300" t="str">
        <f>C4</f>
        <v>剩余法-待开发</v>
      </c>
      <c r="L43" s="2301">
        <f ca="1">IF(L42="估价结果/万元",C19,C20)</f>
        <v>154758</v>
      </c>
      <c r="M43" s="2302">
        <f>C18</f>
        <v>0.7</v>
      </c>
      <c r="N43" s="2303">
        <f ca="1">IF(N42="测算结果/万元",G19,G20)</f>
        <v>128539</v>
      </c>
      <c r="O43" s="2304">
        <f ca="1">IF(O42="最终结果/万元",C32,C33)</f>
        <v>128539</v>
      </c>
      <c r="P43" s="182"/>
      <c r="V43" s="182"/>
    </row>
    <row r="44" spans="1:26" ht="18">
      <c r="A44" s="3629" t="str">
        <f>IF(OR(项目基本情况!E8="抵押价格",项目基本情况!E8="已注销及未注销"),"3.抵押价格","——")</f>
        <v>——</v>
      </c>
      <c r="B44" s="3630"/>
      <c r="C44" s="2162" t="str">
        <f>IF(A44="——","——",C42-C43)</f>
        <v>——</v>
      </c>
      <c r="D44" s="2236" t="e">
        <f>ROUND(C44*10000/'数据-汇总表'!E3,0)</f>
        <v>#VALUE!</v>
      </c>
      <c r="E44" s="2236" t="e">
        <f>ROUND(C44*10000/'数据-汇总表'!D3,0)</f>
        <v>#VALUE!</v>
      </c>
      <c r="F44" s="2237" t="e">
        <f>ROUND(C44/('数据-汇总表'!D3/666.67),0)</f>
        <v>#VALUE!</v>
      </c>
      <c r="G44" s="115"/>
      <c r="H44" s="115"/>
      <c r="I44" s="2294"/>
      <c r="J44" s="2287"/>
      <c r="K44" s="2305" t="str">
        <f>D4</f>
        <v>基准地价</v>
      </c>
      <c r="L44" s="2306">
        <f ca="1">IF(L42="估价结果/万元",D19,D20)</f>
        <v>67361</v>
      </c>
      <c r="M44" s="2307">
        <f>D18</f>
        <v>0.30000000000000004</v>
      </c>
      <c r="N44" s="2308"/>
      <c r="O44" s="2309"/>
      <c r="P44" s="182"/>
      <c r="V44" s="182"/>
    </row>
    <row r="45" spans="1:26" ht="15">
      <c r="A45" s="3631" t="str">
        <f>IF(项目基本情况!E8="已注销及未注销","4.抵押担保权已注销时的抵押价格",IF(项目基本情况!E8="已注销","3.抵押担保权已注销时的抵押价格","——"))</f>
        <v>——</v>
      </c>
      <c r="B45" s="3632"/>
      <c r="C45" s="2239" t="str">
        <f>IF(A45="——","——",IF(项目基本情况!E8="抵押价格","——",C32-G34-G35))</f>
        <v>——</v>
      </c>
      <c r="D45" s="2236" t="e">
        <f>ROUND(C45*10000/'数据-汇总表'!E3,0)</f>
        <v>#VALUE!</v>
      </c>
      <c r="E45" s="2236" t="e">
        <f>ROUND(C45*10000/'数据-汇总表'!D3,0)</f>
        <v>#VALUE!</v>
      </c>
      <c r="F45" s="2237" t="e">
        <f>ROUND(C45/('数据-汇总表'!D3/666.67),0)</f>
        <v>#VALUE!</v>
      </c>
      <c r="G45" s="115"/>
      <c r="H45" s="115"/>
      <c r="I45" s="2294"/>
      <c r="J45" s="2287"/>
      <c r="K45" s="182"/>
      <c r="L45" s="182"/>
      <c r="M45" s="182"/>
      <c r="N45" s="182"/>
      <c r="O45" s="182"/>
      <c r="P45" s="182"/>
      <c r="V45" s="182"/>
    </row>
    <row r="46" spans="1:26" ht="15">
      <c r="A46" s="3633" t="str">
        <f>IF(项目基本情况!E9="抵押净值",IF(A45="——","4.抵押净值","5.抵押净值"),"——")</f>
        <v>——</v>
      </c>
      <c r="B46" s="3634"/>
      <c r="C46" s="2240" t="str">
        <f>IF(A46="——","——",O79)</f>
        <v>——</v>
      </c>
      <c r="D46" s="2236" t="e">
        <f>ROUND(C46*10000/'数据-汇总表'!E3,0)</f>
        <v>#VALUE!</v>
      </c>
      <c r="E46" s="2236" t="e">
        <f>ROUND(C46*10000/'数据-汇总表'!D3,0)</f>
        <v>#VALUE!</v>
      </c>
      <c r="F46" s="2237" t="e">
        <f>ROUND(C46/('数据-汇总表'!D3/666.67),0)</f>
        <v>#VALUE!</v>
      </c>
      <c r="G46" s="115"/>
      <c r="H46" s="115"/>
      <c r="I46" s="2294"/>
      <c r="J46" s="2287"/>
      <c r="K46" s="182"/>
      <c r="L46" s="182"/>
      <c r="M46" s="182"/>
      <c r="N46" s="182"/>
      <c r="O46" s="182"/>
      <c r="P46" s="182"/>
      <c r="Q46" s="182"/>
      <c r="R46" s="182"/>
      <c r="S46" s="182"/>
      <c r="T46" s="182"/>
      <c r="U46" s="182"/>
      <c r="V46" s="182"/>
    </row>
    <row r="47" spans="1:26" ht="15.75">
      <c r="A47" s="2241" t="s">
        <v>765</v>
      </c>
      <c r="B47" s="2242"/>
      <c r="C47" s="2243" t="s">
        <v>766</v>
      </c>
      <c r="D47" s="2244"/>
      <c r="E47" s="2244"/>
      <c r="F47" s="2244"/>
      <c r="G47" s="2245"/>
      <c r="H47" s="2246"/>
      <c r="I47" s="2310"/>
      <c r="J47" s="2287"/>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247">
        <v>1</v>
      </c>
      <c r="B48" s="2248"/>
      <c r="C48" s="2248"/>
      <c r="D48" s="2244"/>
      <c r="E48" s="2244"/>
      <c r="F48" s="2244"/>
      <c r="G48" s="2244"/>
      <c r="H48" s="2249"/>
      <c r="I48" s="2311"/>
      <c r="J48" s="2287"/>
      <c r="K48" s="182"/>
      <c r="L48" s="182"/>
      <c r="M48" s="182"/>
      <c r="N48" s="182"/>
      <c r="O48" s="182"/>
      <c r="P48" s="182"/>
      <c r="Q48" s="182"/>
      <c r="R48" s="182"/>
      <c r="S48" s="182"/>
      <c r="T48" s="182"/>
      <c r="U48" s="182"/>
      <c r="V48" s="182"/>
    </row>
    <row r="49" spans="1:22" ht="12.75">
      <c r="A49" s="2247">
        <v>2</v>
      </c>
      <c r="B49" s="2248"/>
      <c r="C49" s="2248"/>
      <c r="D49" s="2244"/>
      <c r="E49" s="2244"/>
      <c r="F49" s="2244"/>
      <c r="G49" s="2244"/>
      <c r="H49" s="2249"/>
      <c r="I49" s="2311"/>
      <c r="J49" s="2312"/>
      <c r="K49" s="182"/>
      <c r="L49" s="182"/>
      <c r="M49" s="182"/>
      <c r="N49" s="182"/>
      <c r="O49" s="182"/>
      <c r="P49" s="182"/>
      <c r="Q49" s="182"/>
      <c r="R49" s="182"/>
      <c r="S49" s="182"/>
      <c r="T49" s="182"/>
      <c r="U49" s="182"/>
      <c r="V49" s="182"/>
    </row>
    <row r="50" spans="1:22" ht="12.75">
      <c r="A50" s="2247">
        <v>3</v>
      </c>
      <c r="B50" s="2248"/>
      <c r="C50" s="2248"/>
      <c r="D50" s="2244"/>
      <c r="E50" s="2244"/>
      <c r="F50" s="2244"/>
      <c r="G50" s="2244"/>
      <c r="H50" s="2249"/>
      <c r="I50" s="2311"/>
      <c r="J50" s="2312"/>
      <c r="K50" s="182"/>
      <c r="L50" s="182"/>
      <c r="M50" s="182"/>
      <c r="N50" s="182"/>
      <c r="O50" s="182"/>
      <c r="P50" s="182"/>
      <c r="Q50" s="182"/>
      <c r="R50" s="182"/>
      <c r="S50" s="182"/>
      <c r="T50" s="182"/>
      <c r="U50" s="182"/>
      <c r="V50" s="182"/>
    </row>
    <row r="51" spans="1:22" ht="12.75">
      <c r="A51" s="2250"/>
      <c r="B51" s="2251"/>
      <c r="C51" s="2251"/>
      <c r="D51" s="2252"/>
      <c r="E51" s="2252"/>
      <c r="F51" s="2252"/>
      <c r="G51" s="2252"/>
      <c r="H51" s="2253"/>
      <c r="I51" s="2313"/>
      <c r="J51" s="2312"/>
      <c r="K51" s="182"/>
      <c r="L51" s="182"/>
      <c r="M51" s="182"/>
      <c r="N51" s="182"/>
      <c r="O51" s="182"/>
      <c r="P51" s="182"/>
      <c r="Q51" s="182"/>
      <c r="R51" s="182"/>
      <c r="S51" s="182"/>
      <c r="T51" s="182"/>
      <c r="U51" s="182"/>
      <c r="V51" s="182"/>
    </row>
    <row r="52" spans="1:22" ht="12.75">
      <c r="A52" s="2248"/>
      <c r="B52" s="2248"/>
      <c r="C52" s="2248"/>
      <c r="D52" s="2244"/>
      <c r="E52" s="2244"/>
      <c r="F52" s="2244"/>
      <c r="G52" s="2244"/>
      <c r="H52" s="2249"/>
      <c r="I52" s="69"/>
      <c r="J52" s="2312"/>
      <c r="K52" s="182"/>
      <c r="L52" s="182"/>
      <c r="M52" s="182"/>
      <c r="N52" s="182"/>
      <c r="O52" s="182"/>
      <c r="P52" s="182"/>
      <c r="Q52" s="182"/>
      <c r="R52" s="182"/>
      <c r="S52" s="182"/>
      <c r="T52" s="182"/>
      <c r="U52" s="182"/>
      <c r="V52" s="182"/>
    </row>
    <row r="53" spans="1:22" ht="12.75">
      <c r="A53" s="69"/>
      <c r="B53" s="69"/>
      <c r="C53" s="69"/>
      <c r="D53" s="69"/>
      <c r="E53" s="69"/>
      <c r="F53" s="2254" t="s">
        <v>767</v>
      </c>
      <c r="G53" s="2255"/>
      <c r="H53" s="2255"/>
      <c r="I53" s="2314" t="s">
        <v>768</v>
      </c>
      <c r="J53" s="2312"/>
      <c r="K53" s="182"/>
      <c r="L53" s="182"/>
      <c r="M53" s="182"/>
      <c r="N53" s="182"/>
      <c r="O53" s="182"/>
      <c r="P53" s="182"/>
      <c r="Q53" s="182"/>
      <c r="R53" s="182"/>
      <c r="S53" s="182"/>
      <c r="T53" s="182"/>
      <c r="U53" s="182"/>
      <c r="V53" s="182"/>
    </row>
    <row r="54" spans="1:22" ht="12.75">
      <c r="A54" s="69"/>
      <c r="B54" s="2256" t="s">
        <v>769</v>
      </c>
      <c r="C54" s="69"/>
      <c r="D54" s="69"/>
      <c r="E54" s="69"/>
      <c r="F54" s="69"/>
      <c r="G54" s="69"/>
      <c r="H54" s="69"/>
      <c r="I54" s="69"/>
      <c r="J54" s="2312"/>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312"/>
      <c r="K55" s="182"/>
      <c r="L55" s="182"/>
      <c r="M55" s="182"/>
      <c r="N55" s="182"/>
      <c r="O55" s="182"/>
      <c r="P55" s="182"/>
      <c r="Q55" s="182"/>
      <c r="R55" s="182"/>
      <c r="S55" s="182"/>
      <c r="T55" s="182"/>
      <c r="U55" s="182"/>
      <c r="V55" s="182"/>
    </row>
    <row r="56" spans="1:22" ht="12.75">
      <c r="A56" s="69"/>
      <c r="B56" s="2255"/>
      <c r="C56" s="2255"/>
      <c r="D56" s="2255"/>
      <c r="E56" s="2255"/>
      <c r="F56" s="2255"/>
      <c r="G56" s="2255"/>
      <c r="H56" s="2255"/>
      <c r="I56" s="2314" t="s">
        <v>770</v>
      </c>
      <c r="J56" s="2312"/>
      <c r="K56" s="182"/>
      <c r="L56" s="182"/>
      <c r="M56" s="182"/>
      <c r="N56" s="182"/>
      <c r="O56" s="182"/>
      <c r="P56" s="182"/>
      <c r="Q56" s="182"/>
      <c r="R56" s="182"/>
      <c r="S56" s="182"/>
      <c r="T56" s="182"/>
      <c r="U56" s="182"/>
      <c r="V56" s="182"/>
    </row>
    <row r="57" spans="1:22" ht="12.75">
      <c r="A57" s="69"/>
      <c r="B57" s="2256" t="s">
        <v>771</v>
      </c>
      <c r="C57" s="69"/>
      <c r="D57" s="69"/>
      <c r="E57" s="69"/>
      <c r="F57" s="69"/>
      <c r="G57" s="69"/>
      <c r="H57" s="69"/>
      <c r="I57" s="69"/>
      <c r="J57" s="2312"/>
      <c r="K57" s="182"/>
      <c r="L57" s="182"/>
      <c r="M57" s="182"/>
      <c r="N57" s="182"/>
      <c r="O57" s="182"/>
      <c r="P57" s="182"/>
      <c r="Q57" s="182"/>
      <c r="R57" s="182"/>
      <c r="S57" s="182"/>
      <c r="T57" s="182"/>
      <c r="U57" s="182"/>
      <c r="V57" s="182"/>
    </row>
    <row r="58" spans="1:22" ht="12.75">
      <c r="A58" s="69"/>
      <c r="B58" s="2256"/>
      <c r="C58" s="69"/>
      <c r="D58" s="69"/>
      <c r="E58" s="69"/>
      <c r="F58" s="69"/>
      <c r="G58" s="69"/>
      <c r="H58" s="69"/>
      <c r="I58" s="69"/>
      <c r="J58" s="2312"/>
      <c r="K58" s="182"/>
      <c r="L58" s="182"/>
      <c r="M58" s="182"/>
      <c r="N58" s="182"/>
      <c r="O58" s="182"/>
      <c r="P58" s="182"/>
      <c r="Q58" s="182"/>
      <c r="R58" s="182"/>
      <c r="S58" s="182"/>
      <c r="T58" s="182"/>
      <c r="U58" s="182"/>
      <c r="V58" s="182"/>
    </row>
    <row r="59" spans="1:22" ht="12.75">
      <c r="A59" s="69"/>
      <c r="B59" s="2255"/>
      <c r="C59" s="2255"/>
      <c r="D59" s="2255"/>
      <c r="E59" s="2255"/>
      <c r="F59" s="2255"/>
      <c r="G59" s="2255"/>
      <c r="H59" s="2255"/>
      <c r="I59" s="2314" t="s">
        <v>770</v>
      </c>
      <c r="J59" s="2312"/>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312"/>
      <c r="K60" s="182"/>
      <c r="L60" s="182"/>
      <c r="M60" s="182"/>
      <c r="N60" s="182"/>
      <c r="O60" s="182"/>
      <c r="P60" s="182"/>
      <c r="Q60" s="182"/>
      <c r="R60" s="182"/>
      <c r="S60" s="182"/>
      <c r="T60" s="182"/>
      <c r="U60" s="182"/>
      <c r="V60" s="182"/>
    </row>
    <row r="61" spans="1:22" ht="12.75">
      <c r="A61" s="69"/>
      <c r="B61" s="2256"/>
      <c r="C61" s="2257"/>
      <c r="D61" s="2258"/>
      <c r="E61" s="2258"/>
      <c r="F61" s="2259"/>
      <c r="G61" s="69"/>
      <c r="H61" s="69"/>
      <c r="I61" s="69"/>
      <c r="J61" s="2312"/>
      <c r="K61" s="182"/>
      <c r="L61" s="182"/>
      <c r="M61" s="182"/>
      <c r="N61" s="182"/>
      <c r="O61" s="182"/>
      <c r="P61" s="182"/>
      <c r="Q61" s="182"/>
      <c r="R61" s="182"/>
      <c r="S61" s="182"/>
      <c r="T61" s="182"/>
      <c r="U61" s="182"/>
      <c r="V61" s="182"/>
    </row>
    <row r="62" spans="1:22" ht="18.75">
      <c r="A62" s="2260" t="s">
        <v>772</v>
      </c>
      <c r="B62" s="2261"/>
      <c r="C62" s="2261"/>
      <c r="D62" s="2262"/>
      <c r="E62" s="2262"/>
      <c r="F62" s="2263"/>
      <c r="G62" s="2263"/>
      <c r="H62" s="2263"/>
      <c r="I62" s="2263"/>
      <c r="J62" s="2315"/>
      <c r="K62" s="182"/>
      <c r="L62" s="182"/>
      <c r="M62" s="182"/>
      <c r="N62" s="182"/>
      <c r="O62" s="182"/>
      <c r="P62" s="182"/>
      <c r="Q62" s="182"/>
      <c r="R62" s="182"/>
      <c r="S62" s="182"/>
      <c r="T62" s="182"/>
      <c r="U62" s="182"/>
      <c r="V62" s="182"/>
    </row>
    <row r="63" spans="1:22" ht="14.25" customHeight="1">
      <c r="A63" s="3620" t="s">
        <v>773</v>
      </c>
      <c r="B63" s="3621"/>
      <c r="C63" s="3622"/>
      <c r="D63" s="819">
        <f ca="1">ROUND(C42*F63,0)</f>
        <v>128539</v>
      </c>
      <c r="E63" s="2264" t="s">
        <v>774</v>
      </c>
      <c r="F63" s="2265">
        <v>1</v>
      </c>
      <c r="G63" s="2266" t="s">
        <v>775</v>
      </c>
      <c r="H63" s="115"/>
      <c r="I63" s="115"/>
      <c r="J63" s="182"/>
      <c r="K63" s="182"/>
      <c r="L63" s="182"/>
      <c r="M63" s="182"/>
      <c r="N63" s="182"/>
      <c r="O63" s="182"/>
      <c r="P63" s="182"/>
      <c r="Q63" s="182"/>
      <c r="R63" s="182"/>
      <c r="S63" s="182"/>
      <c r="T63" s="182"/>
      <c r="U63" s="182"/>
      <c r="V63" s="182"/>
    </row>
    <row r="64" spans="1:22" ht="14.25" customHeight="1">
      <c r="A64" s="3623" t="s">
        <v>776</v>
      </c>
      <c r="B64" s="3624"/>
      <c r="C64" s="3624"/>
      <c r="D64" s="3624"/>
      <c r="E64" s="3624"/>
      <c r="F64" s="3624"/>
      <c r="G64" s="3625"/>
      <c r="H64" s="2267"/>
      <c r="I64" s="116"/>
      <c r="J64" s="117"/>
      <c r="K64" s="2316" t="s">
        <v>777</v>
      </c>
      <c r="L64" s="2317"/>
      <c r="M64" s="2317"/>
      <c r="N64" s="2317"/>
      <c r="O64" s="2317"/>
      <c r="P64" s="115"/>
      <c r="Q64" s="182"/>
      <c r="R64" s="182"/>
      <c r="S64" s="182"/>
      <c r="T64" s="182"/>
      <c r="U64" s="182"/>
      <c r="V64" s="182"/>
    </row>
    <row r="65" spans="1:22" ht="12" customHeight="1">
      <c r="A65" s="2318" t="s">
        <v>778</v>
      </c>
      <c r="B65" s="2319"/>
      <c r="C65" s="2320"/>
      <c r="D65" s="2321" t="s">
        <v>779</v>
      </c>
      <c r="E65" s="121" t="s">
        <v>780</v>
      </c>
      <c r="F65" s="2322" t="s">
        <v>781</v>
      </c>
      <c r="G65" s="2323" t="s">
        <v>782</v>
      </c>
      <c r="H65" s="2267"/>
      <c r="I65" s="116"/>
      <c r="J65" s="117"/>
      <c r="K65" s="2425"/>
      <c r="L65" s="2426"/>
      <c r="M65" s="2426"/>
      <c r="N65" s="2427" t="s">
        <v>783</v>
      </c>
      <c r="O65" s="2428"/>
      <c r="P65" s="2429"/>
      <c r="Q65" s="182"/>
      <c r="R65" s="182"/>
      <c r="S65" s="182"/>
      <c r="T65" s="182"/>
      <c r="U65" s="182"/>
      <c r="V65" s="182"/>
    </row>
    <row r="66" spans="1:22" ht="25.5">
      <c r="A66" s="3626" t="s">
        <v>784</v>
      </c>
      <c r="B66" s="3609"/>
      <c r="C66" s="3609"/>
      <c r="D66" s="791" t="b">
        <f>IF(H66="情况1",0,IF(H66="情况2",D70,IF(H66="情况3",D71,IF(H66="情况4",D72))))</f>
        <v>0</v>
      </c>
      <c r="E66" s="813" t="str">
        <f>IF(H66="情况4","(销售额-原购置价)×税（费）率","销售额×税（费）率")</f>
        <v>销售额×税（费）率</v>
      </c>
      <c r="F66" s="2324">
        <f>IF(H66="情况1","免征",'数据-取费表'!B41)</f>
        <v>5.6000000000000001E-2</v>
      </c>
      <c r="G66" s="2325" t="s">
        <v>785</v>
      </c>
      <c r="H66" s="2326"/>
      <c r="I66" s="2267"/>
      <c r="J66" s="2430"/>
      <c r="K66" s="2431">
        <v>1</v>
      </c>
      <c r="L66" s="3627" t="s">
        <v>786</v>
      </c>
      <c r="M66" s="3628"/>
      <c r="N66" s="2432"/>
      <c r="O66" s="2433"/>
      <c r="P66" s="2434"/>
      <c r="Q66" s="182"/>
      <c r="R66" s="182"/>
      <c r="S66" s="182"/>
      <c r="T66" s="182"/>
      <c r="U66" s="182"/>
      <c r="V66" s="182"/>
    </row>
    <row r="67" spans="1:22" ht="25.5" customHeight="1">
      <c r="A67" s="2327" t="s">
        <v>787</v>
      </c>
      <c r="B67" s="3601" t="s">
        <v>788</v>
      </c>
      <c r="C67" s="3601"/>
      <c r="D67" s="2328">
        <v>0</v>
      </c>
      <c r="E67" s="2329" t="s">
        <v>789</v>
      </c>
      <c r="F67" s="2330" t="s">
        <v>138</v>
      </c>
      <c r="G67" s="3590"/>
      <c r="H67" s="2332" t="s">
        <v>790</v>
      </c>
      <c r="I67" s="2435"/>
      <c r="J67" s="2436"/>
      <c r="K67" s="2437">
        <v>2</v>
      </c>
      <c r="L67" s="3617" t="s">
        <v>791</v>
      </c>
      <c r="M67" s="3617"/>
      <c r="N67" s="2438">
        <f>'数据-取费表'!B2</f>
        <v>44484</v>
      </c>
      <c r="O67" s="2438"/>
      <c r="P67" s="2438"/>
      <c r="Q67" s="182"/>
      <c r="R67" s="182"/>
      <c r="S67" s="182"/>
      <c r="T67" s="182"/>
      <c r="U67" s="182"/>
      <c r="V67" s="182"/>
    </row>
    <row r="68" spans="1:22" ht="25.5" customHeight="1">
      <c r="A68" s="2333"/>
      <c r="B68" s="3601" t="s">
        <v>792</v>
      </c>
      <c r="C68" s="3601"/>
      <c r="D68" s="2334"/>
      <c r="E68" s="2335"/>
      <c r="F68" s="2336"/>
      <c r="G68" s="3591"/>
      <c r="H68" s="2337" t="s">
        <v>793</v>
      </c>
      <c r="I68" s="2435"/>
      <c r="J68" s="2436"/>
      <c r="K68" s="2437">
        <v>3</v>
      </c>
      <c r="L68" s="3617" t="s">
        <v>794</v>
      </c>
      <c r="M68" s="3617"/>
      <c r="N68" s="2439">
        <f ca="1">C42</f>
        <v>128539</v>
      </c>
      <c r="O68" s="2439"/>
      <c r="P68" s="2439"/>
      <c r="Q68" s="182"/>
      <c r="R68" s="182"/>
      <c r="S68" s="182"/>
      <c r="T68" s="182"/>
      <c r="U68" s="182"/>
      <c r="V68" s="182"/>
    </row>
    <row r="69" spans="1:22" ht="23.45" customHeight="1">
      <c r="A69" s="2338"/>
      <c r="B69" s="3601" t="s">
        <v>795</v>
      </c>
      <c r="C69" s="3601"/>
      <c r="D69" s="2339"/>
      <c r="E69" s="2340"/>
      <c r="F69" s="2336"/>
      <c r="G69" s="3592"/>
      <c r="H69" s="2337" t="s">
        <v>796</v>
      </c>
      <c r="I69" s="2435"/>
      <c r="J69" s="2436"/>
      <c r="K69" s="2440">
        <v>4</v>
      </c>
      <c r="L69" s="3618" t="s">
        <v>797</v>
      </c>
      <c r="M69" s="3619"/>
      <c r="N69" s="2441" t="str">
        <f>C44</f>
        <v>——</v>
      </c>
      <c r="O69" s="2441"/>
      <c r="P69" s="2441"/>
      <c r="Q69" s="182"/>
      <c r="R69" s="182"/>
      <c r="S69" s="182"/>
      <c r="T69" s="182"/>
      <c r="U69" s="182"/>
      <c r="V69" s="182"/>
    </row>
    <row r="70" spans="1:22" ht="24" customHeight="1">
      <c r="A70" s="2342" t="s">
        <v>798</v>
      </c>
      <c r="B70" s="3601" t="s">
        <v>799</v>
      </c>
      <c r="C70" s="3601"/>
      <c r="D70" s="2339">
        <f ca="1">ROUND(D63*'数据-取费表'!B41/(1+'数据-取费表'!C42),0)</f>
        <v>6855</v>
      </c>
      <c r="E70" s="124" t="s">
        <v>800</v>
      </c>
      <c r="F70" s="2343">
        <f>'数据-取费表'!B41</f>
        <v>5.6000000000000001E-2</v>
      </c>
      <c r="G70" s="2344"/>
      <c r="H70" s="115"/>
      <c r="I70" s="2442"/>
      <c r="J70" s="2436"/>
      <c r="K70" s="2443"/>
      <c r="L70" s="2444"/>
      <c r="M70" s="2444"/>
      <c r="N70" s="2445" t="s">
        <v>776</v>
      </c>
      <c r="O70" s="2444"/>
      <c r="P70" s="2446"/>
      <c r="Q70" s="182"/>
      <c r="R70" s="182"/>
      <c r="S70" s="182"/>
      <c r="T70" s="182"/>
      <c r="U70" s="182"/>
      <c r="V70" s="182"/>
    </row>
    <row r="71" spans="1:22" ht="12" customHeight="1">
      <c r="A71" s="2342" t="s">
        <v>801</v>
      </c>
      <c r="B71" s="3600" t="s">
        <v>802</v>
      </c>
      <c r="C71" s="3615"/>
      <c r="D71" s="2339">
        <f ca="1">ROUND(D63*'数据-取费表'!B41/(1+'数据-取费表'!C42),0)</f>
        <v>6855</v>
      </c>
      <c r="E71" s="124" t="s">
        <v>800</v>
      </c>
      <c r="F71" s="2343">
        <f>'数据-取费表'!B41</f>
        <v>5.6000000000000001E-2</v>
      </c>
      <c r="G71" s="2344"/>
      <c r="H71" s="115"/>
      <c r="I71" s="2442"/>
      <c r="J71" s="2436"/>
      <c r="K71" s="2447" t="s">
        <v>803</v>
      </c>
      <c r="L71" s="3616" t="s">
        <v>778</v>
      </c>
      <c r="M71" s="3616"/>
      <c r="N71" s="2447" t="s">
        <v>804</v>
      </c>
      <c r="O71" s="2447" t="s">
        <v>805</v>
      </c>
      <c r="P71" s="2447" t="s">
        <v>781</v>
      </c>
      <c r="Q71" s="182"/>
      <c r="R71" s="182"/>
      <c r="S71" s="182"/>
      <c r="T71" s="182"/>
      <c r="U71" s="182"/>
      <c r="V71" s="182"/>
    </row>
    <row r="72" spans="1:22" ht="12" customHeight="1">
      <c r="A72" s="2342" t="s">
        <v>806</v>
      </c>
      <c r="B72" s="3600" t="s">
        <v>807</v>
      </c>
      <c r="C72" s="3615"/>
      <c r="D72" s="2339">
        <f ca="1">C86</f>
        <v>6855</v>
      </c>
      <c r="E72" s="2340" t="s">
        <v>808</v>
      </c>
      <c r="F72" s="2343">
        <f>'数据-取费表'!B41</f>
        <v>5.6000000000000001E-2</v>
      </c>
      <c r="G72" s="2344"/>
      <c r="H72" s="2345"/>
      <c r="I72" s="2442"/>
      <c r="J72" s="2436"/>
      <c r="K72" s="2437">
        <v>1</v>
      </c>
      <c r="L72" s="3576" t="s">
        <v>809</v>
      </c>
      <c r="M72" s="3576"/>
      <c r="N72" s="2448" t="b">
        <f>D66</f>
        <v>0</v>
      </c>
      <c r="O72" s="1198" t="str">
        <f>E66</f>
        <v>销售额×税（费）率</v>
      </c>
      <c r="P72" s="2449">
        <f>F66</f>
        <v>5.6000000000000001E-2</v>
      </c>
      <c r="Q72" s="182"/>
      <c r="R72" s="182"/>
      <c r="S72" s="182"/>
      <c r="T72" s="182"/>
      <c r="U72" s="182"/>
      <c r="V72" s="182"/>
    </row>
    <row r="73" spans="1:22" ht="24" customHeight="1">
      <c r="A73" s="3608" t="s">
        <v>810</v>
      </c>
      <c r="B73" s="3609"/>
      <c r="C73" s="3609"/>
      <c r="D73" s="2346">
        <f ca="1">IF(H73="个人住宅",0,ROUND(D63*I73,0))</f>
        <v>64</v>
      </c>
      <c r="E73" s="124" t="s">
        <v>811</v>
      </c>
      <c r="F73" s="2343" t="str">
        <f>IF(H73="正常",I73,"免征")</f>
        <v>免征</v>
      </c>
      <c r="G73" s="2344"/>
      <c r="H73" s="2326"/>
      <c r="I73" s="2343">
        <f>'数据-取费表'!B49</f>
        <v>5.0000000000000001E-4</v>
      </c>
      <c r="J73" s="2436"/>
      <c r="K73" s="2437">
        <v>2</v>
      </c>
      <c r="L73" s="3576" t="s">
        <v>812</v>
      </c>
      <c r="M73" s="3576"/>
      <c r="N73" s="2448">
        <f t="shared" ref="N73:P74" ca="1" si="1">D73</f>
        <v>64</v>
      </c>
      <c r="O73" s="1198" t="str">
        <f t="shared" si="1"/>
        <v>销售额×税（费）率</v>
      </c>
      <c r="P73" s="2449" t="str">
        <f t="shared" si="1"/>
        <v>免征</v>
      </c>
      <c r="Q73" s="182"/>
      <c r="R73" s="182"/>
      <c r="S73" s="182"/>
      <c r="T73" s="182"/>
      <c r="U73" s="182"/>
      <c r="V73" s="182"/>
    </row>
    <row r="74" spans="1:22" ht="24.75">
      <c r="A74" s="3608" t="s">
        <v>813</v>
      </c>
      <c r="B74" s="3609"/>
      <c r="C74" s="3609"/>
      <c r="D74" s="2346">
        <f ca="1">IF(H74="个人住宅",D75,D76)</f>
        <v>72753</v>
      </c>
      <c r="E74" s="124" t="s">
        <v>814</v>
      </c>
      <c r="F74" s="2343" t="str">
        <f>IF(H74="正常",F76,"免征")</f>
        <v>免征</v>
      </c>
      <c r="G74" s="2347" t="s">
        <v>785</v>
      </c>
      <c r="H74" s="2348"/>
      <c r="I74" s="2350"/>
      <c r="J74" s="2436"/>
      <c r="K74" s="2437">
        <v>3</v>
      </c>
      <c r="L74" s="3576" t="s">
        <v>815</v>
      </c>
      <c r="M74" s="3576"/>
      <c r="N74" s="2448">
        <f t="shared" ca="1" si="1"/>
        <v>72753</v>
      </c>
      <c r="O74" s="1198" t="str">
        <f t="shared" si="1"/>
        <v>增值额×税（费）率</v>
      </c>
      <c r="P74" s="2450" t="str">
        <f t="shared" si="1"/>
        <v>免征</v>
      </c>
      <c r="Q74" s="182"/>
      <c r="R74" s="182"/>
      <c r="S74" s="182"/>
      <c r="T74" s="182"/>
      <c r="U74" s="182"/>
      <c r="V74" s="182"/>
    </row>
    <row r="75" spans="1:22" ht="12.75">
      <c r="A75" s="2342" t="s">
        <v>787</v>
      </c>
      <c r="B75" s="3610" t="s">
        <v>816</v>
      </c>
      <c r="C75" s="3611"/>
      <c r="D75" s="2349">
        <v>0</v>
      </c>
      <c r="E75" s="2329" t="s">
        <v>789</v>
      </c>
      <c r="F75" s="78"/>
      <c r="G75" s="2344"/>
      <c r="H75" s="2350"/>
      <c r="I75" s="2350"/>
      <c r="J75" s="2436"/>
      <c r="K75" s="2437">
        <f>IF(H77="非个人房产","",4)</f>
        <v>4</v>
      </c>
      <c r="L75" s="3576" t="str">
        <f>IF(H77="非个人房产","——","个人所得税")</f>
        <v>个人所得税</v>
      </c>
      <c r="M75" s="3576"/>
      <c r="N75" s="2451">
        <f>D77</f>
        <v>0</v>
      </c>
      <c r="O75" s="1211" t="str">
        <f>E77</f>
        <v>差额计税</v>
      </c>
      <c r="P75" s="2452">
        <f>F77</f>
        <v>0.01</v>
      </c>
      <c r="Q75" s="182"/>
      <c r="R75" s="182"/>
      <c r="S75" s="182"/>
      <c r="T75" s="182"/>
      <c r="U75" s="182"/>
      <c r="V75" s="182"/>
    </row>
    <row r="76" spans="1:22" ht="24.75">
      <c r="A76" s="2342" t="s">
        <v>798</v>
      </c>
      <c r="B76" s="3610" t="s">
        <v>817</v>
      </c>
      <c r="C76" s="3612"/>
      <c r="D76" s="2346">
        <f ca="1">IF(H76="转让取得",C99,C115)</f>
        <v>72753</v>
      </c>
      <c r="E76" s="124" t="s">
        <v>814</v>
      </c>
      <c r="F76" s="121" t="s">
        <v>138</v>
      </c>
      <c r="G76" s="2344"/>
      <c r="H76" s="2348"/>
      <c r="I76" s="2350"/>
      <c r="J76" s="2436"/>
      <c r="K76" s="2437" t="str">
        <f>IF(项目基本情况!K6="上海银行",IF(K75="",4,K75+1),"")</f>
        <v/>
      </c>
      <c r="L76" s="3613" t="str">
        <f>IF(项目基本情况!K6="上海银行","其他处置费用","")</f>
        <v/>
      </c>
      <c r="M76" s="3614"/>
      <c r="N76" s="2448" t="str">
        <f>IF(项目基本情况!K6="上海银行",N89,"")</f>
        <v/>
      </c>
      <c r="O76" s="3577" t="str">
        <f>IF(项目基本情况!K6="上海银行","包含处置中涉及的律师、诉讼、拍卖、评估等费用","")</f>
        <v/>
      </c>
      <c r="P76" s="3578"/>
      <c r="Q76" s="182"/>
      <c r="R76" s="182"/>
      <c r="S76" s="182"/>
      <c r="T76" s="182"/>
      <c r="U76" s="182"/>
      <c r="V76" s="182"/>
    </row>
    <row r="77" spans="1:22" ht="24">
      <c r="A77" s="3603" t="s">
        <v>818</v>
      </c>
      <c r="B77" s="3604"/>
      <c r="C77" s="3604"/>
      <c r="D77" s="2351">
        <f>IF(H77="非个人房产","——",IF(H77="个人住宅（满五唯一有凭证）",0,IF(H77="个人其他（无凭证）",ROUND(D63*F77,0),ROUND(C84*F77,0))))</f>
        <v>0</v>
      </c>
      <c r="E77" s="2352" t="str">
        <f>IF(H77="非个人房产","——",IF(H77="个人其他（无凭证）","销售额×税（费）率",IF(H77="个人住宅（满五唯一有凭证）","免征","差额计税")))</f>
        <v>差额计税</v>
      </c>
      <c r="F77" s="2353">
        <f>IF(OR(H77="非个人房产",H77="个人住宅（满五唯一有凭证）"),"——",IF(H77="个人其他（有凭证）",20%,1%))</f>
        <v>0.01</v>
      </c>
      <c r="G77" s="2354" t="s">
        <v>785</v>
      </c>
      <c r="H77" s="2355"/>
      <c r="I77" s="2454" t="s">
        <v>819</v>
      </c>
      <c r="J77" s="2436"/>
      <c r="K77" s="3570">
        <f>IF(AND(K75="",K76=""),4,IF(项目基本情况!K6="上海银行",K76+1,K75+1))</f>
        <v>5</v>
      </c>
      <c r="L77" s="3576" t="s">
        <v>455</v>
      </c>
      <c r="M77" s="2455" t="s">
        <v>820</v>
      </c>
      <c r="N77" s="2456"/>
      <c r="O77" s="2457">
        <f ca="1">SUMIF(N72:N76,"&lt;9e307")</f>
        <v>72817</v>
      </c>
      <c r="P77" s="2458"/>
      <c r="Q77" s="2480" t="e">
        <f ca="1">O77/N69</f>
        <v>#VALUE!</v>
      </c>
      <c r="R77" s="182"/>
      <c r="S77" s="182"/>
      <c r="T77" s="182"/>
      <c r="U77" s="182"/>
      <c r="V77" s="182"/>
    </row>
    <row r="78" spans="1:22" ht="12" customHeight="1">
      <c r="A78" s="2356"/>
      <c r="B78" s="115"/>
      <c r="C78" s="115"/>
      <c r="D78" s="115"/>
      <c r="E78" s="2350"/>
      <c r="F78" s="2350"/>
      <c r="G78" s="2350"/>
      <c r="H78" s="2357"/>
      <c r="I78" s="115"/>
      <c r="J78" s="2436"/>
      <c r="K78" s="3570"/>
      <c r="L78" s="3576"/>
      <c r="M78" s="2455" t="s">
        <v>821</v>
      </c>
      <c r="N78" s="2456"/>
      <c r="O78" s="2457" t="str">
        <f ca="1">NUMBERSTRING(INT(O77*10000),2)&amp;"元整"</f>
        <v>柒亿贰仟捌佰壹拾柒万元整</v>
      </c>
      <c r="P78" s="2458"/>
      <c r="Q78" s="182"/>
      <c r="R78" s="182"/>
      <c r="S78" s="182"/>
      <c r="T78" s="182"/>
      <c r="U78" s="182"/>
      <c r="V78" s="182"/>
    </row>
    <row r="79" spans="1:22" ht="12.75">
      <c r="A79" s="3605" t="s">
        <v>822</v>
      </c>
      <c r="B79" s="3605"/>
      <c r="C79" s="3605"/>
      <c r="D79" s="3605"/>
      <c r="E79" s="3605"/>
      <c r="F79" s="2350"/>
      <c r="G79" s="2350"/>
      <c r="H79" s="2357"/>
      <c r="I79" s="115"/>
      <c r="J79" s="2436"/>
      <c r="K79" s="3571">
        <f>K77+1</f>
        <v>6</v>
      </c>
      <c r="L79" s="3576" t="s">
        <v>823</v>
      </c>
      <c r="M79" s="2455" t="s">
        <v>820</v>
      </c>
      <c r="N79" s="2456"/>
      <c r="O79" s="2457" t="e">
        <f ca="1">N69-O77</f>
        <v>#VALUE!</v>
      </c>
      <c r="P79" s="2458"/>
      <c r="Q79" s="182"/>
      <c r="R79" s="182"/>
      <c r="S79" s="182"/>
      <c r="T79" s="182"/>
      <c r="U79" s="182"/>
      <c r="V79" s="182"/>
    </row>
    <row r="80" spans="1:22" ht="12.75">
      <c r="A80" s="3595" t="s">
        <v>824</v>
      </c>
      <c r="B80" s="3596"/>
      <c r="C80" s="2358"/>
      <c r="D80" s="2358" t="s">
        <v>825</v>
      </c>
      <c r="E80" s="2359" t="s">
        <v>782</v>
      </c>
      <c r="F80" s="2350"/>
      <c r="G80" s="2350"/>
      <c r="H80" s="2357"/>
      <c r="I80" s="115"/>
      <c r="J80" s="182"/>
      <c r="K80" s="3572"/>
      <c r="L80" s="3576"/>
      <c r="M80" s="2455" t="s">
        <v>821</v>
      </c>
      <c r="N80" s="2456"/>
      <c r="O80" s="2457" t="e">
        <f ca="1">NUMBERSTRING(INT(O79*10000),2)&amp;"元整"</f>
        <v>#VALUE!</v>
      </c>
      <c r="P80" s="2458"/>
      <c r="Q80" s="182"/>
      <c r="R80" s="182"/>
      <c r="S80" s="182"/>
      <c r="T80" s="182"/>
      <c r="U80" s="182"/>
      <c r="V80" s="182"/>
    </row>
    <row r="81" spans="1:26" ht="12.75">
      <c r="A81" s="2360" t="s">
        <v>826</v>
      </c>
      <c r="B81" s="2361" t="s">
        <v>827</v>
      </c>
      <c r="C81" s="2362">
        <f ca="1">ROUND((C82+C83)/(1+'数据-取费表'!C42),0)</f>
        <v>122418</v>
      </c>
      <c r="D81" s="2363"/>
      <c r="E81" s="2364"/>
      <c r="F81" s="2350"/>
      <c r="G81" s="2350"/>
      <c r="H81" s="2357"/>
      <c r="I81" s="115"/>
      <c r="J81" s="182"/>
      <c r="K81" s="2437">
        <f>K79+1</f>
        <v>7</v>
      </c>
      <c r="L81" s="3606" t="s">
        <v>828</v>
      </c>
      <c r="M81" s="3607"/>
      <c r="N81" s="2459"/>
      <c r="O81" s="2460" t="e">
        <f ca="1">ROUND(O79*10000/'数据-汇总表'!E3,0)</f>
        <v>#VALUE!</v>
      </c>
      <c r="P81" s="2461"/>
      <c r="Q81" s="182"/>
      <c r="R81" s="182"/>
      <c r="S81" s="182"/>
      <c r="T81" s="182"/>
      <c r="U81" s="182"/>
      <c r="V81" s="182"/>
    </row>
    <row r="82" spans="1:26" ht="12.75">
      <c r="A82" s="2087" t="s">
        <v>829</v>
      </c>
      <c r="B82" s="2365" t="s">
        <v>830</v>
      </c>
      <c r="C82" s="2366">
        <f ca="1">D63</f>
        <v>128539</v>
      </c>
      <c r="D82" s="1471" t="s">
        <v>138</v>
      </c>
      <c r="E82" s="2367"/>
      <c r="F82" s="2350"/>
      <c r="G82" s="2350"/>
      <c r="H82" s="2357"/>
      <c r="I82" s="115"/>
      <c r="J82" s="182"/>
      <c r="K82" s="182"/>
      <c r="L82" s="182"/>
      <c r="M82" s="182"/>
      <c r="N82" s="182"/>
      <c r="O82" s="182"/>
      <c r="P82" s="182"/>
      <c r="Q82" s="182"/>
      <c r="R82" s="182"/>
      <c r="S82" s="182"/>
      <c r="T82" s="182"/>
      <c r="U82" s="182"/>
      <c r="V82" s="182"/>
    </row>
    <row r="83" spans="1:26" ht="12.75">
      <c r="A83" s="2087" t="s">
        <v>831</v>
      </c>
      <c r="B83" s="2365" t="s">
        <v>832</v>
      </c>
      <c r="C83" s="2368"/>
      <c r="D83" s="1471"/>
      <c r="E83" s="2367"/>
      <c r="F83" s="2350"/>
      <c r="G83" s="2350"/>
      <c r="H83" s="2357"/>
      <c r="I83" s="115"/>
      <c r="J83" s="182"/>
      <c r="K83" s="3599" t="s">
        <v>833</v>
      </c>
      <c r="L83" s="2462" t="s">
        <v>834</v>
      </c>
      <c r="M83" s="2463" t="e">
        <f>IF(N69&gt;10000,N69*0.5%,IF(AND(N69&gt;1000,N69&lt;=10000),N69*1%,IF(AND(N69&gt;100,N69&lt;=1000),N69*3%,IF(AND(N69&gt;10,N69&lt;=100),N69*5%,N69*8%))))</f>
        <v>#VALUE!</v>
      </c>
      <c r="N83" s="121" t="e">
        <f>ROUND(M83,1)</f>
        <v>#VALUE!</v>
      </c>
      <c r="O83" s="2464"/>
      <c r="P83" s="182"/>
      <c r="Q83" s="182"/>
      <c r="R83" s="182"/>
      <c r="S83" s="182"/>
      <c r="T83" s="182"/>
      <c r="U83" s="182"/>
      <c r="V83" s="182"/>
    </row>
    <row r="84" spans="1:26" ht="12.75">
      <c r="A84" s="2360" t="s">
        <v>835</v>
      </c>
      <c r="B84" s="2369" t="s">
        <v>836</v>
      </c>
      <c r="C84" s="2370"/>
      <c r="D84" s="2371" t="s">
        <v>138</v>
      </c>
      <c r="E84" s="2372" t="s">
        <v>837</v>
      </c>
      <c r="F84" s="2350"/>
      <c r="G84" s="2350"/>
      <c r="H84" s="2357"/>
      <c r="I84" s="115"/>
      <c r="J84" s="182"/>
      <c r="K84" s="3599"/>
      <c r="L84" s="2462" t="s">
        <v>838</v>
      </c>
      <c r="M84" s="246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839</v>
      </c>
      <c r="P84" s="182"/>
      <c r="Q84" s="182"/>
      <c r="R84" s="182"/>
      <c r="S84" s="182"/>
      <c r="T84" s="182"/>
      <c r="U84" s="182"/>
      <c r="V84" s="182"/>
    </row>
    <row r="85" spans="1:26" ht="12.75">
      <c r="A85" s="2360" t="s">
        <v>840</v>
      </c>
      <c r="B85" s="2369" t="s">
        <v>841</v>
      </c>
      <c r="C85" s="2373">
        <f ca="1">C81-C84</f>
        <v>122418</v>
      </c>
      <c r="D85" s="1471" t="s">
        <v>138</v>
      </c>
      <c r="E85" s="2367"/>
      <c r="F85" s="2350"/>
      <c r="G85" s="2350"/>
      <c r="H85" s="2357"/>
      <c r="I85" s="115"/>
      <c r="J85" s="182"/>
      <c r="K85" s="3599"/>
      <c r="L85" s="2462" t="s">
        <v>842</v>
      </c>
      <c r="M85" s="2463" t="e">
        <f>IF(N69&gt;1000,N69*0.1%,IF(AND(N69&gt;500,N69&lt;=1000),N69*0.5%,IF(AND(N69&gt;50,N69&lt;=500),N69*1%,IF(AND(N69&gt;1,N69&lt;=50),N69*1.5%))))</f>
        <v>#VALUE!</v>
      </c>
      <c r="N85" s="121" t="e">
        <f t="shared" si="2"/>
        <v>#VALUE!</v>
      </c>
      <c r="O85" s="182" t="s">
        <v>839</v>
      </c>
      <c r="P85" s="182"/>
      <c r="Q85" s="182"/>
      <c r="R85" s="182"/>
      <c r="S85" s="182"/>
      <c r="T85" s="182"/>
      <c r="U85" s="182"/>
      <c r="V85" s="182"/>
    </row>
    <row r="86" spans="1:26" ht="12.75">
      <c r="A86" s="2374" t="s">
        <v>843</v>
      </c>
      <c r="B86" s="2375" t="s">
        <v>844</v>
      </c>
      <c r="C86" s="2376">
        <f ca="1">IF(C85&lt;=0,0,ROUND(C85*D86,0))</f>
        <v>6855</v>
      </c>
      <c r="D86" s="2377">
        <f>'数据-取费表'!B41</f>
        <v>5.6000000000000001E-2</v>
      </c>
      <c r="E86" s="2378"/>
      <c r="F86" s="2350"/>
      <c r="G86" s="2350"/>
      <c r="H86" s="2357"/>
      <c r="I86" s="115"/>
      <c r="J86" s="182"/>
      <c r="K86" s="3599"/>
      <c r="L86" s="2462" t="s">
        <v>845</v>
      </c>
      <c r="M86" s="2463" t="e">
        <f>N69*0.5%</f>
        <v>#VALUE!</v>
      </c>
      <c r="N86" s="121" t="e">
        <f>IF(M86&gt;0.5,0.5,ROUND(M86,0))</f>
        <v>#VALUE!</v>
      </c>
      <c r="O86" s="182" t="s">
        <v>846</v>
      </c>
      <c r="P86" s="182"/>
      <c r="Q86" s="182"/>
      <c r="R86" s="182"/>
      <c r="S86" s="182"/>
      <c r="T86" s="182"/>
      <c r="U86" s="182"/>
      <c r="V86" s="182"/>
    </row>
    <row r="87" spans="1:26" s="2150" customFormat="1" ht="14.25" customHeight="1">
      <c r="A87" s="2379"/>
      <c r="B87" s="2380"/>
      <c r="C87" s="2381"/>
      <c r="D87" s="2382"/>
      <c r="E87" s="2383"/>
      <c r="F87" s="2350"/>
      <c r="G87" s="2350"/>
      <c r="H87" s="2357"/>
      <c r="I87" s="115"/>
      <c r="J87" s="182"/>
      <c r="K87" s="3599"/>
      <c r="L87" s="2462" t="s">
        <v>847</v>
      </c>
      <c r="M87" s="246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464"/>
      <c r="P87" s="182"/>
      <c r="Q87" s="182"/>
      <c r="R87" s="182"/>
      <c r="S87" s="182"/>
      <c r="T87" s="182"/>
      <c r="U87" s="182"/>
      <c r="V87" s="182"/>
      <c r="W87" s="1919"/>
      <c r="X87" s="1919"/>
      <c r="Y87" s="1919"/>
      <c r="Z87" s="1919"/>
    </row>
    <row r="88" spans="1:26" s="2151" customFormat="1" ht="14.25">
      <c r="A88" s="3593" t="s">
        <v>848</v>
      </c>
      <c r="B88" s="3594"/>
      <c r="C88" s="3594"/>
      <c r="D88" s="3594"/>
      <c r="E88" s="3594"/>
      <c r="F88" s="3594"/>
      <c r="G88" s="3594"/>
      <c r="H88" s="3594"/>
      <c r="I88" s="2465"/>
      <c r="J88" s="2466"/>
      <c r="K88" s="3599"/>
      <c r="L88" s="2462" t="s">
        <v>849</v>
      </c>
      <c r="M88" s="2463" t="e">
        <f>IF(N69&gt;10000,N69*0.5%,IF(AND(N69&gt;5000,N69&lt;=10000),N69*1%,IF(AND(N69&gt;1000,N69&lt;=5000),N69*2%,IF(AND(N69&gt;200,N69&lt;=1000),N69*3%,N69*5%))))</f>
        <v>#VALUE!</v>
      </c>
      <c r="N88" s="121" t="e">
        <f>ROUND(M88,1)</f>
        <v>#VALUE!</v>
      </c>
      <c r="O88" s="2464"/>
      <c r="P88" s="2467"/>
      <c r="Q88" s="2467"/>
      <c r="R88" s="2467"/>
      <c r="S88" s="2467"/>
      <c r="T88" s="2467"/>
      <c r="U88" s="2467"/>
      <c r="V88" s="2467"/>
      <c r="W88" s="2481"/>
      <c r="X88" s="2481"/>
      <c r="Y88" s="2481"/>
      <c r="Z88" s="2481"/>
    </row>
    <row r="89" spans="1:26" s="2151" customFormat="1" ht="14.25">
      <c r="A89" s="3595" t="s">
        <v>824</v>
      </c>
      <c r="B89" s="3596"/>
      <c r="C89" s="2358"/>
      <c r="D89" s="2358" t="s">
        <v>825</v>
      </c>
      <c r="E89" s="2384" t="s">
        <v>782</v>
      </c>
      <c r="F89" s="2385"/>
      <c r="G89" s="2385"/>
      <c r="H89" s="2386"/>
      <c r="I89" s="2468"/>
      <c r="J89" s="2469"/>
      <c r="K89" s="3599"/>
      <c r="L89" s="2462" t="s">
        <v>482</v>
      </c>
      <c r="M89" s="2470"/>
      <c r="N89" s="121" t="e">
        <f>ROUND(SUM(N83:N88),0)</f>
        <v>#VALUE!</v>
      </c>
      <c r="O89" s="2471" t="e">
        <f>N89/N69</f>
        <v>#VALUE!</v>
      </c>
      <c r="P89" s="2467"/>
      <c r="Q89" s="2467"/>
      <c r="R89" s="2467"/>
      <c r="S89" s="2467"/>
      <c r="T89" s="2467"/>
      <c r="U89" s="2467"/>
      <c r="V89" s="2467"/>
      <c r="W89" s="2481"/>
      <c r="X89" s="2481"/>
      <c r="Y89" s="2481"/>
      <c r="Z89" s="2481"/>
    </row>
    <row r="90" spans="1:26" s="2151" customFormat="1" ht="14.25">
      <c r="A90" s="2360" t="s">
        <v>826</v>
      </c>
      <c r="B90" s="2369" t="s">
        <v>850</v>
      </c>
      <c r="C90" s="2373">
        <f ca="1">ROUND(D63/(1+'数据-取费表'!C42),0)</f>
        <v>122418</v>
      </c>
      <c r="D90" s="1471" t="s">
        <v>138</v>
      </c>
      <c r="E90" s="782"/>
      <c r="F90" s="783"/>
      <c r="G90" s="783"/>
      <c r="H90" s="2387"/>
      <c r="I90" s="2468"/>
      <c r="J90" s="2469"/>
      <c r="K90" s="2467"/>
      <c r="L90" s="2467"/>
      <c r="M90" s="2467"/>
      <c r="N90" s="2467"/>
      <c r="O90" s="2467"/>
      <c r="P90" s="2467"/>
      <c r="Q90" s="2467"/>
      <c r="R90" s="2467"/>
      <c r="S90" s="2467"/>
      <c r="T90" s="2467"/>
      <c r="U90" s="2467"/>
      <c r="V90" s="2467"/>
      <c r="W90" s="2481"/>
      <c r="X90" s="2481"/>
      <c r="Y90" s="2481"/>
      <c r="Z90" s="2481"/>
    </row>
    <row r="91" spans="1:26" s="2151" customFormat="1" ht="14.25">
      <c r="A91" s="2360" t="s">
        <v>835</v>
      </c>
      <c r="B91" s="2322" t="s">
        <v>851</v>
      </c>
      <c r="C91" s="2373">
        <f ca="1">C92+C96</f>
        <v>735</v>
      </c>
      <c r="D91" s="1471" t="s">
        <v>138</v>
      </c>
      <c r="E91" s="782"/>
      <c r="F91" s="783"/>
      <c r="G91" s="783"/>
      <c r="H91" s="2387"/>
      <c r="I91" s="2468"/>
      <c r="J91" s="2469"/>
      <c r="K91" s="2467"/>
      <c r="L91" s="2467"/>
      <c r="M91" s="2467"/>
      <c r="N91" s="2467"/>
      <c r="O91" s="2467"/>
      <c r="P91" s="2467"/>
      <c r="Q91" s="2467"/>
      <c r="R91" s="2467"/>
      <c r="S91" s="2467"/>
      <c r="T91" s="2467"/>
      <c r="U91" s="2467"/>
      <c r="V91" s="2467"/>
      <c r="W91" s="2481"/>
      <c r="X91" s="2481"/>
      <c r="Y91" s="2481"/>
      <c r="Z91" s="2481"/>
    </row>
    <row r="92" spans="1:26" s="2151" customFormat="1" ht="24">
      <c r="A92" s="2388" t="s">
        <v>829</v>
      </c>
      <c r="B92" s="2365" t="s">
        <v>852</v>
      </c>
      <c r="C92" s="1471">
        <f>ROUND(IF(G95="2016年5月1日后购买",C93/(1+'数据-取费表'!C30)+C94+C95,C93+C94+C95),0)</f>
        <v>0</v>
      </c>
      <c r="D92" s="1471" t="s">
        <v>138</v>
      </c>
      <c r="E92" s="782"/>
      <c r="F92" s="783"/>
      <c r="G92" s="783"/>
      <c r="H92" s="2387"/>
      <c r="I92" s="2468"/>
      <c r="J92" s="2469"/>
      <c r="K92" s="2467"/>
      <c r="L92" s="2467"/>
      <c r="M92" s="2467"/>
      <c r="N92" s="2467"/>
      <c r="O92" s="2467"/>
      <c r="P92" s="2467"/>
      <c r="Q92" s="2467"/>
      <c r="R92" s="2467"/>
      <c r="S92" s="2467"/>
      <c r="T92" s="2467"/>
      <c r="U92" s="2467"/>
      <c r="V92" s="2467"/>
      <c r="W92" s="2481"/>
      <c r="X92" s="2481"/>
      <c r="Y92" s="2481"/>
      <c r="Z92" s="2481"/>
    </row>
    <row r="93" spans="1:26" s="2151" customFormat="1" ht="14.25">
      <c r="A93" s="2388" t="s">
        <v>853</v>
      </c>
      <c r="B93" s="2365" t="s">
        <v>854</v>
      </c>
      <c r="C93" s="1473"/>
      <c r="D93" s="1471" t="s">
        <v>138</v>
      </c>
      <c r="E93" s="2389" t="s">
        <v>855</v>
      </c>
      <c r="F93" s="2390"/>
      <c r="G93" s="2389" t="s">
        <v>856</v>
      </c>
      <c r="H93" s="2391">
        <v>5</v>
      </c>
      <c r="I93" s="2317"/>
      <c r="J93" s="2467"/>
      <c r="K93" s="2467"/>
      <c r="L93" s="2467"/>
      <c r="M93" s="2467"/>
      <c r="N93" s="2467"/>
      <c r="O93" s="2467"/>
      <c r="P93" s="2467"/>
      <c r="Q93" s="2467"/>
      <c r="R93" s="2467"/>
      <c r="S93" s="2467"/>
      <c r="T93" s="2467"/>
      <c r="U93" s="2467"/>
      <c r="V93" s="2467"/>
      <c r="W93" s="2481"/>
      <c r="X93" s="2481"/>
      <c r="Y93" s="2481"/>
      <c r="Z93" s="2481"/>
    </row>
    <row r="94" spans="1:26" s="2151" customFormat="1" ht="24.75" customHeight="1">
      <c r="A94" s="2388" t="s">
        <v>857</v>
      </c>
      <c r="B94" s="2392" t="s">
        <v>858</v>
      </c>
      <c r="C94" s="1471">
        <f>IF(F93="购房发票",ROUND(C93*H93*5%,0),0)</f>
        <v>0</v>
      </c>
      <c r="D94" s="2393">
        <v>0.05</v>
      </c>
      <c r="E94" s="3600" t="s">
        <v>859</v>
      </c>
      <c r="F94" s="3601"/>
      <c r="G94" s="3601"/>
      <c r="H94" s="3602"/>
      <c r="I94" s="2468"/>
      <c r="J94" s="2469"/>
      <c r="K94" s="2467"/>
      <c r="L94" s="2467"/>
      <c r="M94" s="2467"/>
      <c r="N94" s="2467"/>
      <c r="O94" s="2467"/>
      <c r="P94" s="2467"/>
      <c r="Q94" s="2467"/>
      <c r="R94" s="2467"/>
      <c r="S94" s="2467"/>
      <c r="T94" s="2467"/>
      <c r="U94" s="2467"/>
      <c r="V94" s="2467"/>
      <c r="W94" s="2481"/>
      <c r="X94" s="2481"/>
      <c r="Y94" s="2481"/>
      <c r="Z94" s="2481"/>
    </row>
    <row r="95" spans="1:26" s="2151" customFormat="1" ht="24.75" customHeight="1">
      <c r="A95" s="2388" t="s">
        <v>860</v>
      </c>
      <c r="B95" s="2365" t="s">
        <v>861</v>
      </c>
      <c r="C95" s="1471">
        <f>ROUND(IF(G95="个人买卖住房",0,IF(G95="2016年5月1日前购买",C93*D95,C93*D95/(1+'数据-取费表'!C42))),0)</f>
        <v>0</v>
      </c>
      <c r="D95" s="2395">
        <f>'数据-取费表'!B48+'数据-取费表'!B49</f>
        <v>3.0499999999999999E-2</v>
      </c>
      <c r="E95" s="864" t="s">
        <v>862</v>
      </c>
      <c r="F95" s="2396"/>
      <c r="G95" s="2397"/>
      <c r="H95" s="2394" t="str">
        <f>IF(G95="个人买卖住房","免征印花税"," ")</f>
        <v xml:space="preserve"> </v>
      </c>
      <c r="I95" s="2468"/>
      <c r="J95" s="2469"/>
      <c r="K95" s="2467"/>
      <c r="L95" s="2467"/>
      <c r="M95" s="2467"/>
      <c r="N95" s="2467"/>
      <c r="O95" s="2467"/>
      <c r="P95" s="2467"/>
      <c r="Q95" s="2467"/>
      <c r="R95" s="2467"/>
      <c r="S95" s="2467"/>
      <c r="T95" s="2467"/>
      <c r="U95" s="2467"/>
      <c r="V95" s="2467"/>
      <c r="W95" s="2481"/>
      <c r="X95" s="2481"/>
      <c r="Y95" s="2481"/>
      <c r="Z95" s="2481"/>
    </row>
    <row r="96" spans="1:26" s="2151" customFormat="1" ht="24.75" customHeight="1">
      <c r="A96" s="2388" t="s">
        <v>831</v>
      </c>
      <c r="B96" s="2365" t="s">
        <v>863</v>
      </c>
      <c r="C96" s="2398">
        <f ca="1">ROUND(D63*D96/(1+'数据-取费表'!C42),0)</f>
        <v>735</v>
      </c>
      <c r="D96" s="2399">
        <f>'数据-取费表'!B43</f>
        <v>6.000000000000001E-3</v>
      </c>
      <c r="E96" s="3579" t="s">
        <v>864</v>
      </c>
      <c r="F96" s="3580"/>
      <c r="G96" s="3580"/>
      <c r="H96" s="3581"/>
      <c r="I96" s="2472"/>
      <c r="J96" s="2473"/>
      <c r="K96" s="2467"/>
      <c r="L96" s="2467"/>
      <c r="M96" s="2467"/>
      <c r="N96" s="2467"/>
      <c r="O96" s="2467"/>
      <c r="P96" s="2467"/>
      <c r="Q96" s="2467"/>
      <c r="R96" s="2467"/>
      <c r="S96" s="2467"/>
      <c r="T96" s="2467"/>
      <c r="U96" s="2467"/>
      <c r="V96" s="2467"/>
      <c r="W96" s="2481"/>
      <c r="X96" s="2481"/>
      <c r="Y96" s="2481"/>
      <c r="Z96" s="2481"/>
    </row>
    <row r="97" spans="1:26" s="2151" customFormat="1" ht="14.25">
      <c r="A97" s="2402" t="s">
        <v>840</v>
      </c>
      <c r="B97" s="2369" t="s">
        <v>865</v>
      </c>
      <c r="C97" s="2373">
        <f ca="1">C90-C91</f>
        <v>121683</v>
      </c>
      <c r="D97" s="1471" t="s">
        <v>138</v>
      </c>
      <c r="E97" s="782"/>
      <c r="F97" s="783"/>
      <c r="G97" s="783"/>
      <c r="H97" s="2387"/>
      <c r="I97" s="2468"/>
      <c r="J97" s="2469"/>
      <c r="K97" s="2467"/>
      <c r="L97" s="2467"/>
      <c r="M97" s="2467"/>
      <c r="N97" s="2467"/>
      <c r="O97" s="2467"/>
      <c r="P97" s="2467"/>
      <c r="Q97" s="2467"/>
      <c r="R97" s="2467"/>
      <c r="S97" s="2467"/>
      <c r="T97" s="2467"/>
      <c r="U97" s="2467"/>
      <c r="V97" s="2467"/>
      <c r="W97" s="2481"/>
      <c r="X97" s="2481"/>
      <c r="Y97" s="2481"/>
      <c r="Z97" s="2481"/>
    </row>
    <row r="98" spans="1:26" s="2151" customFormat="1" ht="24">
      <c r="A98" s="2402" t="s">
        <v>843</v>
      </c>
      <c r="B98" s="2369" t="s">
        <v>866</v>
      </c>
      <c r="C98" s="2403">
        <f ca="1">IF(C97&lt;=0,0,C97/C91)</f>
        <v>165.55510204081634</v>
      </c>
      <c r="D98" s="1471" t="s">
        <v>138</v>
      </c>
      <c r="E98" s="864" t="str">
        <f ca="1">IF(C98&gt;=200%,"增值额超过扣除项目金额200%",IF(C98&gt;=100%,"增值额超过扣除项目金额100%，未超过200%",IF(C98&gt;=50%,"增值额超过扣除项目金额50%，未超过100%",IF(C98&lt;50%,"增值额未超过扣除项目金额50%"))))</f>
        <v>增值额超过扣除项目金额200%</v>
      </c>
      <c r="F98" s="783"/>
      <c r="G98" s="783"/>
      <c r="H98" s="2387"/>
      <c r="I98" s="2468"/>
      <c r="J98" s="2469"/>
      <c r="K98" s="2467"/>
      <c r="L98" s="2467"/>
      <c r="M98" s="2467"/>
      <c r="N98" s="2467"/>
      <c r="O98" s="2467"/>
      <c r="P98" s="2467"/>
      <c r="Q98" s="2467"/>
      <c r="R98" s="2467"/>
      <c r="S98" s="2467"/>
      <c r="T98" s="2467"/>
      <c r="U98" s="2467"/>
      <c r="V98" s="2467"/>
      <c r="W98" s="2481"/>
      <c r="X98" s="2481"/>
      <c r="Y98" s="2481"/>
      <c r="Z98" s="2481"/>
    </row>
    <row r="99" spans="1:26" s="2151" customFormat="1" ht="24">
      <c r="A99" s="2404" t="s">
        <v>867</v>
      </c>
      <c r="B99" s="2375" t="s">
        <v>868</v>
      </c>
      <c r="C99" s="2405">
        <f ca="1">ROUND(IF(C97&lt;=0,0,IF(C98&gt;=200%,C97*60%-C91*35%,IF(C98&gt;=100%,C97*50%-C91*15%,IF(C98&gt;=50%,C97*40%-C91*5%,IF(C98&lt;50%,C97*30%,0))))),0)</f>
        <v>72753</v>
      </c>
      <c r="D99" s="2406" t="s">
        <v>138</v>
      </c>
      <c r="E99" s="2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408"/>
      <c r="G99" s="2408"/>
      <c r="H99" s="2409"/>
      <c r="I99" s="2468"/>
      <c r="J99" s="2469"/>
      <c r="K99" s="2467"/>
      <c r="L99" s="2467"/>
      <c r="M99" s="2467"/>
      <c r="N99" s="2467"/>
      <c r="O99" s="2467"/>
      <c r="P99" s="2467"/>
      <c r="Q99" s="2467"/>
      <c r="R99" s="2467"/>
      <c r="S99" s="2467"/>
      <c r="T99" s="2467"/>
      <c r="U99" s="2467"/>
      <c r="V99" s="2467"/>
      <c r="W99" s="2481"/>
      <c r="X99" s="2481"/>
      <c r="Y99" s="2481"/>
      <c r="Z99" s="2481"/>
    </row>
    <row r="100" spans="1:26" s="2151" customFormat="1" ht="7.5" customHeight="1">
      <c r="A100" s="2410"/>
      <c r="B100" s="2411"/>
      <c r="C100" s="2317"/>
      <c r="D100" s="2317"/>
      <c r="E100" s="2411"/>
      <c r="F100" s="2411"/>
      <c r="G100" s="2411"/>
      <c r="H100" s="2412"/>
      <c r="I100" s="2472"/>
      <c r="J100" s="2473"/>
      <c r="K100" s="2467"/>
      <c r="L100" s="2467"/>
      <c r="M100" s="2467"/>
      <c r="N100" s="2467"/>
      <c r="O100" s="2467"/>
      <c r="P100" s="2467"/>
      <c r="Q100" s="2467"/>
      <c r="R100" s="2467"/>
      <c r="S100" s="2467"/>
      <c r="T100" s="2467"/>
      <c r="U100" s="2467"/>
      <c r="V100" s="2467"/>
      <c r="W100" s="2481"/>
      <c r="X100" s="2481"/>
      <c r="Y100" s="2481"/>
      <c r="Z100" s="2481"/>
    </row>
    <row r="101" spans="1:26" s="2151" customFormat="1" ht="14.25">
      <c r="A101" s="3593" t="s">
        <v>869</v>
      </c>
      <c r="B101" s="3594"/>
      <c r="C101" s="3594"/>
      <c r="D101" s="3594"/>
      <c r="E101" s="3594"/>
      <c r="F101" s="3594"/>
      <c r="G101" s="3594"/>
      <c r="H101" s="3594"/>
      <c r="I101" s="2317"/>
      <c r="J101" s="2467"/>
      <c r="K101" s="2467"/>
      <c r="L101" s="2467"/>
      <c r="M101" s="2467"/>
      <c r="N101" s="2467"/>
      <c r="O101" s="2467"/>
      <c r="P101" s="2467"/>
      <c r="Q101" s="2467"/>
      <c r="R101" s="2467"/>
      <c r="S101" s="2467"/>
      <c r="T101" s="2467"/>
      <c r="U101" s="2467"/>
      <c r="V101" s="2467"/>
      <c r="W101" s="2481"/>
      <c r="X101" s="2481"/>
      <c r="Y101" s="2481"/>
      <c r="Z101" s="2481"/>
    </row>
    <row r="102" spans="1:26" s="2151" customFormat="1" ht="14.25">
      <c r="A102" s="3595" t="s">
        <v>824</v>
      </c>
      <c r="B102" s="3596"/>
      <c r="C102" s="2358"/>
      <c r="D102" s="2358" t="s">
        <v>825</v>
      </c>
      <c r="E102" s="2384" t="s">
        <v>782</v>
      </c>
      <c r="F102" s="2385"/>
      <c r="G102" s="2385"/>
      <c r="H102" s="2413"/>
      <c r="I102" s="2317"/>
      <c r="J102" s="2467"/>
      <c r="K102" s="2467"/>
      <c r="L102" s="2467"/>
      <c r="M102" s="2467"/>
      <c r="N102" s="2467"/>
      <c r="O102" s="2467"/>
      <c r="P102" s="2467"/>
      <c r="Q102" s="2467"/>
      <c r="R102" s="2467"/>
      <c r="S102" s="2467"/>
      <c r="T102" s="2467"/>
      <c r="U102" s="2467"/>
      <c r="V102" s="2467"/>
      <c r="W102" s="2481"/>
      <c r="X102" s="2481"/>
      <c r="Y102" s="2481"/>
      <c r="Z102" s="2481"/>
    </row>
    <row r="103" spans="1:26" s="2151" customFormat="1" ht="14.25">
      <c r="A103" s="2360" t="s">
        <v>826</v>
      </c>
      <c r="B103" s="2369" t="s">
        <v>850</v>
      </c>
      <c r="C103" s="2373">
        <f ca="1">ROUND(D63/(1+'数据-取费表'!C42),0)</f>
        <v>122418</v>
      </c>
      <c r="D103" s="1471" t="s">
        <v>138</v>
      </c>
      <c r="E103" s="782"/>
      <c r="F103" s="783"/>
      <c r="G103" s="783"/>
      <c r="H103" s="2414"/>
      <c r="I103" s="2317"/>
      <c r="J103" s="2467"/>
      <c r="K103" s="2467"/>
      <c r="L103" s="2467"/>
      <c r="M103" s="2467"/>
      <c r="N103" s="2467"/>
      <c r="O103" s="2467"/>
      <c r="P103" s="2467"/>
      <c r="Q103" s="2467"/>
      <c r="R103" s="2467"/>
      <c r="S103" s="2467"/>
      <c r="T103" s="2467"/>
      <c r="U103" s="2467"/>
      <c r="V103" s="2467"/>
      <c r="W103" s="2481"/>
      <c r="X103" s="2481"/>
      <c r="Y103" s="2481"/>
      <c r="Z103" s="2481"/>
    </row>
    <row r="104" spans="1:26" s="2151" customFormat="1" ht="14.25">
      <c r="A104" s="2360" t="s">
        <v>835</v>
      </c>
      <c r="B104" s="2322" t="s">
        <v>851</v>
      </c>
      <c r="C104" s="2373">
        <f ca="1">IF(H106="仅含出让金",C105+C108+C109+C110+C111+C112,C105+C109+C110+C111+C112)</f>
        <v>735</v>
      </c>
      <c r="D104" s="2415"/>
      <c r="E104" s="782"/>
      <c r="F104" s="783"/>
      <c r="G104" s="783"/>
      <c r="H104" s="2414"/>
      <c r="I104" s="2317"/>
      <c r="J104" s="2467"/>
      <c r="K104" s="2467"/>
      <c r="L104" s="2467"/>
      <c r="M104" s="2467"/>
      <c r="N104" s="2467"/>
      <c r="O104" s="2467"/>
      <c r="P104" s="2467"/>
      <c r="Q104" s="2467"/>
      <c r="R104" s="2467"/>
      <c r="S104" s="2467"/>
      <c r="T104" s="2467"/>
      <c r="U104" s="2467"/>
      <c r="V104" s="2467"/>
      <c r="W104" s="2481"/>
      <c r="X104" s="2481"/>
      <c r="Y104" s="2481"/>
      <c r="Z104" s="2481"/>
    </row>
    <row r="105" spans="1:26" s="2151" customFormat="1" ht="14.25">
      <c r="A105" s="2388" t="s">
        <v>829</v>
      </c>
      <c r="B105" s="2365" t="s">
        <v>870</v>
      </c>
      <c r="C105" s="2398">
        <f>C106+C107</f>
        <v>0</v>
      </c>
      <c r="D105" s="2399"/>
      <c r="E105" s="2416"/>
      <c r="F105" s="2400"/>
      <c r="G105" s="2400"/>
      <c r="H105" s="2401"/>
      <c r="I105" s="2317"/>
      <c r="J105" s="2467"/>
      <c r="K105" s="2467"/>
      <c r="L105" s="2467"/>
      <c r="M105" s="2467"/>
      <c r="N105" s="2467"/>
      <c r="O105" s="2467"/>
      <c r="P105" s="2467"/>
      <c r="Q105" s="2467"/>
      <c r="R105" s="2467"/>
      <c r="S105" s="2467"/>
      <c r="T105" s="2467"/>
      <c r="U105" s="2467"/>
      <c r="V105" s="2467"/>
      <c r="W105" s="2481"/>
      <c r="X105" s="2481"/>
      <c r="Y105" s="2481"/>
      <c r="Z105" s="2481"/>
    </row>
    <row r="106" spans="1:26" s="2151" customFormat="1" ht="14.25">
      <c r="A106" s="2388" t="s">
        <v>853</v>
      </c>
      <c r="B106" s="2365" t="s">
        <v>871</v>
      </c>
      <c r="C106" s="2417"/>
      <c r="D106" s="2399"/>
      <c r="E106" s="2418" t="s">
        <v>872</v>
      </c>
      <c r="F106" s="2400"/>
      <c r="G106" s="2419" t="s">
        <v>873</v>
      </c>
      <c r="H106" s="2420"/>
      <c r="I106" s="2317"/>
      <c r="J106" s="2467"/>
      <c r="K106" s="2474" t="s">
        <v>874</v>
      </c>
      <c r="L106" s="2467"/>
      <c r="M106" s="2467"/>
      <c r="N106" s="2467"/>
      <c r="O106" s="2467"/>
      <c r="P106" s="2467"/>
      <c r="Q106" s="2467"/>
      <c r="R106" s="2467"/>
      <c r="S106" s="2467"/>
      <c r="T106" s="2467"/>
      <c r="U106" s="2467"/>
      <c r="V106" s="2467"/>
      <c r="W106" s="2481"/>
      <c r="X106" s="2481"/>
      <c r="Y106" s="2481"/>
      <c r="Z106" s="2481"/>
    </row>
    <row r="107" spans="1:26" s="2151" customFormat="1" ht="14.25">
      <c r="A107" s="2388" t="s">
        <v>857</v>
      </c>
      <c r="B107" s="2365" t="s">
        <v>861</v>
      </c>
      <c r="C107" s="2398">
        <f>ROUND(C106*D107,0)</f>
        <v>0</v>
      </c>
      <c r="D107" s="2399">
        <f>'数据-取费表'!B48+'数据-取费表'!B49</f>
        <v>3.0499999999999999E-2</v>
      </c>
      <c r="E107" s="2418" t="s">
        <v>875</v>
      </c>
      <c r="F107" s="2400"/>
      <c r="G107" s="2400"/>
      <c r="H107" s="2401"/>
      <c r="I107" s="2317"/>
      <c r="J107" s="2467"/>
      <c r="K107" s="2467"/>
      <c r="L107" s="2467"/>
      <c r="M107" s="2467"/>
      <c r="N107" s="2467"/>
      <c r="O107" s="2467"/>
      <c r="P107" s="2467"/>
      <c r="Q107" s="2467"/>
      <c r="R107" s="2467"/>
      <c r="S107" s="2467"/>
      <c r="T107" s="2467"/>
      <c r="U107" s="2467"/>
      <c r="V107" s="2467"/>
      <c r="W107" s="2481"/>
      <c r="X107" s="2481"/>
      <c r="Y107" s="2481"/>
      <c r="Z107" s="2481"/>
    </row>
    <row r="108" spans="1:26" s="2151" customFormat="1" ht="14.25">
      <c r="A108" s="2388" t="s">
        <v>831</v>
      </c>
      <c r="B108" s="2365" t="s">
        <v>876</v>
      </c>
      <c r="C108" s="2417"/>
      <c r="D108" s="2399"/>
      <c r="E108" s="2418" t="str">
        <f>IF(H106="-","土地取得成本中已包含该笔费用"," ")</f>
        <v xml:space="preserve"> </v>
      </c>
      <c r="F108" s="2400"/>
      <c r="G108" s="3597" t="s">
        <v>877</v>
      </c>
      <c r="H108" s="3598"/>
      <c r="I108" s="2475"/>
      <c r="J108" s="2467"/>
      <c r="K108" s="2474" t="s">
        <v>878</v>
      </c>
      <c r="L108" s="2467"/>
      <c r="M108" s="2467"/>
      <c r="N108" s="2467"/>
      <c r="O108" s="2467"/>
      <c r="P108" s="2467"/>
      <c r="Q108" s="2467"/>
      <c r="R108" s="2467"/>
      <c r="S108" s="2467"/>
      <c r="T108" s="2467"/>
      <c r="U108" s="2467"/>
      <c r="V108" s="2467"/>
      <c r="W108" s="2481"/>
      <c r="X108" s="2481"/>
      <c r="Y108" s="2481"/>
      <c r="Z108" s="2481"/>
    </row>
    <row r="109" spans="1:26" s="2151" customFormat="1" ht="24" customHeight="1">
      <c r="A109" s="2421" t="s">
        <v>879</v>
      </c>
      <c r="B109" s="2365" t="s">
        <v>880</v>
      </c>
      <c r="C109" s="2398">
        <f>IF(H109="——",IF(F1="现房",'剩余法-现房'!C18,0),I109)</f>
        <v>0</v>
      </c>
      <c r="D109" s="2399"/>
      <c r="E109" s="3582" t="s">
        <v>881</v>
      </c>
      <c r="F109" s="3580"/>
      <c r="G109" s="3580"/>
      <c r="H109" s="2422" t="s">
        <v>138</v>
      </c>
      <c r="I109" s="2476"/>
      <c r="J109" s="2467"/>
      <c r="K109" s="2467"/>
      <c r="L109" s="2467"/>
      <c r="M109" s="2467"/>
      <c r="N109" s="2467"/>
      <c r="O109" s="2467"/>
      <c r="P109" s="2467"/>
      <c r="Q109" s="2467"/>
      <c r="R109" s="2467"/>
      <c r="S109" s="2467"/>
      <c r="T109" s="2467"/>
      <c r="U109" s="2467"/>
      <c r="V109" s="2467"/>
      <c r="W109" s="2481"/>
      <c r="X109" s="2481"/>
      <c r="Y109" s="2481"/>
      <c r="Z109" s="2481"/>
    </row>
    <row r="110" spans="1:26" s="2151" customFormat="1" ht="25.5" customHeight="1">
      <c r="A110" s="2421" t="s">
        <v>882</v>
      </c>
      <c r="B110" s="2365" t="s">
        <v>883</v>
      </c>
      <c r="C110" s="2398">
        <f>ROUND((C105+C108+C109)*D110,0)</f>
        <v>0</v>
      </c>
      <c r="D110" s="2423">
        <v>0</v>
      </c>
      <c r="E110" s="3582" t="s">
        <v>884</v>
      </c>
      <c r="F110" s="3580"/>
      <c r="G110" s="3580"/>
      <c r="H110" s="3581"/>
      <c r="I110" s="2317"/>
      <c r="J110" s="2467"/>
      <c r="K110" s="2477" t="s">
        <v>885</v>
      </c>
      <c r="L110" s="2467"/>
      <c r="M110" s="2467"/>
      <c r="N110" s="2467"/>
      <c r="O110" s="2467"/>
      <c r="P110" s="2467"/>
      <c r="Q110" s="2467"/>
      <c r="R110" s="2467"/>
      <c r="S110" s="2467"/>
      <c r="T110" s="2467"/>
      <c r="U110" s="2467"/>
      <c r="V110" s="2467"/>
      <c r="W110" s="2481"/>
      <c r="X110" s="2481"/>
      <c r="Y110" s="2481"/>
      <c r="Z110" s="2481"/>
    </row>
    <row r="111" spans="1:26" s="2151" customFormat="1" ht="25.5" customHeight="1">
      <c r="A111" s="2421" t="s">
        <v>886</v>
      </c>
      <c r="B111" s="2365" t="s">
        <v>863</v>
      </c>
      <c r="C111" s="2398">
        <f ca="1">ROUND(D63*D111/(1+'数据-取费表'!C42),0)</f>
        <v>735</v>
      </c>
      <c r="D111" s="2399">
        <f>'数据-取费表'!B43</f>
        <v>6.000000000000001E-3</v>
      </c>
      <c r="E111" s="3579" t="s">
        <v>864</v>
      </c>
      <c r="F111" s="3580"/>
      <c r="G111" s="3580"/>
      <c r="H111" s="3581"/>
      <c r="I111" s="2317"/>
      <c r="J111" s="2467"/>
      <c r="K111" s="2467"/>
      <c r="L111" s="2467"/>
      <c r="M111" s="2467"/>
      <c r="N111" s="2467"/>
      <c r="O111" s="2467"/>
      <c r="P111" s="2467"/>
      <c r="Q111" s="2467"/>
      <c r="R111" s="2467"/>
      <c r="S111" s="2467"/>
      <c r="T111" s="2467"/>
      <c r="U111" s="2467"/>
      <c r="V111" s="2467"/>
      <c r="W111" s="2481"/>
      <c r="X111" s="2481"/>
      <c r="Y111" s="2481"/>
      <c r="Z111" s="2481"/>
    </row>
    <row r="112" spans="1:26" s="2151" customFormat="1" ht="25.5" customHeight="1">
      <c r="A112" s="2421" t="s">
        <v>887</v>
      </c>
      <c r="B112" s="2365" t="s">
        <v>888</v>
      </c>
      <c r="C112" s="2398">
        <f>ROUND(C108*D112,0)</f>
        <v>0</v>
      </c>
      <c r="D112" s="2399">
        <v>0.2</v>
      </c>
      <c r="E112" s="3582" t="s">
        <v>889</v>
      </c>
      <c r="F112" s="3580"/>
      <c r="G112" s="3580"/>
      <c r="H112" s="3581"/>
      <c r="I112" s="2317"/>
      <c r="J112" s="2467"/>
      <c r="K112" s="2467"/>
      <c r="L112" s="2467"/>
      <c r="M112" s="2467"/>
      <c r="N112" s="2467"/>
      <c r="O112" s="2467"/>
      <c r="P112" s="2467"/>
      <c r="Q112" s="2467"/>
      <c r="R112" s="2467"/>
      <c r="S112" s="2467"/>
      <c r="T112" s="2467"/>
      <c r="U112" s="2467"/>
      <c r="V112" s="2467"/>
      <c r="W112" s="2481"/>
      <c r="X112" s="2481"/>
      <c r="Y112" s="2481"/>
      <c r="Z112" s="2481"/>
    </row>
    <row r="113" spans="1:26" s="2151" customFormat="1" ht="14.25">
      <c r="A113" s="2402" t="s">
        <v>840</v>
      </c>
      <c r="B113" s="2369" t="s">
        <v>865</v>
      </c>
      <c r="C113" s="2373">
        <f ca="1">ROUND(C103-C104,0)</f>
        <v>121683</v>
      </c>
      <c r="D113" s="1471" t="s">
        <v>138</v>
      </c>
      <c r="E113" s="782"/>
      <c r="F113" s="783"/>
      <c r="G113" s="783"/>
      <c r="H113" s="2414"/>
      <c r="I113" s="2317"/>
      <c r="J113" s="2467"/>
      <c r="K113" s="2467"/>
      <c r="L113" s="2467"/>
      <c r="M113" s="2467"/>
      <c r="N113" s="2467"/>
      <c r="O113" s="2467"/>
      <c r="P113" s="2467"/>
      <c r="Q113" s="2467"/>
      <c r="R113" s="2467"/>
      <c r="S113" s="2467"/>
      <c r="T113" s="2467"/>
      <c r="U113" s="2467"/>
      <c r="V113" s="2467"/>
      <c r="W113" s="2481"/>
      <c r="X113" s="2481"/>
      <c r="Y113" s="2481"/>
      <c r="Z113" s="2481"/>
    </row>
    <row r="114" spans="1:26" s="2151" customFormat="1" ht="24">
      <c r="A114" s="2402" t="s">
        <v>843</v>
      </c>
      <c r="B114" s="2369" t="s">
        <v>866</v>
      </c>
      <c r="C114" s="2403">
        <f ca="1">IF(C113&lt;=0,0,C113/C104)</f>
        <v>165.55510204081634</v>
      </c>
      <c r="D114" s="1471" t="s">
        <v>138</v>
      </c>
      <c r="E114" s="864" t="str">
        <f ca="1">IF(C114&gt;=200%,"增值额超过扣除项目金额200%",IF(C114&gt;=100%,"增值额超过扣除项目金额100%，未超过200%",IF(C114&gt;=50%,"增值额超过扣除项目金额50%，未超过100%",IF(C114&lt;50%,"增值额未超过扣除项目金额50%"))))</f>
        <v>增值额超过扣除项目金额200%</v>
      </c>
      <c r="F114" s="783"/>
      <c r="G114" s="783"/>
      <c r="H114" s="2414"/>
      <c r="I114" s="2317"/>
      <c r="J114" s="2467"/>
      <c r="K114" s="2467"/>
      <c r="L114" s="2467"/>
      <c r="M114" s="2467"/>
      <c r="N114" s="2467"/>
      <c r="O114" s="2467"/>
      <c r="P114" s="2467"/>
      <c r="Q114" s="2467"/>
      <c r="R114" s="2467"/>
      <c r="S114" s="2467"/>
      <c r="T114" s="2467"/>
      <c r="U114" s="2467"/>
      <c r="V114" s="2467"/>
      <c r="W114" s="2481"/>
      <c r="X114" s="2481"/>
      <c r="Y114" s="2481"/>
      <c r="Z114" s="2481"/>
    </row>
    <row r="115" spans="1:26" s="2151" customFormat="1" ht="24">
      <c r="A115" s="2404" t="s">
        <v>867</v>
      </c>
      <c r="B115" s="2375" t="s">
        <v>868</v>
      </c>
      <c r="C115" s="2405">
        <f ca="1">ROUND(IF(C113&lt;=0,0,IF(C114&gt;=200%,C113*60%-C104*35%,IF(C114&gt;=100%,C113*50%-C104*15%,IF(C114&gt;=50%,C113*40%-C104*5%,IF(C114&lt;50%,C113*30%,0))))),0)</f>
        <v>72753</v>
      </c>
      <c r="D115" s="2406" t="s">
        <v>138</v>
      </c>
      <c r="E115" s="2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408"/>
      <c r="G115" s="2408"/>
      <c r="H115" s="2424"/>
      <c r="I115" s="2317"/>
      <c r="J115" s="2467"/>
      <c r="K115" s="2467"/>
      <c r="L115" s="2467"/>
      <c r="M115" s="2467"/>
      <c r="N115" s="2467"/>
      <c r="O115" s="2467"/>
      <c r="P115" s="2467"/>
      <c r="Q115" s="2467"/>
      <c r="R115" s="2467"/>
      <c r="S115" s="2467"/>
      <c r="T115" s="2467"/>
      <c r="U115" s="2467"/>
      <c r="V115" s="2467"/>
      <c r="W115" s="2481"/>
      <c r="X115" s="2481"/>
      <c r="Y115" s="2481"/>
      <c r="Z115" s="2481"/>
    </row>
    <row r="116" spans="1:26" s="155" customFormat="1" ht="21.75" customHeight="1">
      <c r="J116" s="2478"/>
      <c r="K116" s="182"/>
      <c r="L116" s="182"/>
      <c r="M116" s="182"/>
      <c r="N116" s="182"/>
      <c r="O116" s="182"/>
    </row>
    <row r="117" spans="1:26" s="155" customFormat="1" ht="21.75" customHeight="1">
      <c r="J117" s="2478"/>
    </row>
    <row r="118" spans="1:26" s="155" customFormat="1" ht="21.75" customHeight="1">
      <c r="J118" s="2478"/>
    </row>
    <row r="119" spans="1:26" s="155" customFormat="1" ht="21.75" customHeight="1">
      <c r="J119" s="2478"/>
    </row>
    <row r="120" spans="1:26" s="155" customFormat="1" ht="21.75" customHeight="1">
      <c r="J120" s="2478"/>
    </row>
    <row r="121" spans="1:26" s="155" customFormat="1" ht="21.75" customHeight="1"/>
    <row r="122" spans="1:26" s="155" customFormat="1" ht="21.75" customHeight="1">
      <c r="J122" s="2479"/>
    </row>
    <row r="123" spans="1:26" s="155" customFormat="1" ht="21.75" customHeight="1"/>
    <row r="124" spans="1:26" s="155" customFormat="1" ht="21.75" customHeight="1"/>
    <row r="125" spans="1:26" s="155" customFormat="1" ht="21.75" customHeight="1">
      <c r="J125" s="2479"/>
    </row>
    <row r="126" spans="1:26" s="155" customFormat="1" ht="21.75" customHeight="1"/>
    <row r="127" spans="1:26" s="155" customFormat="1" ht="21.75" customHeight="1"/>
    <row r="128" spans="1:26" s="155" customFormat="1" ht="21.75" customHeight="1">
      <c r="J128" s="2479"/>
    </row>
    <row r="129" spans="2:6" s="155" customFormat="1" ht="21.75" customHeight="1"/>
    <row r="130" spans="2:6" s="155" customFormat="1" ht="21.75" customHeight="1">
      <c r="B130" s="2482"/>
      <c r="C130" s="2483"/>
      <c r="D130" s="2484"/>
      <c r="E130" s="2484"/>
      <c r="F130" s="2485"/>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31" type="noConversion"/>
  <conditionalFormatting sqref="I33">
    <cfRule type="expression" dxfId="183" priority="1" stopIfTrue="1">
      <formula>$H$33="同一抵押权人同一抵押物续贷"</formula>
    </cfRule>
  </conditionalFormatting>
  <conditionalFormatting sqref="C108">
    <cfRule type="expression" dxfId="182" priority="3" stopIfTrue="1">
      <formula>$H$106&lt;&gt;"仅含出让金"</formula>
    </cfRule>
  </conditionalFormatting>
  <conditionalFormatting sqref="C109">
    <cfRule type="expression" dxfId="181" priority="2" stopIfTrue="1">
      <formula>$H$109="由企业提供"</formula>
    </cfRule>
  </conditionalFormatting>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D14:D16">
    <cfRule type="cellIs" dxfId="175" priority="6" stopIfTrue="1" operator="equal">
      <formula>30</formula>
    </cfRule>
  </conditionalFormatting>
  <conditionalFormatting sqref="C10:D13">
    <cfRule type="cellIs" dxfId="174" priority="8" stopIfTrue="1" operator="equal">
      <formula>15</formula>
    </cfRule>
  </conditionalFormatting>
  <dataValidations count="21">
    <dataValidation type="list" allowBlank="1" showInputMessage="1" showErrorMessage="1" sqref="N42" xr:uid="{00000000-0002-0000-1000-000000000000}">
      <formula1>"测算结果/万元,测算结果/（元/平方米）"</formula1>
    </dataValidation>
    <dataValidation type="list" allowBlank="1" showInputMessage="1" showErrorMessage="1" sqref="D1" xr:uid="{00000000-0002-0000-1000-000001000000}">
      <formula1>"项目局部,项目全部"</formula1>
    </dataValidation>
    <dataValidation type="list" allowBlank="1" showInputMessage="1" showErrorMessage="1" sqref="L42" xr:uid="{00000000-0002-0000-1000-000002000000}">
      <formula1>"估价结果/万元,估价结果/（元/平方米）"</formula1>
    </dataValidation>
    <dataValidation type="list" allowBlank="1" showInputMessage="1" showErrorMessage="1" sqref="H76" xr:uid="{00000000-0002-0000-1000-000003000000}">
      <formula1>"转让取得,自行开发建设"</formula1>
    </dataValidation>
    <dataValidation type="list" showInputMessage="1" showErrorMessage="1" sqref="F1" xr:uid="{00000000-0002-0000-1000-000004000000}">
      <formula1>"土地,现房"</formula1>
    </dataValidation>
    <dataValidation type="list" allowBlank="1" showInputMessage="1" showErrorMessage="1" sqref="O42" xr:uid="{00000000-0002-0000-1000-000005000000}">
      <formula1>"最终结果/万元,最终结果/（元/平方米）"</formula1>
    </dataValidation>
    <dataValidation type="list" allowBlank="1" showInputMessage="1" showErrorMessage="1" sqref="C4:D4" xr:uid="{00000000-0002-0000-1000-000006000000}">
      <formula1>估价方法</formula1>
    </dataValidation>
    <dataValidation type="list" allowBlank="1" showInputMessage="1" showErrorMessage="1" sqref="G95" xr:uid="{00000000-0002-0000-1000-000007000000}">
      <formula1>"个人买卖住房,,2016年5月1日前购买,2016年5月1日后购买"</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B25" xr:uid="{00000000-0002-0000-1000-000009000000}">
      <formula1>"楼面地价,单位面积地价"</formula1>
    </dataValidation>
    <dataValidation type="list" allowBlank="1" showInputMessage="1" showErrorMessage="1" sqref="A43" xr:uid="{00000000-0002-0000-1000-00000A000000}">
      <formula1>"2.估价师知悉的法定优先受偿款,2.估价师知悉的除抵押担保权以外的法定优先受偿款,——"</formula1>
    </dataValidation>
    <dataValidation type="list" allowBlank="1" showInputMessage="1" showErrorMessage="1" sqref="G43" xr:uid="{00000000-0002-0000-1000-00000B000000}">
      <formula1>"设定,——"</formula1>
    </dataValidation>
    <dataValidation type="list" allowBlank="1" showInputMessage="1" showErrorMessage="1" sqref="C47" xr:uid="{00000000-0002-0000-1000-00000C000000}">
      <formula1>"无,有"</formula1>
    </dataValidation>
    <dataValidation type="list" allowBlank="1" showInputMessage="1" showErrorMessage="1" sqref="F63" xr:uid="{00000000-0002-0000-1000-00000D000000}">
      <formula1>"100%,80%,60%,64%"</formula1>
    </dataValidation>
    <dataValidation type="list" allowBlank="1" showInputMessage="1" showErrorMessage="1" sqref="H66" xr:uid="{00000000-0002-0000-1000-00000E000000}">
      <formula1>"情况1,情况2,情况3,情况4"</formula1>
    </dataValidation>
    <dataValidation type="list" allowBlank="1" showInputMessage="1" showErrorMessage="1" sqref="H77" xr:uid="{00000000-0002-0000-1000-00000F000000}">
      <formula1>"非个人房产,个人住宅（满五唯一有凭证）,个人其他（有凭证）,个人其他（无凭证）"</formula1>
    </dataValidation>
    <dataValidation type="list" allowBlank="1" showInputMessage="1" showErrorMessage="1" sqref="F93" xr:uid="{00000000-0002-0000-1000-000010000000}">
      <formula1>"买卖合同,购房发票"</formula1>
    </dataValidation>
    <dataValidation type="list" allowBlank="1" showInputMessage="1" showErrorMessage="1" sqref="H106" xr:uid="{00000000-0002-0000-1000-000011000000}">
      <formula1>"仅含出让金,出让金+开发费"</formula1>
    </dataValidation>
    <dataValidation type="list" allowBlank="1" showInputMessage="1" showErrorMessage="1" sqref="H109" xr:uid="{00000000-0002-0000-1000-000012000000}">
      <formula1>"企业提供(在右侧录入),——"</formula1>
    </dataValidation>
    <dataValidation type="list" allowBlank="1" showInputMessage="1" showErrorMessage="1" sqref="D110" xr:uid="{00000000-0002-0000-1000-000013000000}">
      <formula1>"0,5%,10%"</formula1>
    </dataValidation>
    <dataValidation type="list" allowBlank="1" showInputMessage="1" showErrorMessage="1" sqref="H73:H74" xr:uid="{00000000-0002-0000-1000-000014000000}">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pageSetUpPr fitToPage="1"/>
  </sheetPr>
  <dimension ref="A1:AD259"/>
  <sheetViews>
    <sheetView view="pageBreakPreview" zoomScale="60" zoomScaleNormal="95" workbookViewId="0">
      <selection activeCell="S47" sqref="S47"/>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890</v>
      </c>
      <c r="B1" s="536"/>
      <c r="C1" s="203" t="s">
        <v>891</v>
      </c>
      <c r="D1" s="1664" t="s">
        <v>892</v>
      </c>
      <c r="E1" s="205"/>
      <c r="F1" s="991"/>
      <c r="G1" s="205"/>
      <c r="H1" s="205"/>
      <c r="I1" s="205"/>
      <c r="J1" s="205"/>
      <c r="K1" s="375"/>
      <c r="L1" s="376"/>
      <c r="M1" s="377"/>
      <c r="N1" s="377"/>
      <c r="O1" s="377"/>
      <c r="P1" s="378"/>
      <c r="Q1" s="378"/>
      <c r="R1" s="378"/>
      <c r="S1" s="378"/>
      <c r="T1" s="378"/>
      <c r="U1" s="378"/>
      <c r="V1" s="378"/>
      <c r="W1" s="378"/>
      <c r="X1" s="378"/>
      <c r="Y1" s="378"/>
      <c r="Z1" s="378"/>
      <c r="AA1" s="378"/>
      <c r="AB1" s="378"/>
      <c r="AC1" s="467"/>
      <c r="AD1" s="2134"/>
    </row>
    <row r="2" spans="1:30" s="192" customFormat="1" ht="28.5" customHeight="1">
      <c r="A2" s="208" t="s">
        <v>893</v>
      </c>
      <c r="B2" s="1666" t="e">
        <f>F68</f>
        <v>#DIV/0!</v>
      </c>
      <c r="C2" s="2114"/>
      <c r="D2" s="2114"/>
      <c r="E2" s="1667"/>
      <c r="F2" s="1668"/>
      <c r="G2" s="1667"/>
      <c r="H2" s="1667"/>
      <c r="I2" s="1667"/>
      <c r="J2" s="1667"/>
      <c r="K2" s="1728"/>
      <c r="L2" s="380"/>
      <c r="M2" s="378"/>
      <c r="N2" s="378"/>
      <c r="O2" s="378"/>
      <c r="P2" s="378"/>
      <c r="Q2" s="378"/>
      <c r="R2" s="378"/>
      <c r="S2" s="378"/>
      <c r="T2" s="378"/>
      <c r="U2" s="378"/>
      <c r="V2" s="378"/>
      <c r="W2" s="378"/>
      <c r="X2" s="378"/>
      <c r="Y2" s="378"/>
      <c r="Z2" s="378"/>
      <c r="AA2" s="378"/>
      <c r="AB2" s="378"/>
      <c r="AC2" s="467"/>
      <c r="AD2" s="2134"/>
    </row>
    <row r="3" spans="1:30" s="192" customFormat="1" ht="28.5" customHeight="1">
      <c r="A3" s="629" t="s">
        <v>894</v>
      </c>
      <c r="B3" s="214" t="e">
        <f>ROUND(B2*10000/'数据-汇总表'!E3,0)</f>
        <v>#DIV/0!</v>
      </c>
      <c r="C3" s="632"/>
      <c r="D3" s="2115"/>
      <c r="E3" s="632"/>
      <c r="F3" s="632"/>
      <c r="G3" s="1667"/>
      <c r="H3" s="1667"/>
      <c r="I3" s="1667"/>
      <c r="J3" s="1667"/>
      <c r="K3" s="1728"/>
      <c r="L3" s="380"/>
      <c r="M3" s="378"/>
      <c r="N3" s="378"/>
      <c r="O3" s="378"/>
      <c r="P3" s="378"/>
      <c r="Q3" s="378"/>
      <c r="R3" s="378"/>
      <c r="S3" s="378"/>
      <c r="T3" s="378"/>
      <c r="U3" s="378"/>
      <c r="V3" s="378"/>
      <c r="W3" s="378"/>
      <c r="X3" s="378"/>
      <c r="Y3" s="378"/>
      <c r="Z3" s="378"/>
      <c r="AA3" s="378"/>
      <c r="AB3" s="468"/>
      <c r="AC3" s="469"/>
    </row>
    <row r="4" spans="1:30" s="192" customFormat="1" ht="28.5" customHeight="1">
      <c r="A4" s="1670" t="s">
        <v>895</v>
      </c>
      <c r="B4" s="631" t="e">
        <f>IF(B48="单位面积地价",C50,ROUND(B2*10000/'数据-汇总表'!D3,0))</f>
        <v>#DIV/0!</v>
      </c>
      <c r="C4" s="632"/>
      <c r="D4" s="2115"/>
      <c r="E4" s="632"/>
      <c r="F4" s="632"/>
      <c r="G4" s="1667"/>
      <c r="H4" s="1667"/>
      <c r="I4" s="1667"/>
      <c r="J4" s="1667"/>
      <c r="K4" s="1728"/>
      <c r="L4" s="380"/>
      <c r="M4" s="378"/>
      <c r="N4" s="378"/>
      <c r="O4" s="378"/>
      <c r="P4" s="378"/>
      <c r="Q4" s="378"/>
      <c r="R4" s="378"/>
      <c r="S4" s="378"/>
      <c r="T4" s="378"/>
      <c r="U4" s="378"/>
      <c r="V4" s="378"/>
      <c r="W4" s="378"/>
      <c r="X4" s="378"/>
      <c r="Y4" s="378"/>
      <c r="Z4" s="378"/>
      <c r="AA4" s="378"/>
      <c r="AB4" s="378"/>
      <c r="AC4" s="469"/>
    </row>
    <row r="5" spans="1:30" s="192" customFormat="1" ht="28.5" customHeight="1">
      <c r="A5" s="633"/>
      <c r="B5" s="634" t="e">
        <f>ROUND(B2/('数据-汇总表'!D3/666.67),0)</f>
        <v>#DIV/0!</v>
      </c>
      <c r="C5" s="635" t="s">
        <v>896</v>
      </c>
      <c r="D5" s="632"/>
      <c r="E5" s="632"/>
      <c r="F5" s="632"/>
      <c r="G5" s="1667"/>
      <c r="H5" s="1667"/>
      <c r="I5" s="1667"/>
      <c r="J5" s="1667"/>
      <c r="K5" s="1728"/>
      <c r="L5" s="380"/>
      <c r="M5" s="378"/>
      <c r="N5" s="378"/>
      <c r="O5" s="378"/>
      <c r="P5" s="378"/>
      <c r="Q5" s="378"/>
      <c r="R5" s="378"/>
      <c r="S5" s="378"/>
      <c r="T5" s="378"/>
      <c r="U5" s="378"/>
      <c r="V5" s="378"/>
      <c r="W5" s="378"/>
      <c r="X5" s="378"/>
      <c r="Y5" s="378"/>
      <c r="Z5" s="378"/>
      <c r="AA5" s="378"/>
      <c r="AB5" s="378"/>
      <c r="AC5" s="469"/>
    </row>
    <row r="6" spans="1:30" ht="20.25">
      <c r="A6" s="217" t="s">
        <v>897</v>
      </c>
      <c r="B6" s="218"/>
      <c r="C6" s="3686" t="s">
        <v>898</v>
      </c>
      <c r="D6" s="3687"/>
      <c r="E6" s="3686" t="s">
        <v>899</v>
      </c>
      <c r="F6" s="3687"/>
      <c r="G6" s="3686" t="s">
        <v>900</v>
      </c>
      <c r="H6" s="3687"/>
      <c r="I6" s="3686" t="s">
        <v>901</v>
      </c>
      <c r="J6" s="3687"/>
      <c r="K6" s="381" t="s">
        <v>902</v>
      </c>
      <c r="L6" s="382"/>
      <c r="M6" s="378"/>
      <c r="N6" s="378"/>
      <c r="O6" s="383"/>
      <c r="P6" s="3652" t="s">
        <v>903</v>
      </c>
      <c r="Q6" s="3653"/>
      <c r="R6" s="3658" t="s">
        <v>899</v>
      </c>
      <c r="S6" s="3659"/>
      <c r="T6" s="3658" t="s">
        <v>900</v>
      </c>
      <c r="U6" s="3659"/>
      <c r="V6" s="3664" t="s">
        <v>901</v>
      </c>
      <c r="W6" s="3664"/>
      <c r="X6" s="450"/>
      <c r="Y6" s="3658" t="s">
        <v>903</v>
      </c>
      <c r="Z6" s="3659"/>
      <c r="AA6" s="3649" t="s">
        <v>899</v>
      </c>
      <c r="AB6" s="3650" t="s">
        <v>900</v>
      </c>
      <c r="AC6" s="3649" t="s">
        <v>901</v>
      </c>
    </row>
    <row r="7" spans="1:30" ht="20.25">
      <c r="A7" s="219"/>
      <c r="B7" s="220"/>
      <c r="C7" s="3688" t="s">
        <v>904</v>
      </c>
      <c r="D7" s="3689"/>
      <c r="E7" s="3688" t="s">
        <v>905</v>
      </c>
      <c r="F7" s="3689"/>
      <c r="G7" s="3688" t="s">
        <v>906</v>
      </c>
      <c r="H7" s="3689"/>
      <c r="I7" s="3688" t="s">
        <v>907</v>
      </c>
      <c r="J7" s="3689"/>
      <c r="K7" s="381"/>
      <c r="L7" s="382"/>
      <c r="M7" s="378"/>
      <c r="N7" s="378"/>
      <c r="O7" s="383"/>
      <c r="P7" s="3654"/>
      <c r="Q7" s="3655"/>
      <c r="R7" s="3660"/>
      <c r="S7" s="3661"/>
      <c r="T7" s="3660"/>
      <c r="U7" s="3661"/>
      <c r="V7" s="3664"/>
      <c r="W7" s="3664"/>
      <c r="X7" s="450"/>
      <c r="Y7" s="3660"/>
      <c r="Z7" s="3661"/>
      <c r="AA7" s="3650"/>
      <c r="AB7" s="3650"/>
      <c r="AC7" s="3650"/>
    </row>
    <row r="8" spans="1:30" ht="20.25">
      <c r="A8" s="219"/>
      <c r="B8" s="220"/>
      <c r="C8" s="3681" t="s">
        <v>908</v>
      </c>
      <c r="D8" s="3682"/>
      <c r="E8" s="3681" t="s">
        <v>908</v>
      </c>
      <c r="F8" s="3682"/>
      <c r="G8" s="3683" t="s">
        <v>908</v>
      </c>
      <c r="H8" s="3684"/>
      <c r="I8" s="3683" t="s">
        <v>908</v>
      </c>
      <c r="J8" s="3684"/>
      <c r="K8" s="381" t="s">
        <v>909</v>
      </c>
      <c r="L8" s="382"/>
      <c r="M8" s="378"/>
      <c r="N8" s="378"/>
      <c r="O8" s="383"/>
      <c r="P8" s="3656"/>
      <c r="Q8" s="3657"/>
      <c r="R8" s="3660"/>
      <c r="S8" s="3661"/>
      <c r="T8" s="3662"/>
      <c r="U8" s="3663"/>
      <c r="V8" s="3664"/>
      <c r="W8" s="3664"/>
      <c r="X8" s="450"/>
      <c r="Y8" s="3662"/>
      <c r="Z8" s="3663"/>
      <c r="AA8" s="3651"/>
      <c r="AB8" s="3651"/>
      <c r="AC8" s="3651"/>
    </row>
    <row r="9" spans="1:30" s="193" customFormat="1" ht="20.25">
      <c r="A9" s="223"/>
      <c r="B9" s="224" t="s">
        <v>910</v>
      </c>
      <c r="C9" s="2116">
        <f>'数据-取费表'!B2</f>
        <v>44484</v>
      </c>
      <c r="D9" s="226">
        <v>100</v>
      </c>
      <c r="E9" s="227"/>
      <c r="F9" s="228">
        <f>SUMIF(72:72,YEAR(E9)&amp;"-"&amp;INT((MONTH(E9)+2)/3),73:73)</f>
        <v>0</v>
      </c>
      <c r="G9" s="229"/>
      <c r="H9" s="226">
        <f>SUMIF(72:72,YEAR(G9)&amp;"-"&amp;INT((MONTH(G9)+2)/3),73:73)</f>
        <v>0</v>
      </c>
      <c r="I9" s="229"/>
      <c r="J9" s="226">
        <f>SUMIF(72:72,YEAR(I9)&amp;"-"&amp;INT((MONTH(I9)+2)/3),73:73)</f>
        <v>0</v>
      </c>
      <c r="K9" s="384"/>
      <c r="L9" s="385"/>
      <c r="M9" s="378"/>
      <c r="N9" s="378"/>
      <c r="O9" s="386"/>
      <c r="P9" s="3679" t="s">
        <v>911</v>
      </c>
      <c r="Q9" s="3685"/>
      <c r="R9" s="451" t="s">
        <v>912</v>
      </c>
      <c r="S9" s="452">
        <f t="shared" ref="S9:S17" si="0">F9</f>
        <v>0</v>
      </c>
      <c r="T9" s="451" t="s">
        <v>912</v>
      </c>
      <c r="U9" s="452">
        <f t="shared" ref="U9:U17" si="1">H9</f>
        <v>0</v>
      </c>
      <c r="V9" s="451" t="s">
        <v>912</v>
      </c>
      <c r="W9" s="452">
        <f t="shared" ref="W9:W17" si="2">J9</f>
        <v>0</v>
      </c>
      <c r="X9" s="453"/>
      <c r="Y9" s="3679" t="s">
        <v>911</v>
      </c>
      <c r="Z9" s="3680"/>
      <c r="AA9" s="470" t="e">
        <f>D9/F9</f>
        <v>#DIV/0!</v>
      </c>
      <c r="AB9" s="470" t="e">
        <f>D9/H9</f>
        <v>#DIV/0!</v>
      </c>
      <c r="AC9" s="470" t="e">
        <f>D9/J9</f>
        <v>#DIV/0!</v>
      </c>
    </row>
    <row r="10" spans="1:30" s="193" customFormat="1" ht="20.25">
      <c r="A10" s="230"/>
      <c r="B10" s="231" t="s">
        <v>913</v>
      </c>
      <c r="C10" s="1951" t="s">
        <v>914</v>
      </c>
      <c r="D10" s="226">
        <v>100</v>
      </c>
      <c r="E10" s="232"/>
      <c r="F10" s="228">
        <f>SUMIF(75:75,E10,76:76)-SUMIF(75:75,C10,76:76)+100</f>
        <v>0</v>
      </c>
      <c r="G10" s="232"/>
      <c r="H10" s="226">
        <f>SUMIF(75:75,G10,76:76)-SUMIF(75:75,C10,76:76)+100</f>
        <v>0</v>
      </c>
      <c r="I10" s="232"/>
      <c r="J10" s="226">
        <f>SUMIF(75:75,I10,76:76)-SUMIF(75:75,C10,76:76)+100</f>
        <v>0</v>
      </c>
      <c r="K10" s="384"/>
      <c r="L10" s="385"/>
      <c r="M10" s="378"/>
      <c r="N10" s="378"/>
      <c r="O10" s="386"/>
      <c r="P10" s="3679" t="s">
        <v>915</v>
      </c>
      <c r="Q10" s="3680"/>
      <c r="R10" s="451" t="s">
        <v>912</v>
      </c>
      <c r="S10" s="452">
        <f t="shared" si="0"/>
        <v>0</v>
      </c>
      <c r="T10" s="451" t="s">
        <v>912</v>
      </c>
      <c r="U10" s="452">
        <f t="shared" si="1"/>
        <v>0</v>
      </c>
      <c r="V10" s="451" t="s">
        <v>912</v>
      </c>
      <c r="W10" s="452">
        <f t="shared" si="2"/>
        <v>0</v>
      </c>
      <c r="X10" s="453"/>
      <c r="Y10" s="3679" t="s">
        <v>915</v>
      </c>
      <c r="Z10" s="3680"/>
      <c r="AA10" s="470" t="e">
        <f t="shared" ref="AA10:AA47" si="3">D10/F10</f>
        <v>#DIV/0!</v>
      </c>
      <c r="AB10" s="470" t="e">
        <f t="shared" ref="AB10:AB47" si="4">D10/H10</f>
        <v>#DIV/0!</v>
      </c>
      <c r="AC10" s="470" t="e">
        <f t="shared" ref="AC10:AC47" si="5">D10/J10</f>
        <v>#DIV/0!</v>
      </c>
    </row>
    <row r="11" spans="1:30" s="193" customFormat="1" ht="20.25">
      <c r="A11" s="233"/>
      <c r="B11" s="234" t="s">
        <v>916</v>
      </c>
      <c r="C11" s="2117"/>
      <c r="D11" s="236">
        <v>100</v>
      </c>
      <c r="E11" s="1671"/>
      <c r="F11" s="236">
        <f>SUMIF(77:77,E11,78:78)-SUMIF(77:77,C11,78:78)+100</f>
        <v>100</v>
      </c>
      <c r="G11" s="1671"/>
      <c r="H11" s="236">
        <f>SUMIF(77:77,G11,78:78)-SUMIF(77:77,C11,78:78)+100</f>
        <v>100</v>
      </c>
      <c r="I11" s="1671"/>
      <c r="J11" s="236">
        <f>SUMIF(77:77,I11,78:78)-SUMIF(77:77,C11,78:78)+100</f>
        <v>100</v>
      </c>
      <c r="K11" s="384"/>
      <c r="L11" s="385"/>
      <c r="M11" s="378"/>
      <c r="N11" s="378"/>
      <c r="O11" s="387"/>
      <c r="P11" s="3666" t="s">
        <v>917</v>
      </c>
      <c r="Q11" s="454" t="str">
        <f t="shared" ref="Q11:Q17" si="6">B11</f>
        <v>用途</v>
      </c>
      <c r="R11" s="451" t="s">
        <v>912</v>
      </c>
      <c r="S11" s="452">
        <f t="shared" si="0"/>
        <v>100</v>
      </c>
      <c r="T11" s="451" t="s">
        <v>912</v>
      </c>
      <c r="U11" s="452">
        <f t="shared" si="1"/>
        <v>100</v>
      </c>
      <c r="V11" s="451" t="s">
        <v>912</v>
      </c>
      <c r="W11" s="452">
        <f t="shared" si="2"/>
        <v>100</v>
      </c>
      <c r="X11" s="453"/>
      <c r="Y11" s="3635" t="s">
        <v>918</v>
      </c>
      <c r="Z11" s="471" t="str">
        <f t="shared" ref="Z11:Z17" si="7">Q11</f>
        <v>用途</v>
      </c>
      <c r="AA11" s="470">
        <f t="shared" si="3"/>
        <v>1</v>
      </c>
      <c r="AB11" s="470">
        <f t="shared" si="4"/>
        <v>1</v>
      </c>
      <c r="AC11" s="470">
        <f t="shared" si="5"/>
        <v>1</v>
      </c>
    </row>
    <row r="12" spans="1:30" s="194" customFormat="1" ht="27">
      <c r="A12" s="238"/>
      <c r="B12" s="231" t="s">
        <v>919</v>
      </c>
      <c r="C12" s="572"/>
      <c r="D12" s="240">
        <v>100</v>
      </c>
      <c r="E12" s="1956"/>
      <c r="F12" s="240">
        <f ca="1">ROUND(100/'数据-取费表'!G16,0)</f>
        <v>100</v>
      </c>
      <c r="G12" s="1955"/>
      <c r="H12" s="240">
        <f ca="1">ROUND(100/'数据-取费表'!G16,0)</f>
        <v>100</v>
      </c>
      <c r="I12" s="1955"/>
      <c r="J12" s="240">
        <f ca="1">ROUND(100/'数据-取费表'!G16,0)</f>
        <v>100</v>
      </c>
      <c r="K12" s="1729"/>
      <c r="L12" s="390"/>
      <c r="M12" s="378"/>
      <c r="N12" s="378"/>
      <c r="O12" s="392"/>
      <c r="P12" s="3666"/>
      <c r="Q12" s="454" t="str">
        <f t="shared" si="6"/>
        <v>土地使用年限（年）</v>
      </c>
      <c r="R12" s="451" t="s">
        <v>912</v>
      </c>
      <c r="S12" s="452">
        <f t="shared" ca="1" si="0"/>
        <v>100</v>
      </c>
      <c r="T12" s="451" t="s">
        <v>912</v>
      </c>
      <c r="U12" s="452">
        <f t="shared" ca="1" si="1"/>
        <v>100</v>
      </c>
      <c r="V12" s="451" t="s">
        <v>912</v>
      </c>
      <c r="W12" s="452">
        <f t="shared" ca="1" si="2"/>
        <v>100</v>
      </c>
      <c r="X12" s="453"/>
      <c r="Y12" s="3635"/>
      <c r="Z12" s="471" t="str">
        <f t="shared" si="7"/>
        <v>土地使用年限（年）</v>
      </c>
      <c r="AA12" s="470">
        <f t="shared" ca="1" si="3"/>
        <v>1</v>
      </c>
      <c r="AB12" s="470">
        <f t="shared" ca="1" si="4"/>
        <v>1</v>
      </c>
      <c r="AC12" s="470">
        <f t="shared" ca="1" si="5"/>
        <v>1</v>
      </c>
    </row>
    <row r="13" spans="1:30" ht="20.25">
      <c r="A13" s="537"/>
      <c r="B13" s="231" t="s">
        <v>920</v>
      </c>
      <c r="C13" s="539"/>
      <c r="D13" s="240">
        <v>100</v>
      </c>
      <c r="E13" s="538"/>
      <c r="F13" s="240" t="e">
        <f>LOOKUP(E13,82:82,83:83)-LOOKUP(C13,82:82,83:83)+100</f>
        <v>#N/A</v>
      </c>
      <c r="G13" s="539"/>
      <c r="H13" s="240" t="e">
        <f>LOOKUP(G13,82:82,83:83)-LOOKUP(C13,82:82,83:83)+100</f>
        <v>#N/A</v>
      </c>
      <c r="I13" s="538"/>
      <c r="J13" s="240" t="e">
        <f>LOOKUP(I13,82:82,83:83)-LOOKUP(C13,82:82,83:83)+100</f>
        <v>#N/A</v>
      </c>
      <c r="K13" s="1730"/>
      <c r="L13" s="394"/>
      <c r="M13" s="378"/>
      <c r="N13" s="378"/>
      <c r="O13" s="395"/>
      <c r="P13" s="3666"/>
      <c r="Q13" s="454" t="str">
        <f t="shared" si="6"/>
        <v>容积率</v>
      </c>
      <c r="R13" s="451" t="s">
        <v>912</v>
      </c>
      <c r="S13" s="452" t="e">
        <f t="shared" si="0"/>
        <v>#N/A</v>
      </c>
      <c r="T13" s="451" t="s">
        <v>912</v>
      </c>
      <c r="U13" s="452" t="e">
        <f t="shared" si="1"/>
        <v>#N/A</v>
      </c>
      <c r="V13" s="451" t="s">
        <v>912</v>
      </c>
      <c r="W13" s="452" t="e">
        <f t="shared" si="2"/>
        <v>#N/A</v>
      </c>
      <c r="X13" s="453"/>
      <c r="Y13" s="3635"/>
      <c r="Z13" s="471" t="str">
        <f t="shared" si="7"/>
        <v>容积率</v>
      </c>
      <c r="AA13" s="470" t="e">
        <f t="shared" si="3"/>
        <v>#N/A</v>
      </c>
      <c r="AB13" s="470" t="e">
        <f t="shared" si="4"/>
        <v>#N/A</v>
      </c>
      <c r="AC13" s="470" t="e">
        <f t="shared" si="5"/>
        <v>#N/A</v>
      </c>
    </row>
    <row r="14" spans="1:30" s="193" customFormat="1" ht="20.25">
      <c r="A14" s="230"/>
      <c r="B14" s="2118" t="s">
        <v>921</v>
      </c>
      <c r="C14" s="2119"/>
      <c r="D14" s="246">
        <v>100</v>
      </c>
      <c r="E14" s="2120"/>
      <c r="F14" s="240">
        <f>SUMIF(84:84,E14,85:85)-SUMIF(84:84,C14,85:85)+100</f>
        <v>100</v>
      </c>
      <c r="G14" s="1955"/>
      <c r="H14" s="240">
        <f>SUMIF(84:84,G14,85:85)-SUMIF(84:84,C14,85:85)+100</f>
        <v>100</v>
      </c>
      <c r="I14" s="1956"/>
      <c r="J14" s="240">
        <f>SUMIF(84:84,I14,85:85)-SUMIF(84:84,C14,85:85)+100</f>
        <v>100</v>
      </c>
      <c r="K14" s="1729"/>
      <c r="L14" s="385"/>
      <c r="M14" s="378"/>
      <c r="N14" s="378"/>
      <c r="O14" s="387"/>
      <c r="P14" s="3666"/>
      <c r="Q14" s="454" t="str">
        <f t="shared" si="6"/>
        <v>配建</v>
      </c>
      <c r="R14" s="451" t="s">
        <v>912</v>
      </c>
      <c r="S14" s="452">
        <f t="shared" si="0"/>
        <v>100</v>
      </c>
      <c r="T14" s="451" t="s">
        <v>912</v>
      </c>
      <c r="U14" s="452">
        <f t="shared" si="1"/>
        <v>100</v>
      </c>
      <c r="V14" s="451" t="s">
        <v>912</v>
      </c>
      <c r="W14" s="452">
        <f t="shared" si="2"/>
        <v>100</v>
      </c>
      <c r="X14" s="453"/>
      <c r="Y14" s="3635"/>
      <c r="Z14" s="471" t="str">
        <f t="shared" si="7"/>
        <v>配建</v>
      </c>
      <c r="AA14" s="470">
        <f t="shared" si="3"/>
        <v>1</v>
      </c>
      <c r="AB14" s="470">
        <f t="shared" si="4"/>
        <v>1</v>
      </c>
      <c r="AC14" s="470">
        <f t="shared" si="5"/>
        <v>1</v>
      </c>
    </row>
    <row r="15" spans="1:30" ht="20.25">
      <c r="A15" s="242"/>
      <c r="B15" s="243">
        <v>111</v>
      </c>
      <c r="C15" s="578"/>
      <c r="D15" s="250">
        <v>100</v>
      </c>
      <c r="E15" s="366"/>
      <c r="F15" s="240">
        <f>SUMIF(86:86,E15,87:87)-SUMIF(86:86,C15,87:87)+100</f>
        <v>100</v>
      </c>
      <c r="G15" s="1672"/>
      <c r="H15" s="250">
        <f>SUMIF(86:86,G15,87:87)-SUMIF(86:86,C15,87:87)+100</f>
        <v>100</v>
      </c>
      <c r="I15" s="1672"/>
      <c r="J15" s="250">
        <f>SUMIF(86:86,I15,87:87)-SUMIF(86:86,C15,87:87)+100</f>
        <v>100</v>
      </c>
      <c r="K15" s="1729"/>
      <c r="L15" s="396"/>
      <c r="M15" s="378"/>
      <c r="N15" s="378"/>
      <c r="O15" s="395"/>
      <c r="P15" s="3666"/>
      <c r="Q15" s="454">
        <f t="shared" si="6"/>
        <v>111</v>
      </c>
      <c r="R15" s="451" t="s">
        <v>912</v>
      </c>
      <c r="S15" s="452">
        <f t="shared" si="0"/>
        <v>100</v>
      </c>
      <c r="T15" s="451" t="s">
        <v>912</v>
      </c>
      <c r="U15" s="452">
        <f t="shared" si="1"/>
        <v>100</v>
      </c>
      <c r="V15" s="451" t="s">
        <v>912</v>
      </c>
      <c r="W15" s="452">
        <f t="shared" si="2"/>
        <v>100</v>
      </c>
      <c r="X15" s="453"/>
      <c r="Y15" s="3635"/>
      <c r="Z15" s="471">
        <f t="shared" si="7"/>
        <v>111</v>
      </c>
      <c r="AA15" s="470">
        <f t="shared" si="3"/>
        <v>1</v>
      </c>
      <c r="AB15" s="470">
        <f t="shared" si="4"/>
        <v>1</v>
      </c>
      <c r="AC15" s="470">
        <f t="shared" si="5"/>
        <v>1</v>
      </c>
    </row>
    <row r="16" spans="1:30" ht="20.25">
      <c r="A16" s="247"/>
      <c r="B16" s="248">
        <v>111</v>
      </c>
      <c r="C16" s="583"/>
      <c r="D16" s="303">
        <v>100</v>
      </c>
      <c r="E16" s="366"/>
      <c r="F16" s="303">
        <f>SUMIF(88:88,E16,89:89)-SUMIF(88:88,C16,89:89)+100</f>
        <v>100</v>
      </c>
      <c r="G16" s="1672"/>
      <c r="H16" s="303">
        <f>SUMIF(88:88,G16,89:89)-SUMIF(88:88,C16,89:89)+100</f>
        <v>100</v>
      </c>
      <c r="I16" s="1672"/>
      <c r="J16" s="303">
        <f>SUMIF(88:88,I16,89:89)-SUMIF(88:88,C16,89:89)+100</f>
        <v>100</v>
      </c>
      <c r="K16" s="1729"/>
      <c r="L16" s="396"/>
      <c r="M16" s="378"/>
      <c r="N16" s="378"/>
      <c r="O16" s="395"/>
      <c r="P16" s="3666"/>
      <c r="Q16" s="454">
        <f t="shared" si="6"/>
        <v>111</v>
      </c>
      <c r="R16" s="451" t="s">
        <v>912</v>
      </c>
      <c r="S16" s="452">
        <f t="shared" si="0"/>
        <v>100</v>
      </c>
      <c r="T16" s="451" t="s">
        <v>912</v>
      </c>
      <c r="U16" s="452">
        <f t="shared" si="1"/>
        <v>100</v>
      </c>
      <c r="V16" s="451" t="s">
        <v>912</v>
      </c>
      <c r="W16" s="452">
        <f t="shared" si="2"/>
        <v>100</v>
      </c>
      <c r="X16" s="453"/>
      <c r="Y16" s="3635"/>
      <c r="Z16" s="471">
        <f t="shared" si="7"/>
        <v>111</v>
      </c>
      <c r="AA16" s="470">
        <f t="shared" si="3"/>
        <v>1</v>
      </c>
      <c r="AB16" s="470">
        <f t="shared" si="4"/>
        <v>1</v>
      </c>
      <c r="AC16" s="470">
        <f t="shared" si="5"/>
        <v>1</v>
      </c>
    </row>
    <row r="17" spans="1:29" ht="114">
      <c r="A17" s="251" t="s">
        <v>922</v>
      </c>
      <c r="B17" s="276" t="s">
        <v>225</v>
      </c>
      <c r="C17" s="573" t="str">
        <f>估价对象房地状况!C15</f>
        <v>估价对象位于海淀区温泉镇，估价对象周边有燕保温泉家园、北辰香麓、尚峰尚水尚居园等小区，居住社区成熟度一般。</v>
      </c>
      <c r="D17" s="256">
        <v>100</v>
      </c>
      <c r="E17" s="257"/>
      <c r="F17" s="254">
        <f>SUMIF(90:90,E18,91:91)-SUMIF(90:90,C18,91:91)+100</f>
        <v>100</v>
      </c>
      <c r="G17" s="255"/>
      <c r="H17" s="254">
        <f>SUMIF(90:90,G18,91:91)-SUMIF(90:90,C18,91:91)+100</f>
        <v>100</v>
      </c>
      <c r="I17" s="257"/>
      <c r="J17" s="254">
        <f>SUMIF(90:90,I18,91:91)-SUMIF(90:90,C18,91:91)+100</f>
        <v>100</v>
      </c>
      <c r="K17" s="1730"/>
      <c r="L17" s="396"/>
      <c r="M17" s="378"/>
      <c r="N17" s="378"/>
      <c r="O17" s="395"/>
      <c r="P17" s="3667" t="s">
        <v>923</v>
      </c>
      <c r="Q17" s="388" t="str">
        <f t="shared" si="6"/>
        <v>居住社区成熟度</v>
      </c>
      <c r="R17" s="455" t="s">
        <v>912</v>
      </c>
      <c r="S17" s="456">
        <f t="shared" si="0"/>
        <v>100</v>
      </c>
      <c r="T17" s="455" t="s">
        <v>912</v>
      </c>
      <c r="U17" s="456">
        <f t="shared" si="1"/>
        <v>100</v>
      </c>
      <c r="V17" s="455" t="s">
        <v>912</v>
      </c>
      <c r="W17" s="456">
        <f t="shared" si="2"/>
        <v>100</v>
      </c>
      <c r="X17" s="450"/>
      <c r="Y17" s="3667" t="s">
        <v>923</v>
      </c>
      <c r="Z17" s="449" t="str">
        <f t="shared" si="7"/>
        <v>居住社区成熟度</v>
      </c>
      <c r="AA17" s="461">
        <f t="shared" si="3"/>
        <v>1</v>
      </c>
      <c r="AB17" s="461">
        <f t="shared" si="4"/>
        <v>1</v>
      </c>
      <c r="AC17" s="461">
        <f t="shared" si="5"/>
        <v>1</v>
      </c>
    </row>
    <row r="18" spans="1:29" ht="20.25">
      <c r="A18" s="258"/>
      <c r="B18" s="574"/>
      <c r="C18" s="575"/>
      <c r="D18" s="262"/>
      <c r="E18" s="544"/>
      <c r="F18" s="261"/>
      <c r="G18" s="543"/>
      <c r="H18" s="263"/>
      <c r="I18" s="544"/>
      <c r="J18" s="261"/>
      <c r="K18" s="1729"/>
      <c r="L18" s="396"/>
      <c r="M18" s="378"/>
      <c r="N18" s="378"/>
      <c r="O18" s="395"/>
      <c r="P18" s="3668"/>
      <c r="Q18" s="388"/>
      <c r="R18" s="455"/>
      <c r="S18" s="456"/>
      <c r="T18" s="455"/>
      <c r="U18" s="456"/>
      <c r="V18" s="455"/>
      <c r="W18" s="456"/>
      <c r="X18" s="450"/>
      <c r="Y18" s="3668"/>
      <c r="Z18" s="449"/>
      <c r="AA18" s="461">
        <v>1</v>
      </c>
      <c r="AB18" s="461">
        <v>1</v>
      </c>
      <c r="AC18" s="461">
        <v>1</v>
      </c>
    </row>
    <row r="19" spans="1:29" ht="71.25">
      <c r="A19" s="258"/>
      <c r="B19" s="507" t="s">
        <v>226</v>
      </c>
      <c r="C19" s="2121"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100</v>
      </c>
      <c r="K19" s="1730"/>
      <c r="L19" s="396"/>
      <c r="M19" s="378"/>
      <c r="N19" s="378"/>
      <c r="O19" s="395"/>
      <c r="P19" s="3668"/>
      <c r="Q19" s="388" t="str">
        <f>B19</f>
        <v>商业繁华度</v>
      </c>
      <c r="R19" s="455" t="s">
        <v>912</v>
      </c>
      <c r="S19" s="456">
        <f>F19</f>
        <v>100</v>
      </c>
      <c r="T19" s="455" t="s">
        <v>912</v>
      </c>
      <c r="U19" s="456">
        <f>H19</f>
        <v>100</v>
      </c>
      <c r="V19" s="455" t="s">
        <v>912</v>
      </c>
      <c r="W19" s="456">
        <f>J19</f>
        <v>100</v>
      </c>
      <c r="X19" s="450"/>
      <c r="Y19" s="3668"/>
      <c r="Z19" s="449" t="str">
        <f>Q19</f>
        <v>商业繁华度</v>
      </c>
      <c r="AA19" s="461">
        <f t="shared" si="3"/>
        <v>1</v>
      </c>
      <c r="AB19" s="461">
        <f t="shared" si="4"/>
        <v>1</v>
      </c>
      <c r="AC19" s="461">
        <f t="shared" si="5"/>
        <v>1</v>
      </c>
    </row>
    <row r="20" spans="1:29" ht="20.25">
      <c r="A20" s="258"/>
      <c r="B20" s="270"/>
      <c r="C20" s="577"/>
      <c r="D20" s="274"/>
      <c r="E20" s="542"/>
      <c r="F20" s="263"/>
      <c r="G20" s="541"/>
      <c r="H20" s="261"/>
      <c r="I20" s="542"/>
      <c r="J20" s="261"/>
      <c r="K20" s="1729"/>
      <c r="L20" s="396"/>
      <c r="M20" s="378"/>
      <c r="N20" s="378"/>
      <c r="O20" s="395"/>
      <c r="P20" s="3668"/>
      <c r="Q20" s="388"/>
      <c r="R20" s="455"/>
      <c r="S20" s="456"/>
      <c r="T20" s="455"/>
      <c r="U20" s="456"/>
      <c r="V20" s="455"/>
      <c r="W20" s="456"/>
      <c r="X20" s="450"/>
      <c r="Y20" s="3668"/>
      <c r="Z20" s="449"/>
      <c r="AA20" s="461">
        <v>1</v>
      </c>
      <c r="AB20" s="461">
        <v>1</v>
      </c>
      <c r="AC20" s="461">
        <v>1</v>
      </c>
    </row>
    <row r="21" spans="1:29" ht="71.25">
      <c r="A21" s="258"/>
      <c r="B21" s="507" t="s">
        <v>227</v>
      </c>
      <c r="C21" s="2121"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1730"/>
      <c r="L21" s="396"/>
      <c r="M21" s="378"/>
      <c r="N21" s="378"/>
      <c r="O21" s="395"/>
      <c r="P21" s="3668"/>
      <c r="Q21" s="388" t="str">
        <f>B21</f>
        <v>办公集聚程度</v>
      </c>
      <c r="R21" s="455" t="s">
        <v>912</v>
      </c>
      <c r="S21" s="456">
        <f>F21</f>
        <v>100</v>
      </c>
      <c r="T21" s="455" t="s">
        <v>912</v>
      </c>
      <c r="U21" s="456">
        <f>H21</f>
        <v>100</v>
      </c>
      <c r="V21" s="455" t="s">
        <v>912</v>
      </c>
      <c r="W21" s="456">
        <f>J21</f>
        <v>100</v>
      </c>
      <c r="X21" s="450"/>
      <c r="Y21" s="3668"/>
      <c r="Z21" s="449" t="str">
        <f>Q21</f>
        <v>办公集聚程度</v>
      </c>
      <c r="AA21" s="461">
        <f t="shared" si="3"/>
        <v>1</v>
      </c>
      <c r="AB21" s="461">
        <f t="shared" si="4"/>
        <v>1</v>
      </c>
      <c r="AC21" s="461">
        <f t="shared" si="5"/>
        <v>1</v>
      </c>
    </row>
    <row r="22" spans="1:29" ht="20.25">
      <c r="A22" s="258"/>
      <c r="B22" s="270"/>
      <c r="C22" s="575"/>
      <c r="D22" s="262"/>
      <c r="E22" s="544"/>
      <c r="F22" s="261"/>
      <c r="G22" s="543"/>
      <c r="H22" s="261"/>
      <c r="I22" s="544"/>
      <c r="J22" s="261"/>
      <c r="K22" s="1729"/>
      <c r="L22" s="396"/>
      <c r="M22" s="378"/>
      <c r="N22" s="378"/>
      <c r="O22" s="395"/>
      <c r="P22" s="3668"/>
      <c r="Q22" s="388"/>
      <c r="R22" s="455"/>
      <c r="S22" s="456"/>
      <c r="T22" s="455"/>
      <c r="U22" s="456"/>
      <c r="V22" s="455"/>
      <c r="W22" s="456"/>
      <c r="X22" s="450"/>
      <c r="Y22" s="3668"/>
      <c r="Z22" s="449"/>
      <c r="AA22" s="461">
        <v>1</v>
      </c>
      <c r="AB22" s="461">
        <v>1</v>
      </c>
      <c r="AC22" s="461">
        <v>1</v>
      </c>
    </row>
    <row r="23" spans="1:29" ht="256.5">
      <c r="A23" s="258"/>
      <c r="B23" s="507" t="s">
        <v>229</v>
      </c>
      <c r="C23" s="57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23" s="274">
        <v>100</v>
      </c>
      <c r="E23" s="275"/>
      <c r="F23" s="266">
        <f>SUMIF(96:96,E24,97:97)-SUMIF(96:96,C24,97:97)+100</f>
        <v>100</v>
      </c>
      <c r="G23" s="273"/>
      <c r="H23" s="263">
        <f>SUMIF(96:96,G24,97:97)-SUMIF(96:96,C24,97:97)+100</f>
        <v>100</v>
      </c>
      <c r="I23" s="275"/>
      <c r="J23" s="263">
        <f>SUMIF(96:96,I24,97:97)-SUMIF(96:96,C24,97:97)+100</f>
        <v>100</v>
      </c>
      <c r="K23" s="1730"/>
      <c r="L23" s="396"/>
      <c r="M23" s="378"/>
      <c r="N23" s="378"/>
      <c r="O23" s="395"/>
      <c r="P23" s="3668"/>
      <c r="Q23" s="388" t="str">
        <f>B23</f>
        <v>交通便捷度</v>
      </c>
      <c r="R23" s="455" t="s">
        <v>912</v>
      </c>
      <c r="S23" s="456">
        <f>F23</f>
        <v>100</v>
      </c>
      <c r="T23" s="455" t="s">
        <v>912</v>
      </c>
      <c r="U23" s="456">
        <f>H23</f>
        <v>100</v>
      </c>
      <c r="V23" s="455" t="s">
        <v>912</v>
      </c>
      <c r="W23" s="456">
        <f>J23</f>
        <v>100</v>
      </c>
      <c r="X23" s="450"/>
      <c r="Y23" s="3668"/>
      <c r="Z23" s="449" t="str">
        <f>Q23</f>
        <v>交通便捷度</v>
      </c>
      <c r="AA23" s="461">
        <f t="shared" si="3"/>
        <v>1</v>
      </c>
      <c r="AB23" s="461">
        <f t="shared" si="4"/>
        <v>1</v>
      </c>
      <c r="AC23" s="461">
        <f t="shared" si="5"/>
        <v>1</v>
      </c>
    </row>
    <row r="24" spans="1:29" ht="20.25">
      <c r="A24" s="258"/>
      <c r="B24" s="276"/>
      <c r="C24" s="575"/>
      <c r="D24" s="262"/>
      <c r="E24" s="544"/>
      <c r="F24" s="261"/>
      <c r="G24" s="543"/>
      <c r="H24" s="261"/>
      <c r="I24" s="544"/>
      <c r="J24" s="261"/>
      <c r="K24" s="1729"/>
      <c r="L24" s="396"/>
      <c r="M24" s="378"/>
      <c r="N24" s="378"/>
      <c r="O24" s="395"/>
      <c r="P24" s="3668"/>
      <c r="Q24" s="388"/>
      <c r="R24" s="455"/>
      <c r="S24" s="456"/>
      <c r="T24" s="455"/>
      <c r="U24" s="456"/>
      <c r="V24" s="455"/>
      <c r="W24" s="456"/>
      <c r="X24" s="450"/>
      <c r="Y24" s="3668"/>
      <c r="Z24" s="449"/>
      <c r="AA24" s="461">
        <v>1</v>
      </c>
      <c r="AB24" s="461">
        <v>1</v>
      </c>
      <c r="AC24" s="461">
        <v>1</v>
      </c>
    </row>
    <row r="25" spans="1:29" ht="27">
      <c r="A25" s="219"/>
      <c r="B25" s="2122" t="s">
        <v>230</v>
      </c>
      <c r="C25" s="576">
        <f>估价对象房地状况!C19</f>
        <v>0</v>
      </c>
      <c r="D25" s="274">
        <v>100</v>
      </c>
      <c r="E25" s="275"/>
      <c r="F25" s="266">
        <f>SUMIF(98:98,E26,99:99)-SUMIF(98:98,C26,99:99)+100</f>
        <v>100</v>
      </c>
      <c r="G25" s="273"/>
      <c r="H25" s="263">
        <f>SUMIF(98:98,G26,99:99)-SUMIF(98:98,C26,99:99)+100</f>
        <v>100</v>
      </c>
      <c r="I25" s="275"/>
      <c r="J25" s="263">
        <f>SUMIF(98:98,I26,99:99)-SUMIF(98:98,C26,99:99)+100</f>
        <v>100</v>
      </c>
      <c r="K25" s="1730"/>
      <c r="L25" s="396"/>
      <c r="M25" s="378"/>
      <c r="N25" s="378"/>
      <c r="O25" s="395"/>
      <c r="P25" s="3668"/>
      <c r="Q25" s="388" t="str">
        <f t="shared" ref="Q25:Q40" si="8">B25</f>
        <v>区域土地利用方向</v>
      </c>
      <c r="R25" s="455" t="s">
        <v>912</v>
      </c>
      <c r="S25" s="456">
        <f>F25</f>
        <v>100</v>
      </c>
      <c r="T25" s="455" t="s">
        <v>912</v>
      </c>
      <c r="U25" s="456">
        <f>H25</f>
        <v>100</v>
      </c>
      <c r="V25" s="455" t="s">
        <v>912</v>
      </c>
      <c r="W25" s="456">
        <f>J25</f>
        <v>100</v>
      </c>
      <c r="X25" s="450"/>
      <c r="Y25" s="3668"/>
      <c r="Z25" s="449" t="str">
        <f>Q25</f>
        <v>区域土地利用方向</v>
      </c>
      <c r="AA25" s="461">
        <f t="shared" si="3"/>
        <v>1</v>
      </c>
      <c r="AB25" s="461">
        <f t="shared" si="4"/>
        <v>1</v>
      </c>
      <c r="AC25" s="461">
        <f t="shared" si="5"/>
        <v>1</v>
      </c>
    </row>
    <row r="26" spans="1:29" ht="20.25">
      <c r="A26" s="219"/>
      <c r="B26" s="2123"/>
      <c r="C26" s="575"/>
      <c r="D26" s="262"/>
      <c r="E26" s="544"/>
      <c r="F26" s="261"/>
      <c r="G26" s="543"/>
      <c r="H26" s="261"/>
      <c r="I26" s="544"/>
      <c r="J26" s="261"/>
      <c r="K26" s="1729"/>
      <c r="L26" s="396"/>
      <c r="M26" s="378"/>
      <c r="N26" s="378"/>
      <c r="O26" s="395"/>
      <c r="P26" s="3668"/>
      <c r="Q26" s="388"/>
      <c r="R26" s="455"/>
      <c r="S26" s="456"/>
      <c r="T26" s="455"/>
      <c r="U26" s="456"/>
      <c r="V26" s="455"/>
      <c r="W26" s="456"/>
      <c r="X26" s="450"/>
      <c r="Y26" s="3668"/>
      <c r="Z26" s="449"/>
      <c r="AA26" s="461"/>
      <c r="AB26" s="461"/>
      <c r="AC26" s="461"/>
    </row>
    <row r="27" spans="1:29" ht="185.25">
      <c r="A27" s="219"/>
      <c r="B27" s="276" t="s">
        <v>924</v>
      </c>
      <c r="C27" s="2121"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D27" s="274">
        <v>100</v>
      </c>
      <c r="E27" s="275"/>
      <c r="F27" s="263">
        <f>SUMIF(100:100,E28,101:101)-SUMIF(100:100,C28,101:101)+100</f>
        <v>100</v>
      </c>
      <c r="G27" s="273"/>
      <c r="H27" s="263">
        <f>SUMIF(100:100,G28,101:101)-SUMIF(100:100,C28,101:101)+100</f>
        <v>100</v>
      </c>
      <c r="I27" s="275"/>
      <c r="J27" s="263">
        <f>SUMIF(100:100,I28,101:101)-SUMIF(100:100,C28,101:101)+100</f>
        <v>100</v>
      </c>
      <c r="K27" s="1730"/>
      <c r="L27" s="396"/>
      <c r="M27" s="378"/>
      <c r="N27" s="378"/>
      <c r="O27" s="395"/>
      <c r="P27" s="3668"/>
      <c r="Q27" s="388" t="str">
        <f t="shared" si="8"/>
        <v>自然及人文环境状况</v>
      </c>
      <c r="R27" s="455" t="s">
        <v>912</v>
      </c>
      <c r="S27" s="456">
        <f>F27</f>
        <v>100</v>
      </c>
      <c r="T27" s="455" t="s">
        <v>912</v>
      </c>
      <c r="U27" s="456">
        <f>H27</f>
        <v>100</v>
      </c>
      <c r="V27" s="455" t="s">
        <v>912</v>
      </c>
      <c r="W27" s="456">
        <f>J27</f>
        <v>100</v>
      </c>
      <c r="X27" s="450"/>
      <c r="Y27" s="3668"/>
      <c r="Z27" s="449" t="str">
        <f>Q27</f>
        <v>自然及人文环境状况</v>
      </c>
      <c r="AA27" s="461">
        <f t="shared" si="3"/>
        <v>1</v>
      </c>
      <c r="AB27" s="461">
        <f t="shared" si="4"/>
        <v>1</v>
      </c>
      <c r="AC27" s="461">
        <f t="shared" si="5"/>
        <v>1</v>
      </c>
    </row>
    <row r="28" spans="1:29" ht="20.25">
      <c r="A28" s="219"/>
      <c r="B28" s="270"/>
      <c r="C28" s="575"/>
      <c r="D28" s="262"/>
      <c r="E28" s="260"/>
      <c r="F28" s="261"/>
      <c r="G28" s="575"/>
      <c r="H28" s="261"/>
      <c r="I28" s="260"/>
      <c r="J28" s="261"/>
      <c r="K28" s="1729"/>
      <c r="L28" s="396"/>
      <c r="M28" s="378"/>
      <c r="N28" s="378"/>
      <c r="O28" s="395"/>
      <c r="P28" s="3668"/>
      <c r="Q28" s="388"/>
      <c r="R28" s="455"/>
      <c r="S28" s="456"/>
      <c r="T28" s="455"/>
      <c r="U28" s="456"/>
      <c r="V28" s="455"/>
      <c r="W28" s="456"/>
      <c r="X28" s="450"/>
      <c r="Y28" s="3668"/>
      <c r="Z28" s="449"/>
      <c r="AA28" s="461">
        <v>1</v>
      </c>
      <c r="AB28" s="461">
        <v>1</v>
      </c>
      <c r="AC28" s="461">
        <v>1</v>
      </c>
    </row>
    <row r="29" spans="1:29" s="193" customFormat="1" ht="270.75">
      <c r="A29" s="509"/>
      <c r="B29" s="272" t="s">
        <v>231</v>
      </c>
      <c r="C29" s="576"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29" s="274">
        <v>100</v>
      </c>
      <c r="E29" s="275"/>
      <c r="F29" s="263">
        <f>SUMIF(102:102,E30,103:103)-SUMIF(102:102,C30,103:103)+100</f>
        <v>100</v>
      </c>
      <c r="G29" s="273"/>
      <c r="H29" s="263">
        <f>SUMIF(102:102,G30,103:103)-SUMIF(102:102,C30,103:103)+100</f>
        <v>100</v>
      </c>
      <c r="I29" s="275"/>
      <c r="J29" s="263">
        <f>SUMIF(102:102,I30,103:103)-SUMIF(102:102,C30,103:103)+100</f>
        <v>100</v>
      </c>
      <c r="K29" s="1730"/>
      <c r="L29" s="385"/>
      <c r="M29" s="378"/>
      <c r="N29" s="378"/>
      <c r="O29" s="387"/>
      <c r="P29" s="3668"/>
      <c r="Q29" s="454" t="str">
        <f t="shared" si="8"/>
        <v>公共配套设施</v>
      </c>
      <c r="R29" s="451" t="s">
        <v>912</v>
      </c>
      <c r="S29" s="452">
        <f>F29</f>
        <v>100</v>
      </c>
      <c r="T29" s="451" t="s">
        <v>912</v>
      </c>
      <c r="U29" s="452">
        <f>H29</f>
        <v>100</v>
      </c>
      <c r="V29" s="451" t="s">
        <v>912</v>
      </c>
      <c r="W29" s="452">
        <f>J29</f>
        <v>100</v>
      </c>
      <c r="X29" s="453"/>
      <c r="Y29" s="3668"/>
      <c r="Z29" s="471" t="str">
        <f>Q29</f>
        <v>公共配套设施</v>
      </c>
      <c r="AA29" s="461">
        <f>D29/F29</f>
        <v>1</v>
      </c>
      <c r="AB29" s="461">
        <f>D29/H29</f>
        <v>1</v>
      </c>
      <c r="AC29" s="461">
        <f>D29/J29</f>
        <v>1</v>
      </c>
    </row>
    <row r="30" spans="1:29" s="193" customFormat="1" ht="20.25">
      <c r="A30" s="509"/>
      <c r="B30" s="270"/>
      <c r="C30" s="1674"/>
      <c r="D30" s="262"/>
      <c r="E30" s="260"/>
      <c r="F30" s="261"/>
      <c r="G30" s="575"/>
      <c r="H30" s="261"/>
      <c r="I30" s="260"/>
      <c r="J30" s="261"/>
      <c r="K30" s="1729"/>
      <c r="L30" s="385"/>
      <c r="M30" s="378"/>
      <c r="N30" s="378"/>
      <c r="O30" s="387"/>
      <c r="P30" s="3668"/>
      <c r="Q30" s="454"/>
      <c r="R30" s="451"/>
      <c r="S30" s="452"/>
      <c r="T30" s="451"/>
      <c r="U30" s="452"/>
      <c r="V30" s="451"/>
      <c r="W30" s="452"/>
      <c r="X30" s="453"/>
      <c r="Y30" s="3668"/>
      <c r="Z30" s="471"/>
      <c r="AA30" s="461">
        <v>1</v>
      </c>
      <c r="AB30" s="461">
        <v>1</v>
      </c>
      <c r="AC30" s="461">
        <v>1</v>
      </c>
    </row>
    <row r="31" spans="1:29" s="193" customFormat="1" ht="42.75">
      <c r="A31" s="509"/>
      <c r="B31" s="272" t="s">
        <v>232</v>
      </c>
      <c r="C31" s="576" t="str">
        <f>估价对象房地状况!C22</f>
        <v>估价对象所在区域基础设施水平-七通</v>
      </c>
      <c r="D31" s="274">
        <v>100</v>
      </c>
      <c r="E31" s="275"/>
      <c r="F31" s="263">
        <f>SUMIF(104:104,E32,105:105)-SUMIF(104:104,C32,105:105)+100</f>
        <v>100</v>
      </c>
      <c r="G31" s="273"/>
      <c r="H31" s="263">
        <f>SUMIF(104:104,G32,105:105)-SUMIF(104:104,C32,105:105)+100</f>
        <v>100</v>
      </c>
      <c r="I31" s="275"/>
      <c r="J31" s="263">
        <f>SUMIF(104:104,I32,105:105)-SUMIF(104:104,C32,105:105)+100</f>
        <v>100</v>
      </c>
      <c r="K31" s="1730"/>
      <c r="L31" s="385"/>
      <c r="M31" s="378"/>
      <c r="N31" s="378"/>
      <c r="O31" s="387"/>
      <c r="P31" s="3668"/>
      <c r="Q31" s="454" t="str">
        <f t="shared" ref="Q31" si="9">B31</f>
        <v>基础设施水平</v>
      </c>
      <c r="R31" s="451" t="s">
        <v>912</v>
      </c>
      <c r="S31" s="452">
        <f>F31</f>
        <v>100</v>
      </c>
      <c r="T31" s="451" t="s">
        <v>912</v>
      </c>
      <c r="U31" s="452">
        <f>H31</f>
        <v>100</v>
      </c>
      <c r="V31" s="451" t="s">
        <v>912</v>
      </c>
      <c r="W31" s="452">
        <f>J31</f>
        <v>100</v>
      </c>
      <c r="X31" s="453"/>
      <c r="Y31" s="3668"/>
      <c r="Z31" s="471" t="str">
        <f>Q31</f>
        <v>基础设施水平</v>
      </c>
      <c r="AA31" s="461">
        <f>D31/F31</f>
        <v>1</v>
      </c>
      <c r="AB31" s="461">
        <f>D31/H31</f>
        <v>1</v>
      </c>
      <c r="AC31" s="461">
        <f>D31/J31</f>
        <v>1</v>
      </c>
    </row>
    <row r="32" spans="1:29" s="193" customFormat="1" ht="20.25">
      <c r="A32" s="509"/>
      <c r="B32" s="270"/>
      <c r="C32" s="1674"/>
      <c r="D32" s="262"/>
      <c r="E32" s="1673"/>
      <c r="F32" s="261"/>
      <c r="G32" s="1674"/>
      <c r="H32" s="261"/>
      <c r="I32" s="1674"/>
      <c r="J32" s="261"/>
      <c r="K32" s="1729"/>
      <c r="L32" s="385"/>
      <c r="M32" s="378"/>
      <c r="N32" s="378"/>
      <c r="O32" s="387"/>
      <c r="P32" s="3668"/>
      <c r="Q32" s="454"/>
      <c r="R32" s="451"/>
      <c r="S32" s="452"/>
      <c r="T32" s="451"/>
      <c r="U32" s="452"/>
      <c r="V32" s="451"/>
      <c r="W32" s="452"/>
      <c r="X32" s="453"/>
      <c r="Y32" s="3668"/>
      <c r="Z32" s="471"/>
      <c r="AA32" s="461">
        <v>1</v>
      </c>
      <c r="AB32" s="461">
        <v>1</v>
      </c>
      <c r="AC32" s="461">
        <v>1</v>
      </c>
    </row>
    <row r="33" spans="1:29" ht="20.25">
      <c r="A33" s="258"/>
      <c r="B33" s="270" t="s">
        <v>234</v>
      </c>
      <c r="C33" s="579"/>
      <c r="D33" s="280">
        <v>100</v>
      </c>
      <c r="E33" s="279"/>
      <c r="F33" s="250">
        <f>SUMIF(106:106,E33,107:107)-SUMIF(106:106,C33,107:107)+100</f>
        <v>100</v>
      </c>
      <c r="G33" s="579"/>
      <c r="H33" s="250">
        <f>SUMIF(106:106,G33,107:107)-SUMIF(106:106,C33,107:107)+100</f>
        <v>100</v>
      </c>
      <c r="I33" s="579"/>
      <c r="J33" s="250">
        <f>SUMIF(106:106,I33,107:107)-SUMIF(106:106,C33,107:107)+100</f>
        <v>100</v>
      </c>
      <c r="K33" s="1730"/>
      <c r="L33" s="396"/>
      <c r="M33" s="378"/>
      <c r="N33" s="378"/>
      <c r="O33" s="395"/>
      <c r="P33" s="3668"/>
      <c r="Q33" s="388" t="str">
        <f t="shared" si="8"/>
        <v>临街状况</v>
      </c>
      <c r="R33" s="455" t="s">
        <v>912</v>
      </c>
      <c r="S33" s="456">
        <f t="shared" ref="S33:S47" si="10">F33</f>
        <v>100</v>
      </c>
      <c r="T33" s="455" t="s">
        <v>912</v>
      </c>
      <c r="U33" s="456">
        <f t="shared" ref="U33:U47" si="11">H33</f>
        <v>100</v>
      </c>
      <c r="V33" s="455" t="s">
        <v>912</v>
      </c>
      <c r="W33" s="456">
        <f t="shared" ref="W33:W47" si="12">J33</f>
        <v>100</v>
      </c>
      <c r="X33" s="450"/>
      <c r="Y33" s="3668"/>
      <c r="Z33" s="449" t="str">
        <f t="shared" ref="Z33:Z47" si="13">Q33</f>
        <v>临街状况</v>
      </c>
      <c r="AA33" s="461">
        <f t="shared" si="3"/>
        <v>1</v>
      </c>
      <c r="AB33" s="461">
        <f t="shared" si="4"/>
        <v>1</v>
      </c>
      <c r="AC33" s="461">
        <f t="shared" si="5"/>
        <v>1</v>
      </c>
    </row>
    <row r="34" spans="1:29" ht="27">
      <c r="A34" s="258"/>
      <c r="B34" s="276" t="s">
        <v>925</v>
      </c>
      <c r="C34" s="273"/>
      <c r="D34" s="274">
        <v>100</v>
      </c>
      <c r="E34" s="275"/>
      <c r="F34" s="263">
        <f>SUMIF(108:108,E35,109:109)-SUMIF(108:108,C35,109:109)+100</f>
        <v>100</v>
      </c>
      <c r="G34" s="273"/>
      <c r="H34" s="263">
        <f>SUMIF(108:108,G35,109:109)-SUMIF(108:108,C35,109:109)+100</f>
        <v>100</v>
      </c>
      <c r="I34" s="275"/>
      <c r="J34" s="263">
        <f>SUMIF(108:108,I35,109:109)-SUMIF(108:108,C35,109:109)+100</f>
        <v>100</v>
      </c>
      <c r="K34" s="1730"/>
      <c r="L34" s="396"/>
      <c r="M34" s="378"/>
      <c r="N34" s="378"/>
      <c r="O34" s="395"/>
      <c r="P34" s="3668"/>
      <c r="Q34" s="388" t="str">
        <f t="shared" si="8"/>
        <v>毗邻道路的类型与等级</v>
      </c>
      <c r="R34" s="455" t="s">
        <v>912</v>
      </c>
      <c r="S34" s="456">
        <f t="shared" si="10"/>
        <v>100</v>
      </c>
      <c r="T34" s="455" t="s">
        <v>912</v>
      </c>
      <c r="U34" s="456">
        <f t="shared" si="11"/>
        <v>100</v>
      </c>
      <c r="V34" s="455" t="s">
        <v>912</v>
      </c>
      <c r="W34" s="456">
        <f t="shared" si="12"/>
        <v>100</v>
      </c>
      <c r="X34" s="450"/>
      <c r="Y34" s="3668"/>
      <c r="Z34" s="449" t="str">
        <f t="shared" si="13"/>
        <v>毗邻道路的类型与等级</v>
      </c>
      <c r="AA34" s="461">
        <f t="shared" si="3"/>
        <v>1</v>
      </c>
      <c r="AB34" s="461">
        <f t="shared" si="4"/>
        <v>1</v>
      </c>
      <c r="AC34" s="461">
        <f t="shared" si="5"/>
        <v>1</v>
      </c>
    </row>
    <row r="35" spans="1:29" ht="20.25">
      <c r="A35" s="258"/>
      <c r="B35" s="270"/>
      <c r="C35" s="575"/>
      <c r="D35" s="262"/>
      <c r="E35" s="260"/>
      <c r="F35" s="261"/>
      <c r="G35" s="575"/>
      <c r="H35" s="261"/>
      <c r="I35" s="260"/>
      <c r="J35" s="261"/>
      <c r="K35" s="393"/>
      <c r="L35" s="396"/>
      <c r="M35" s="378"/>
      <c r="N35" s="378"/>
      <c r="O35" s="395"/>
      <c r="P35" s="3668"/>
      <c r="Q35" s="388"/>
      <c r="R35" s="455"/>
      <c r="S35" s="456"/>
      <c r="T35" s="455"/>
      <c r="U35" s="456"/>
      <c r="V35" s="455"/>
      <c r="W35" s="456"/>
      <c r="X35" s="450"/>
      <c r="Y35" s="3668"/>
      <c r="Z35" s="449"/>
      <c r="AA35" s="461">
        <v>1</v>
      </c>
      <c r="AB35" s="461">
        <v>1</v>
      </c>
      <c r="AC35" s="461">
        <v>1</v>
      </c>
    </row>
    <row r="36" spans="1:29" ht="20.25">
      <c r="A36" s="258"/>
      <c r="B36" s="517" t="s">
        <v>926</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668"/>
      <c r="Q36" s="388" t="str">
        <f t="shared" si="8"/>
        <v>土地级别</v>
      </c>
      <c r="R36" s="455" t="s">
        <v>912</v>
      </c>
      <c r="S36" s="456">
        <f t="shared" si="10"/>
        <v>100</v>
      </c>
      <c r="T36" s="455" t="s">
        <v>912</v>
      </c>
      <c r="U36" s="456">
        <f t="shared" si="11"/>
        <v>100</v>
      </c>
      <c r="V36" s="455" t="s">
        <v>912</v>
      </c>
      <c r="W36" s="456">
        <f t="shared" si="12"/>
        <v>100</v>
      </c>
      <c r="X36" s="450"/>
      <c r="Y36" s="3668"/>
      <c r="Z36" s="449" t="str">
        <f t="shared" si="13"/>
        <v>土地级别</v>
      </c>
      <c r="AA36" s="461">
        <f t="shared" si="3"/>
        <v>1</v>
      </c>
      <c r="AB36" s="461">
        <f t="shared" si="4"/>
        <v>1</v>
      </c>
      <c r="AC36" s="461">
        <f t="shared" si="5"/>
        <v>1</v>
      </c>
    </row>
    <row r="37" spans="1:29" ht="20.25">
      <c r="A37" s="219"/>
      <c r="B37" s="582">
        <v>111</v>
      </c>
      <c r="C37" s="1677"/>
      <c r="D37" s="280">
        <v>100</v>
      </c>
      <c r="E37" s="1672"/>
      <c r="F37" s="250">
        <f>SUMIF(112:112,E37,113:113)-SUMIF(112:112,C37,113:113)+100</f>
        <v>100</v>
      </c>
      <c r="G37" s="1677"/>
      <c r="H37" s="250">
        <f>SUMIF(112:112,G37,113:113)-SUMIF(112:112,C37,113:113)+100</f>
        <v>100</v>
      </c>
      <c r="I37" s="1672"/>
      <c r="J37" s="250">
        <f>SUMIF(112:112,I37,113:113)-SUMIF(112:112,C37,113:113)+100</f>
        <v>100</v>
      </c>
      <c r="K37" s="393"/>
      <c r="L37" s="396"/>
      <c r="M37" s="378"/>
      <c r="N37" s="378"/>
      <c r="O37" s="395"/>
      <c r="P37" s="3668"/>
      <c r="Q37" s="388">
        <f t="shared" si="8"/>
        <v>111</v>
      </c>
      <c r="R37" s="455" t="s">
        <v>912</v>
      </c>
      <c r="S37" s="456">
        <f t="shared" si="10"/>
        <v>100</v>
      </c>
      <c r="T37" s="455" t="s">
        <v>912</v>
      </c>
      <c r="U37" s="456">
        <f t="shared" si="11"/>
        <v>100</v>
      </c>
      <c r="V37" s="455" t="s">
        <v>912</v>
      </c>
      <c r="W37" s="456">
        <f t="shared" si="12"/>
        <v>100</v>
      </c>
      <c r="X37" s="450"/>
      <c r="Y37" s="3668"/>
      <c r="Z37" s="449">
        <f t="shared" si="13"/>
        <v>111</v>
      </c>
      <c r="AA37" s="461">
        <f t="shared" si="3"/>
        <v>1</v>
      </c>
      <c r="AB37" s="461">
        <f t="shared" si="4"/>
        <v>1</v>
      </c>
      <c r="AC37" s="461">
        <f t="shared" si="5"/>
        <v>1</v>
      </c>
    </row>
    <row r="38" spans="1:29" ht="20.25">
      <c r="A38" s="1678"/>
      <c r="B38" s="2124">
        <v>111</v>
      </c>
      <c r="C38" s="1677"/>
      <c r="D38" s="280">
        <v>100</v>
      </c>
      <c r="E38" s="1672"/>
      <c r="F38" s="250">
        <f>SUMIF(114:114,E39,115:115)-SUMIF(114:114,C39,115:115)+100</f>
        <v>100</v>
      </c>
      <c r="G38" s="1677"/>
      <c r="H38" s="250">
        <f>SUMIF(114:114,G38,115:115)-SUMIF(114:114,C38,115:115)+100</f>
        <v>100</v>
      </c>
      <c r="I38" s="1672"/>
      <c r="J38" s="250">
        <f>SUMIF(114:114,I38,115:115)-SUMIF(114:114,C38,115:115)+100</f>
        <v>100</v>
      </c>
      <c r="K38" s="393"/>
      <c r="L38" s="396"/>
      <c r="M38" s="378"/>
      <c r="N38" s="378"/>
      <c r="O38" s="395"/>
      <c r="P38" s="3669" t="s">
        <v>927</v>
      </c>
      <c r="Q38" s="388">
        <f t="shared" si="8"/>
        <v>111</v>
      </c>
      <c r="R38" s="455" t="s">
        <v>912</v>
      </c>
      <c r="S38" s="456">
        <f t="shared" si="10"/>
        <v>100</v>
      </c>
      <c r="T38" s="455" t="s">
        <v>912</v>
      </c>
      <c r="U38" s="456">
        <f t="shared" si="11"/>
        <v>100</v>
      </c>
      <c r="V38" s="455" t="s">
        <v>912</v>
      </c>
      <c r="W38" s="456">
        <f t="shared" si="12"/>
        <v>100</v>
      </c>
      <c r="X38" s="450"/>
      <c r="Y38" s="3670" t="s">
        <v>927</v>
      </c>
      <c r="Z38" s="449">
        <f t="shared" si="13"/>
        <v>111</v>
      </c>
      <c r="AA38" s="461">
        <f t="shared" si="3"/>
        <v>1</v>
      </c>
      <c r="AB38" s="461">
        <f t="shared" si="4"/>
        <v>1</v>
      </c>
      <c r="AC38" s="461">
        <f t="shared" si="5"/>
        <v>1</v>
      </c>
    </row>
    <row r="39" spans="1:29" s="195" customFormat="1" ht="20.25">
      <c r="A39" s="1680"/>
      <c r="B39" s="2125">
        <v>111</v>
      </c>
      <c r="C39" s="2126"/>
      <c r="D39" s="2127">
        <v>100</v>
      </c>
      <c r="E39" s="1682"/>
      <c r="F39" s="303">
        <f>SUMIF(116:116,E39,117:117)-SUMIF(116:116,C39,117:117)+100</f>
        <v>100</v>
      </c>
      <c r="G39" s="1684"/>
      <c r="H39" s="303">
        <f>SUMIF(116:116,G39,117:117)-SUMIF(116:116,C39,117:117)+100</f>
        <v>100</v>
      </c>
      <c r="I39" s="1682"/>
      <c r="J39" s="303">
        <f>SUMIF(116:116,I39,117:117)-SUMIF(116:116,C39,117:117)+100</f>
        <v>100</v>
      </c>
      <c r="K39" s="393"/>
      <c r="L39" s="394"/>
      <c r="M39" s="378"/>
      <c r="N39" s="378"/>
      <c r="O39" s="401"/>
      <c r="P39" s="3670"/>
      <c r="Q39" s="388">
        <f t="shared" si="8"/>
        <v>111</v>
      </c>
      <c r="R39" s="458" t="s">
        <v>912</v>
      </c>
      <c r="S39" s="459">
        <f t="shared" si="10"/>
        <v>100</v>
      </c>
      <c r="T39" s="458" t="s">
        <v>912</v>
      </c>
      <c r="U39" s="459">
        <f t="shared" si="11"/>
        <v>100</v>
      </c>
      <c r="V39" s="458" t="s">
        <v>912</v>
      </c>
      <c r="W39" s="459">
        <f t="shared" si="12"/>
        <v>100</v>
      </c>
      <c r="X39" s="460"/>
      <c r="Y39" s="3670"/>
      <c r="Z39" s="472">
        <f t="shared" si="13"/>
        <v>111</v>
      </c>
      <c r="AA39" s="461">
        <f t="shared" si="3"/>
        <v>1</v>
      </c>
      <c r="AB39" s="461">
        <f t="shared" si="4"/>
        <v>1</v>
      </c>
      <c r="AC39" s="461">
        <f t="shared" si="5"/>
        <v>1</v>
      </c>
    </row>
    <row r="40" spans="1:29" ht="20.25">
      <c r="A40" s="286" t="s">
        <v>928</v>
      </c>
      <c r="B40" s="278" t="s">
        <v>929</v>
      </c>
      <c r="C40" s="1685"/>
      <c r="D40" s="289">
        <v>100</v>
      </c>
      <c r="E40" s="1685"/>
      <c r="F40" s="289" t="e">
        <f>LOOKUP(E40,119:119,120:120)-LOOKUP(C40,119:119,120:120)+100</f>
        <v>#N/A</v>
      </c>
      <c r="G40" s="1685"/>
      <c r="H40" s="289" t="e">
        <f>LOOKUP(G40,119:119,120:120)-LOOKUP(C40,119:119,120:120)+100</f>
        <v>#N/A</v>
      </c>
      <c r="I40" s="357"/>
      <c r="J40" s="289" t="e">
        <f>LOOKUP(I40,119:119,120:120)-LOOKUP(C40,119:119,120:120)+100</f>
        <v>#N/A</v>
      </c>
      <c r="K40" s="393"/>
      <c r="L40" s="396"/>
      <c r="M40" s="378"/>
      <c r="N40" s="378"/>
      <c r="O40" s="395"/>
      <c r="P40" s="3670"/>
      <c r="Q40" s="388" t="str">
        <f t="shared" si="8"/>
        <v>宗地面积</v>
      </c>
      <c r="R40" s="455" t="s">
        <v>912</v>
      </c>
      <c r="S40" s="456" t="e">
        <f t="shared" si="10"/>
        <v>#N/A</v>
      </c>
      <c r="T40" s="455" t="s">
        <v>912</v>
      </c>
      <c r="U40" s="456" t="e">
        <f t="shared" si="11"/>
        <v>#N/A</v>
      </c>
      <c r="V40" s="455" t="s">
        <v>912</v>
      </c>
      <c r="W40" s="456" t="e">
        <f t="shared" si="12"/>
        <v>#N/A</v>
      </c>
      <c r="X40" s="450"/>
      <c r="Y40" s="3670"/>
      <c r="Z40" s="449" t="str">
        <f t="shared" si="13"/>
        <v>宗地面积</v>
      </c>
      <c r="AA40" s="461" t="e">
        <f t="shared" si="3"/>
        <v>#N/A</v>
      </c>
      <c r="AB40" s="461" t="e">
        <f t="shared" si="4"/>
        <v>#N/A</v>
      </c>
      <c r="AC40" s="461" t="e">
        <f t="shared" si="5"/>
        <v>#N/A</v>
      </c>
    </row>
    <row r="41" spans="1:29" ht="20.25">
      <c r="A41" s="296"/>
      <c r="B41" s="292" t="s">
        <v>930</v>
      </c>
      <c r="C41" s="584"/>
      <c r="D41" s="250">
        <v>100</v>
      </c>
      <c r="E41" s="584"/>
      <c r="F41" s="250">
        <f>SUMIF(121:121,E41,122:122)-SUMIF(121:121,C41,122:122)+100</f>
        <v>100</v>
      </c>
      <c r="G41" s="584"/>
      <c r="H41" s="250">
        <f>SUMIF(121:121,G41,122:122)-SUMIF(121:121,C41,122:122)+100</f>
        <v>100</v>
      </c>
      <c r="I41" s="584"/>
      <c r="J41" s="250">
        <f>SUMIF(121:121,I41,122:122)-SUMIF(121:121,C41,122:122)+100</f>
        <v>100</v>
      </c>
      <c r="K41" s="389"/>
      <c r="L41" s="396"/>
      <c r="M41" s="378"/>
      <c r="N41" s="378"/>
      <c r="O41" s="395"/>
      <c r="P41" s="3670"/>
      <c r="Q41" s="388" t="str">
        <f t="shared" ref="Q41:Q47" si="14">B41</f>
        <v>宗地形状</v>
      </c>
      <c r="R41" s="455" t="s">
        <v>912</v>
      </c>
      <c r="S41" s="456">
        <f t="shared" si="10"/>
        <v>100</v>
      </c>
      <c r="T41" s="455" t="s">
        <v>912</v>
      </c>
      <c r="U41" s="456">
        <f t="shared" si="11"/>
        <v>100</v>
      </c>
      <c r="V41" s="455" t="s">
        <v>912</v>
      </c>
      <c r="W41" s="456">
        <f t="shared" si="12"/>
        <v>100</v>
      </c>
      <c r="X41" s="450"/>
      <c r="Y41" s="3670"/>
      <c r="Z41" s="449" t="str">
        <f t="shared" si="13"/>
        <v>宗地形状</v>
      </c>
      <c r="AA41" s="461">
        <f t="shared" si="3"/>
        <v>1</v>
      </c>
      <c r="AB41" s="461">
        <f t="shared" si="4"/>
        <v>1</v>
      </c>
      <c r="AC41" s="461">
        <f t="shared" si="5"/>
        <v>1</v>
      </c>
    </row>
    <row r="42" spans="1:29" ht="20.25">
      <c r="A42" s="296"/>
      <c r="B42" s="292" t="s">
        <v>931</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670"/>
      <c r="Q42" s="388" t="str">
        <f t="shared" si="14"/>
        <v>临街宽度及深度</v>
      </c>
      <c r="R42" s="455" t="s">
        <v>912</v>
      </c>
      <c r="S42" s="456">
        <f t="shared" si="10"/>
        <v>100</v>
      </c>
      <c r="T42" s="455" t="s">
        <v>912</v>
      </c>
      <c r="U42" s="456">
        <f t="shared" si="11"/>
        <v>100</v>
      </c>
      <c r="V42" s="455" t="s">
        <v>912</v>
      </c>
      <c r="W42" s="456">
        <f t="shared" si="12"/>
        <v>100</v>
      </c>
      <c r="X42" s="450"/>
      <c r="Y42" s="3670"/>
      <c r="Z42" s="449" t="str">
        <f t="shared" si="13"/>
        <v>临街宽度及深度</v>
      </c>
      <c r="AA42" s="461">
        <f t="shared" si="3"/>
        <v>1</v>
      </c>
      <c r="AB42" s="461">
        <f t="shared" si="4"/>
        <v>1</v>
      </c>
      <c r="AC42" s="461">
        <f t="shared" si="5"/>
        <v>1</v>
      </c>
    </row>
    <row r="43" spans="1:29" s="193" customFormat="1" ht="20.25">
      <c r="A43" s="299"/>
      <c r="B43" s="551" t="s">
        <v>932</v>
      </c>
      <c r="C43" s="1686"/>
      <c r="D43" s="240">
        <v>100</v>
      </c>
      <c r="E43" s="1686"/>
      <c r="F43" s="250">
        <f>SUMIF(125:125,E43,126:126)-SUMIF(125:125,C43,126:126)+100</f>
        <v>100</v>
      </c>
      <c r="G43" s="1686"/>
      <c r="H43" s="250">
        <f>SUMIF(125:125,G43,126:126)-SUMIF(125:125,C43,126:126)+100</f>
        <v>100</v>
      </c>
      <c r="I43" s="1686"/>
      <c r="J43" s="250">
        <f>SUMIF(125:125,I43,126:126)-SUMIF(125:125,C43,126:126)+100</f>
        <v>100</v>
      </c>
      <c r="K43" s="389"/>
      <c r="L43" s="385"/>
      <c r="M43" s="378"/>
      <c r="N43" s="378"/>
      <c r="O43" s="387"/>
      <c r="P43" s="3670"/>
      <c r="Q43" s="388" t="str">
        <f t="shared" si="14"/>
        <v>宗地开发程度</v>
      </c>
      <c r="R43" s="451" t="s">
        <v>912</v>
      </c>
      <c r="S43" s="452">
        <f t="shared" si="10"/>
        <v>100</v>
      </c>
      <c r="T43" s="451" t="s">
        <v>912</v>
      </c>
      <c r="U43" s="452">
        <f t="shared" si="11"/>
        <v>100</v>
      </c>
      <c r="V43" s="451" t="s">
        <v>912</v>
      </c>
      <c r="W43" s="452">
        <f t="shared" si="12"/>
        <v>100</v>
      </c>
      <c r="X43" s="453"/>
      <c r="Y43" s="3670"/>
      <c r="Z43" s="471" t="str">
        <f t="shared" si="13"/>
        <v>宗地开发程度</v>
      </c>
      <c r="AA43" s="470">
        <f t="shared" si="3"/>
        <v>1</v>
      </c>
      <c r="AB43" s="470">
        <f t="shared" si="4"/>
        <v>1</v>
      </c>
      <c r="AC43" s="470">
        <f t="shared" si="5"/>
        <v>1</v>
      </c>
    </row>
    <row r="44" spans="1:29" ht="20.25">
      <c r="A44" s="296"/>
      <c r="B44" s="292" t="s">
        <v>933</v>
      </c>
      <c r="C44" s="584"/>
      <c r="D44" s="250">
        <v>100</v>
      </c>
      <c r="E44" s="584"/>
      <c r="F44" s="250">
        <f>SUMIF(127:127,E44,128:128)-SUMIF(127:127,C44,128:128)+100</f>
        <v>100</v>
      </c>
      <c r="G44" s="584"/>
      <c r="H44" s="250">
        <f>SUMIF(127:127,G44,128:128)-SUMIF(127:127,C44,128:128)+100</f>
        <v>100</v>
      </c>
      <c r="I44" s="584"/>
      <c r="J44" s="250">
        <f>SUMIF(127:127,I44,128:128)-SUMIF(127:127,C44,128:128)+100</f>
        <v>100</v>
      </c>
      <c r="K44" s="389"/>
      <c r="L44" s="396"/>
      <c r="M44" s="378"/>
      <c r="N44" s="378"/>
      <c r="O44" s="395"/>
      <c r="P44" s="3670" t="s">
        <v>927</v>
      </c>
      <c r="Q44" s="388" t="str">
        <f t="shared" si="14"/>
        <v>工程地质条件</v>
      </c>
      <c r="R44" s="455" t="s">
        <v>912</v>
      </c>
      <c r="S44" s="456">
        <f t="shared" si="10"/>
        <v>100</v>
      </c>
      <c r="T44" s="455" t="s">
        <v>912</v>
      </c>
      <c r="U44" s="456">
        <f t="shared" si="11"/>
        <v>100</v>
      </c>
      <c r="V44" s="455" t="s">
        <v>912</v>
      </c>
      <c r="W44" s="456">
        <f t="shared" si="12"/>
        <v>100</v>
      </c>
      <c r="X44" s="450"/>
      <c r="Y44" s="3670" t="s">
        <v>927</v>
      </c>
      <c r="Z44" s="449" t="str">
        <f t="shared" si="13"/>
        <v>工程地质条件</v>
      </c>
      <c r="AA44" s="461">
        <f t="shared" si="3"/>
        <v>1</v>
      </c>
      <c r="AB44" s="461">
        <f t="shared" si="4"/>
        <v>1</v>
      </c>
      <c r="AC44" s="461">
        <f t="shared" si="5"/>
        <v>1</v>
      </c>
    </row>
    <row r="45" spans="1:29" ht="20.25">
      <c r="A45" s="296"/>
      <c r="B45" s="1679">
        <v>111</v>
      </c>
      <c r="C45" s="1672"/>
      <c r="D45" s="250">
        <v>100</v>
      </c>
      <c r="E45" s="1672"/>
      <c r="F45" s="250">
        <f>SUMIF(129:129,E45,130:130)-SUMIF(129:129,C45,130:130)+100</f>
        <v>100</v>
      </c>
      <c r="G45" s="1672"/>
      <c r="H45" s="250">
        <f>SUMIF(129:129,G45,130:130)-SUMIF(129:129,C45,130:130)+100</f>
        <v>100</v>
      </c>
      <c r="I45" s="366"/>
      <c r="J45" s="250">
        <f>SUMIF(129:129,I45,130:130)-SUMIF(129:129,C45,130:130)+100</f>
        <v>100</v>
      </c>
      <c r="K45" s="393"/>
      <c r="L45" s="396"/>
      <c r="M45" s="378"/>
      <c r="N45" s="378"/>
      <c r="O45" s="395"/>
      <c r="P45" s="3670"/>
      <c r="Q45" s="388">
        <f t="shared" si="14"/>
        <v>111</v>
      </c>
      <c r="R45" s="455" t="s">
        <v>912</v>
      </c>
      <c r="S45" s="456">
        <f t="shared" si="10"/>
        <v>100</v>
      </c>
      <c r="T45" s="455" t="s">
        <v>912</v>
      </c>
      <c r="U45" s="456">
        <f t="shared" si="11"/>
        <v>100</v>
      </c>
      <c r="V45" s="455" t="s">
        <v>912</v>
      </c>
      <c r="W45" s="456">
        <f t="shared" si="12"/>
        <v>100</v>
      </c>
      <c r="X45" s="450"/>
      <c r="Y45" s="3670"/>
      <c r="Z45" s="449">
        <f t="shared" si="13"/>
        <v>111</v>
      </c>
      <c r="AA45" s="461">
        <f t="shared" si="3"/>
        <v>1</v>
      </c>
      <c r="AB45" s="461">
        <f t="shared" si="4"/>
        <v>1</v>
      </c>
      <c r="AC45" s="461">
        <f t="shared" si="5"/>
        <v>1</v>
      </c>
    </row>
    <row r="46" spans="1:29" ht="20.25">
      <c r="A46" s="296"/>
      <c r="B46" s="1679">
        <v>111</v>
      </c>
      <c r="C46" s="1672"/>
      <c r="D46" s="250">
        <v>100</v>
      </c>
      <c r="E46" s="1672"/>
      <c r="F46" s="250">
        <f>SUMIF(131:131,E46,132:132)-SUMIF(131:131,C46,132:132)+100</f>
        <v>100</v>
      </c>
      <c r="G46" s="1672"/>
      <c r="H46" s="250">
        <f>SUMIF(131:131,G46,132:132)-SUMIF(131:131,C46,132:132)+100</f>
        <v>100</v>
      </c>
      <c r="I46" s="366"/>
      <c r="J46" s="250">
        <f>SUMIF(131:131,I46,132:132)-SUMIF(131:131,C46,132:132)+100</f>
        <v>100</v>
      </c>
      <c r="K46" s="393"/>
      <c r="L46" s="396"/>
      <c r="M46" s="378"/>
      <c r="N46" s="378"/>
      <c r="O46" s="395"/>
      <c r="P46" s="3670"/>
      <c r="Q46" s="388">
        <f t="shared" si="14"/>
        <v>111</v>
      </c>
      <c r="R46" s="455" t="s">
        <v>912</v>
      </c>
      <c r="S46" s="456">
        <f t="shared" si="10"/>
        <v>100</v>
      </c>
      <c r="T46" s="455" t="s">
        <v>912</v>
      </c>
      <c r="U46" s="456">
        <f t="shared" si="11"/>
        <v>100</v>
      </c>
      <c r="V46" s="455" t="s">
        <v>912</v>
      </c>
      <c r="W46" s="456">
        <f t="shared" si="12"/>
        <v>100</v>
      </c>
      <c r="X46" s="450"/>
      <c r="Y46" s="3670"/>
      <c r="Z46" s="449">
        <f t="shared" si="13"/>
        <v>111</v>
      </c>
      <c r="AA46" s="461">
        <f t="shared" si="3"/>
        <v>1</v>
      </c>
      <c r="AB46" s="461">
        <f t="shared" si="4"/>
        <v>1</v>
      </c>
      <c r="AC46" s="461">
        <f t="shared" si="5"/>
        <v>1</v>
      </c>
    </row>
    <row r="47" spans="1:29" s="195" customFormat="1" ht="20.25">
      <c r="A47" s="291"/>
      <c r="B47" s="1679">
        <v>111</v>
      </c>
      <c r="C47" s="1687"/>
      <c r="D47" s="2128">
        <v>100</v>
      </c>
      <c r="E47" s="1672"/>
      <c r="F47" s="303">
        <f>SUMIF(133:133,E47,134:134)-SUMIF(133:133,C47,134:134)+100</f>
        <v>100</v>
      </c>
      <c r="G47" s="1672"/>
      <c r="H47" s="303">
        <f>SUMIF(133:133,G47,134:134)-SUMIF(133:133,C47,134:134)+100</f>
        <v>100</v>
      </c>
      <c r="I47" s="1672"/>
      <c r="J47" s="303">
        <f>SUMIF(133:133,I47,134:134)-SUMIF(133:133,C47,134:134)+100</f>
        <v>100</v>
      </c>
      <c r="K47" s="1733"/>
      <c r="L47" s="394"/>
      <c r="M47" s="378"/>
      <c r="N47" s="378"/>
      <c r="O47" s="401"/>
      <c r="P47" s="3670"/>
      <c r="Q47" s="388">
        <f t="shared" si="14"/>
        <v>111</v>
      </c>
      <c r="R47" s="458" t="s">
        <v>912</v>
      </c>
      <c r="S47" s="459">
        <f t="shared" si="10"/>
        <v>100</v>
      </c>
      <c r="T47" s="458" t="s">
        <v>912</v>
      </c>
      <c r="U47" s="459">
        <f t="shared" si="11"/>
        <v>100</v>
      </c>
      <c r="V47" s="458" t="s">
        <v>912</v>
      </c>
      <c r="W47" s="459">
        <f t="shared" si="12"/>
        <v>100</v>
      </c>
      <c r="X47" s="460"/>
      <c r="Y47" s="3670"/>
      <c r="Z47" s="472">
        <f t="shared" si="13"/>
        <v>111</v>
      </c>
      <c r="AA47" s="461">
        <f t="shared" si="3"/>
        <v>1</v>
      </c>
      <c r="AB47" s="461">
        <f t="shared" si="4"/>
        <v>1</v>
      </c>
      <c r="AC47" s="461">
        <f t="shared" si="5"/>
        <v>1</v>
      </c>
    </row>
    <row r="48" spans="1:29" ht="20.25">
      <c r="A48" s="306" t="s">
        <v>934</v>
      </c>
      <c r="B48" s="1688" t="s">
        <v>935</v>
      </c>
      <c r="C48" s="1689" t="s">
        <v>138</v>
      </c>
      <c r="D48" s="1690"/>
      <c r="E48" s="1691"/>
      <c r="F48" s="1692"/>
      <c r="G48" s="1693"/>
      <c r="H48" s="1694"/>
      <c r="I48" s="1691"/>
      <c r="J48" s="1694"/>
      <c r="K48" s="1734"/>
      <c r="L48" s="403"/>
      <c r="M48" s="378"/>
      <c r="N48" s="378"/>
      <c r="O48" s="334"/>
      <c r="P48" s="3666" t="str">
        <f>A48</f>
        <v>成交单价</v>
      </c>
      <c r="Q48" s="3666"/>
      <c r="R48" s="3664">
        <f>E48</f>
        <v>0</v>
      </c>
      <c r="S48" s="3664"/>
      <c r="T48" s="3664">
        <f>G48</f>
        <v>0</v>
      </c>
      <c r="U48" s="3664"/>
      <c r="V48" s="3664">
        <f>I48</f>
        <v>0</v>
      </c>
      <c r="W48" s="3664"/>
      <c r="X48" s="336"/>
      <c r="Y48" s="473"/>
      <c r="Z48" s="336"/>
      <c r="AA48" s="336"/>
      <c r="AB48" s="336"/>
      <c r="AC48" s="336"/>
    </row>
    <row r="49" spans="1:29" ht="20.25">
      <c r="A49" s="314" t="s">
        <v>936</v>
      </c>
      <c r="B49" s="1695"/>
      <c r="C49" s="1696" t="e">
        <f>R50</f>
        <v>#DIV/0!</v>
      </c>
      <c r="D49" s="317" t="s">
        <v>937</v>
      </c>
      <c r="E49" s="1696" t="e">
        <f>R49</f>
        <v>#DIV/0!</v>
      </c>
      <c r="F49" s="319"/>
      <c r="G49" s="1697" t="e">
        <f>T49</f>
        <v>#DIV/0!</v>
      </c>
      <c r="H49" s="319"/>
      <c r="I49" s="1696" t="e">
        <f>V49</f>
        <v>#DIV/0!</v>
      </c>
      <c r="J49" s="319"/>
      <c r="K49" s="1735">
        <f>F49+H49+J49</f>
        <v>0</v>
      </c>
      <c r="L49" s="403"/>
      <c r="M49" s="378"/>
      <c r="N49" s="378"/>
      <c r="O49" s="334"/>
      <c r="P49" s="3666" t="str">
        <f>A49</f>
        <v>比较价格（元/平方米）</v>
      </c>
      <c r="Q49" s="3666"/>
      <c r="R49" s="3675" t="e">
        <f>ROUND(PRODUCT(R48,AA9:AA47),0)</f>
        <v>#DIV/0!</v>
      </c>
      <c r="S49" s="3675"/>
      <c r="T49" s="3675" t="e">
        <f>ROUND(PRODUCT(T48,AB9:AB47),0)</f>
        <v>#DIV/0!</v>
      </c>
      <c r="U49" s="3675"/>
      <c r="V49" s="3675" t="e">
        <f>ROUND(PRODUCT(V48,AC9:AC47),0)</f>
        <v>#DIV/0!</v>
      </c>
      <c r="W49" s="3675"/>
      <c r="X49" s="336"/>
      <c r="Y49" s="336"/>
      <c r="Z49" s="336"/>
      <c r="AA49" s="336"/>
      <c r="AB49" s="336"/>
      <c r="AC49" s="336"/>
    </row>
    <row r="50" spans="1:29" ht="20.25">
      <c r="A50" s="320" t="s">
        <v>938</v>
      </c>
      <c r="B50" s="321"/>
      <c r="C50" s="1698" t="e">
        <f>R50</f>
        <v>#DIV/0!</v>
      </c>
      <c r="D50" s="1698"/>
      <c r="E50" s="1698"/>
      <c r="F50" s="1698"/>
      <c r="G50" s="1698"/>
      <c r="H50" s="1698"/>
      <c r="I50" s="1698"/>
      <c r="J50" s="1698"/>
      <c r="K50" s="1736"/>
      <c r="L50" s="403"/>
      <c r="M50" s="378"/>
      <c r="N50" s="378"/>
      <c r="O50" s="334"/>
      <c r="P50" s="3676" t="str">
        <f>A50</f>
        <v>估价对象XX用房的比较价格（楼面单价，元/平方米）</v>
      </c>
      <c r="Q50" s="3677"/>
      <c r="R50" s="3678" t="e">
        <f>ROUND(IF(D49="简单平均",AVERAGE(R49:W49),R49*F49+T49*H49+V49*J49),0)</f>
        <v>#DIV/0!</v>
      </c>
      <c r="S50" s="3678"/>
      <c r="T50" s="3678"/>
      <c r="U50" s="3678"/>
      <c r="V50" s="3678"/>
      <c r="W50" s="3678"/>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939</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940</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941</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1700" t="s">
        <v>942</v>
      </c>
      <c r="B57" s="1701" t="s">
        <v>943</v>
      </c>
      <c r="C57" s="1702" t="s">
        <v>944</v>
      </c>
      <c r="D57" s="1703" t="s">
        <v>945</v>
      </c>
      <c r="E57" s="1704" t="s">
        <v>946</v>
      </c>
      <c r="F57" s="2129" t="s">
        <v>947</v>
      </c>
      <c r="G57" s="3671" t="s">
        <v>948</v>
      </c>
      <c r="H57" s="3672"/>
      <c r="I57" s="1738" t="s">
        <v>359</v>
      </c>
      <c r="J57" s="1738">
        <f>项目基本情况!F41</f>
        <v>0</v>
      </c>
      <c r="K57" s="1739" t="s">
        <v>949</v>
      </c>
      <c r="L57" s="408"/>
      <c r="M57" s="334"/>
      <c r="N57" s="334"/>
      <c r="O57" s="334"/>
      <c r="P57" s="334"/>
      <c r="Q57" s="334"/>
      <c r="R57" s="334"/>
      <c r="S57" s="334"/>
      <c r="T57" s="334"/>
      <c r="U57" s="334"/>
      <c r="V57" s="334"/>
      <c r="W57" s="334"/>
      <c r="X57" s="334"/>
      <c r="Y57" s="334"/>
      <c r="Z57" s="334"/>
      <c r="AA57" s="334"/>
      <c r="AB57" s="334"/>
      <c r="AC57" s="334"/>
    </row>
    <row r="58" spans="1:29" s="1663" customFormat="1" ht="12.75">
      <c r="A58" s="1706" t="s">
        <v>950</v>
      </c>
      <c r="B58" s="1707" t="e">
        <f>C50</f>
        <v>#DIV/0!</v>
      </c>
      <c r="C58" s="1708">
        <v>1</v>
      </c>
      <c r="D58" s="1709">
        <v>1</v>
      </c>
      <c r="E58" s="1708">
        <f>'数据-汇总表'!E8+'数据-汇总表'!E9</f>
        <v>63500</v>
      </c>
      <c r="F58" s="2130" t="e">
        <f t="shared" ref="F58:F67" si="15">ROUND(B58*E58/10000,0)</f>
        <v>#DIV/0!</v>
      </c>
      <c r="G58" s="3673"/>
      <c r="H58" s="3674"/>
      <c r="I58" s="1741">
        <v>1</v>
      </c>
      <c r="J58" s="1741">
        <v>1</v>
      </c>
      <c r="K58" s="1742"/>
      <c r="L58" s="1743"/>
      <c r="M58" s="1743"/>
      <c r="N58" s="1743"/>
      <c r="O58" s="1743"/>
      <c r="P58" s="1743"/>
      <c r="Q58" s="1743"/>
      <c r="R58" s="1743"/>
      <c r="S58" s="1743"/>
      <c r="T58" s="1743"/>
      <c r="U58" s="1743"/>
      <c r="V58" s="1743"/>
      <c r="W58" s="1743"/>
      <c r="X58" s="1743"/>
      <c r="Y58" s="1743"/>
      <c r="Z58" s="1743"/>
      <c r="AA58" s="1743"/>
      <c r="AB58" s="1743"/>
      <c r="AC58" s="1743"/>
    </row>
    <row r="59" spans="1:29" s="1663" customFormat="1" ht="12.75">
      <c r="A59" s="1711" t="s">
        <v>951</v>
      </c>
      <c r="B59" s="1712" t="e">
        <f>ROUND($C$50*C59*D59,0)</f>
        <v>#DIV/0!</v>
      </c>
      <c r="C59" s="1471">
        <f t="shared" ref="C59:C67" si="16">IF($C$57="北京市系数",I59,J59)</f>
        <v>0</v>
      </c>
      <c r="D59" s="1713">
        <v>0.25</v>
      </c>
      <c r="E59" s="1714">
        <v>0</v>
      </c>
      <c r="F59" s="2130" t="e">
        <f t="shared" si="15"/>
        <v>#DIV/0!</v>
      </c>
      <c r="G59" s="3665" t="s">
        <v>952</v>
      </c>
      <c r="H59" s="2132">
        <f>项目基本情况!B43</f>
        <v>0</v>
      </c>
      <c r="I59" s="1741">
        <f>SUMIF(修正!$A$45:$A$56,H59,修正!B45:B56)</f>
        <v>0</v>
      </c>
      <c r="J59" s="1744"/>
      <c r="K59" s="1742"/>
      <c r="L59" s="1743"/>
      <c r="M59" s="1743"/>
      <c r="N59" s="1743"/>
      <c r="O59" s="1743"/>
      <c r="P59" s="1743"/>
      <c r="Q59" s="1743"/>
      <c r="R59" s="1743"/>
      <c r="S59" s="1743"/>
      <c r="T59" s="1743"/>
      <c r="U59" s="1743"/>
      <c r="V59" s="1743"/>
      <c r="W59" s="1743"/>
      <c r="X59" s="1743"/>
      <c r="Y59" s="1743"/>
      <c r="Z59" s="1743"/>
      <c r="AA59" s="1743"/>
      <c r="AB59" s="1743"/>
      <c r="AC59" s="1743"/>
    </row>
    <row r="60" spans="1:29" s="1663" customFormat="1" ht="12.75">
      <c r="A60" s="1711" t="s">
        <v>953</v>
      </c>
      <c r="B60" s="1712" t="e">
        <f t="shared" ref="B60:B67" si="17">ROUND($C$50*C60*D60,0)</f>
        <v>#DIV/0!</v>
      </c>
      <c r="C60" s="1471">
        <f t="shared" si="16"/>
        <v>0</v>
      </c>
      <c r="D60" s="1713">
        <v>0.25</v>
      </c>
      <c r="E60" s="1714">
        <v>0</v>
      </c>
      <c r="F60" s="2130" t="e">
        <f t="shared" si="15"/>
        <v>#DIV/0!</v>
      </c>
      <c r="G60" s="3665"/>
      <c r="H60" s="2132">
        <f>项目基本情况!B43</f>
        <v>0</v>
      </c>
      <c r="I60" s="1741">
        <f>SUMIF(修正!$A$45:$A$56,H60,修正!C45:C56)</f>
        <v>0</v>
      </c>
      <c r="J60" s="1744"/>
      <c r="K60" s="1742"/>
      <c r="L60" s="1743"/>
      <c r="M60" s="1743"/>
      <c r="N60" s="1743"/>
      <c r="O60" s="1743"/>
      <c r="P60" s="1743"/>
      <c r="Q60" s="1743"/>
      <c r="R60" s="1743"/>
      <c r="S60" s="1743"/>
      <c r="T60" s="1743"/>
      <c r="U60" s="1743"/>
      <c r="V60" s="1743"/>
      <c r="W60" s="1743"/>
      <c r="X60" s="1743"/>
      <c r="Y60" s="1743"/>
      <c r="Z60" s="1743"/>
      <c r="AA60" s="1743"/>
      <c r="AB60" s="1743"/>
      <c r="AC60" s="1743"/>
    </row>
    <row r="61" spans="1:29" s="1663" customFormat="1" ht="12.75">
      <c r="A61" s="1711" t="s">
        <v>954</v>
      </c>
      <c r="B61" s="1712" t="e">
        <f t="shared" si="17"/>
        <v>#DIV/0!</v>
      </c>
      <c r="C61" s="1471">
        <f t="shared" si="16"/>
        <v>0</v>
      </c>
      <c r="D61" s="1713">
        <v>0.25</v>
      </c>
      <c r="E61" s="1714">
        <v>0</v>
      </c>
      <c r="F61" s="2130" t="e">
        <f t="shared" si="15"/>
        <v>#DIV/0!</v>
      </c>
      <c r="G61" s="3665"/>
      <c r="H61" s="2132">
        <f>项目基本情况!B43</f>
        <v>0</v>
      </c>
      <c r="I61" s="1741">
        <f>SUMIF(修正!$A$45:$A$56,H61,修正!D45:D56)</f>
        <v>0</v>
      </c>
      <c r="J61" s="1744"/>
      <c r="K61" s="1742"/>
      <c r="L61" s="1743"/>
      <c r="M61" s="1743"/>
      <c r="N61" s="1743"/>
      <c r="O61" s="1743"/>
      <c r="P61" s="1743"/>
      <c r="Q61" s="1743"/>
      <c r="R61" s="1743"/>
      <c r="S61" s="1743"/>
      <c r="T61" s="1743"/>
      <c r="U61" s="1743"/>
      <c r="V61" s="1743"/>
      <c r="W61" s="1743"/>
      <c r="X61" s="1743"/>
      <c r="Y61" s="1743"/>
      <c r="Z61" s="1743"/>
      <c r="AA61" s="1743"/>
      <c r="AB61" s="1743"/>
      <c r="AC61" s="1743"/>
    </row>
    <row r="62" spans="1:29" s="1663" customFormat="1" ht="12.75">
      <c r="A62" s="1711" t="s">
        <v>955</v>
      </c>
      <c r="B62" s="1712" t="e">
        <f t="shared" si="17"/>
        <v>#DIV/0!</v>
      </c>
      <c r="C62" s="1471">
        <f t="shared" si="16"/>
        <v>0</v>
      </c>
      <c r="D62" s="1713">
        <v>0.25</v>
      </c>
      <c r="E62" s="1714">
        <v>0</v>
      </c>
      <c r="F62" s="2130" t="e">
        <f t="shared" si="15"/>
        <v>#DIV/0!</v>
      </c>
      <c r="G62" s="3665"/>
      <c r="H62" s="2132">
        <f>项目基本情况!B43</f>
        <v>0</v>
      </c>
      <c r="I62" s="1741">
        <f>SUMIF(修正!$A$45:$A$56,H62,修正!E45:E56)</f>
        <v>0</v>
      </c>
      <c r="J62" s="1744"/>
      <c r="K62" s="1742"/>
      <c r="L62" s="1743"/>
      <c r="M62" s="1743"/>
      <c r="N62" s="1743"/>
      <c r="O62" s="1743"/>
      <c r="P62" s="1743"/>
      <c r="Q62" s="1743"/>
      <c r="R62" s="1743"/>
      <c r="S62" s="1743"/>
      <c r="T62" s="1743"/>
      <c r="U62" s="1743"/>
      <c r="V62" s="1743"/>
      <c r="W62" s="1743"/>
      <c r="X62" s="1743"/>
      <c r="Y62" s="1743"/>
      <c r="Z62" s="1743"/>
      <c r="AA62" s="1743"/>
      <c r="AB62" s="1743"/>
      <c r="AC62" s="1743"/>
    </row>
    <row r="63" spans="1:29" s="1663" customFormat="1" ht="12.75">
      <c r="A63" s="1718" t="s">
        <v>516</v>
      </c>
      <c r="B63" s="1712" t="e">
        <f t="shared" si="17"/>
        <v>#DIV/0!</v>
      </c>
      <c r="C63" s="1471">
        <f t="shared" si="16"/>
        <v>0</v>
      </c>
      <c r="D63" s="1713">
        <v>0.25</v>
      </c>
      <c r="E63" s="1719">
        <f>'数据-汇总表'!E11</f>
        <v>0</v>
      </c>
      <c r="F63" s="2130" t="e">
        <f t="shared" si="15"/>
        <v>#DIV/0!</v>
      </c>
      <c r="G63" s="2131" t="s">
        <v>956</v>
      </c>
      <c r="H63" s="2132">
        <f>项目基本情况!C43</f>
        <v>0</v>
      </c>
      <c r="I63" s="1741">
        <f>SUMIF(修正!$A$45:$A$56,H63,修正!F45:F56)</f>
        <v>0</v>
      </c>
      <c r="J63" s="1744"/>
      <c r="K63" s="1742"/>
      <c r="L63" s="1743"/>
      <c r="M63" s="1743"/>
      <c r="N63" s="1743"/>
      <c r="O63" s="1743"/>
      <c r="P63" s="1743"/>
      <c r="Q63" s="1743"/>
      <c r="R63" s="1743"/>
      <c r="S63" s="1743"/>
      <c r="T63" s="1743"/>
      <c r="U63" s="1743"/>
      <c r="V63" s="1743"/>
      <c r="W63" s="1743"/>
      <c r="X63" s="1743"/>
      <c r="Y63" s="1743"/>
      <c r="Z63" s="1743"/>
      <c r="AA63" s="1743"/>
      <c r="AB63" s="1743"/>
      <c r="AC63" s="1743"/>
    </row>
    <row r="64" spans="1:29" s="1663" customFormat="1" ht="12.75">
      <c r="A64" s="1711" t="s">
        <v>957</v>
      </c>
      <c r="B64" s="1712" t="e">
        <f t="shared" si="17"/>
        <v>#DIV/0!</v>
      </c>
      <c r="C64" s="1471">
        <f t="shared" si="16"/>
        <v>0</v>
      </c>
      <c r="D64" s="1713">
        <v>0.25</v>
      </c>
      <c r="E64" s="1719">
        <f>'数据-汇总表'!E12</f>
        <v>0</v>
      </c>
      <c r="F64" s="2130" t="e">
        <f t="shared" si="15"/>
        <v>#DIV/0!</v>
      </c>
      <c r="G64" s="1720" t="s">
        <v>370</v>
      </c>
      <c r="H64" s="2133">
        <f>IF(G64="商业",项目基本情况!B43,IF(G64="办公",项目基本情况!C43,IF(G64="住宅",项目基本情况!D43,项目基本情况!E43)))</f>
        <v>0</v>
      </c>
      <c r="I64" s="1741">
        <f>SUMIF(修正!$A$45:$A$56,H64,修正!G45:G56)</f>
        <v>0</v>
      </c>
      <c r="J64" s="1744"/>
      <c r="K64" s="1742"/>
      <c r="L64" s="1743"/>
      <c r="M64" s="1743"/>
      <c r="N64" s="1743"/>
      <c r="O64" s="1743"/>
      <c r="P64" s="1743"/>
      <c r="Q64" s="1743"/>
      <c r="R64" s="1743"/>
      <c r="S64" s="1743"/>
      <c r="T64" s="1743"/>
      <c r="U64" s="1743"/>
      <c r="V64" s="1743"/>
      <c r="W64" s="1743"/>
      <c r="X64" s="1743"/>
      <c r="Y64" s="1743"/>
      <c r="Z64" s="1743"/>
      <c r="AA64" s="1743"/>
      <c r="AB64" s="1743"/>
      <c r="AC64" s="1743"/>
    </row>
    <row r="65" spans="1:29" s="1663" customFormat="1" ht="12.75">
      <c r="A65" s="1711" t="s">
        <v>958</v>
      </c>
      <c r="B65" s="1712" t="e">
        <f t="shared" si="17"/>
        <v>#DIV/0!</v>
      </c>
      <c r="C65" s="1471">
        <f t="shared" si="16"/>
        <v>0.15</v>
      </c>
      <c r="D65" s="1713">
        <v>0.25</v>
      </c>
      <c r="E65" s="1719">
        <f>'数据-汇总表'!E13</f>
        <v>0</v>
      </c>
      <c r="F65" s="2130" t="e">
        <f t="shared" si="15"/>
        <v>#DIV/0!</v>
      </c>
      <c r="G65" s="1720" t="s">
        <v>368</v>
      </c>
      <c r="H65" s="2133" t="str">
        <f>IF(G65="商业",项目基本情况!B43,IF(G65="办公",项目基本情况!C43,IF(G65="住宅",项目基本情况!D43,项目基本情况!E43)))</f>
        <v>八级</v>
      </c>
      <c r="I65" s="1741">
        <f>SUMIF(修正!$A$45:$A$56,H65,修正!H45:H56)</f>
        <v>0.15</v>
      </c>
      <c r="J65" s="1744"/>
      <c r="K65" s="1742"/>
      <c r="L65" s="1743"/>
      <c r="M65" s="1743"/>
      <c r="N65" s="1743"/>
      <c r="O65" s="1743"/>
      <c r="P65" s="1743"/>
      <c r="Q65" s="1743"/>
      <c r="R65" s="1743"/>
      <c r="S65" s="1743"/>
      <c r="T65" s="1743"/>
      <c r="U65" s="1743"/>
      <c r="V65" s="1743"/>
      <c r="W65" s="1743"/>
      <c r="X65" s="1743"/>
      <c r="Y65" s="1743"/>
      <c r="Z65" s="1743"/>
      <c r="AA65" s="1743"/>
      <c r="AB65" s="1743"/>
      <c r="AC65" s="1743"/>
    </row>
    <row r="66" spans="1:29" s="1663" customFormat="1" ht="12.75">
      <c r="A66" s="1711" t="s">
        <v>959</v>
      </c>
      <c r="B66" s="1712" t="e">
        <f t="shared" si="17"/>
        <v>#DIV/0!</v>
      </c>
      <c r="C66" s="1471">
        <f t="shared" si="16"/>
        <v>0</v>
      </c>
      <c r="D66" s="1713">
        <v>0.25</v>
      </c>
      <c r="E66" s="1719">
        <f>'数据-汇总表'!E14</f>
        <v>0</v>
      </c>
      <c r="F66" s="2130" t="e">
        <f t="shared" si="15"/>
        <v>#DIV/0!</v>
      </c>
      <c r="G66" s="2131" t="s">
        <v>952</v>
      </c>
      <c r="H66" s="2132">
        <f>项目基本情况!B43</f>
        <v>0</v>
      </c>
      <c r="I66" s="1741">
        <f>SUMIF(修正!$A$45:$A$56,H66,修正!H45:H56)</f>
        <v>0</v>
      </c>
      <c r="J66" s="1744"/>
      <c r="K66" s="1742"/>
      <c r="L66" s="1743"/>
      <c r="M66" s="1743"/>
      <c r="N66" s="1743"/>
      <c r="O66" s="1743"/>
      <c r="P66" s="1743"/>
      <c r="Q66" s="1743"/>
      <c r="R66" s="1743"/>
      <c r="S66" s="1743"/>
      <c r="T66" s="1743"/>
      <c r="U66" s="1743"/>
      <c r="V66" s="1743"/>
      <c r="W66" s="1743"/>
      <c r="X66" s="1743"/>
      <c r="Y66" s="1743"/>
      <c r="Z66" s="1743"/>
      <c r="AA66" s="1743"/>
      <c r="AB66" s="1743"/>
      <c r="AC66" s="1743"/>
    </row>
    <row r="67" spans="1:29" s="1663" customFormat="1" ht="12.75">
      <c r="A67" s="1711" t="s">
        <v>960</v>
      </c>
      <c r="B67" s="1712" t="e">
        <f t="shared" si="17"/>
        <v>#DIV/0!</v>
      </c>
      <c r="C67" s="1471">
        <f t="shared" si="16"/>
        <v>0</v>
      </c>
      <c r="D67" s="1713">
        <v>0.25</v>
      </c>
      <c r="E67" s="1719">
        <f>'数据-汇总表'!E15</f>
        <v>0</v>
      </c>
      <c r="F67" s="2130" t="e">
        <f t="shared" si="15"/>
        <v>#DIV/0!</v>
      </c>
      <c r="G67" s="2135" t="s">
        <v>956</v>
      </c>
      <c r="H67" s="2136">
        <f>项目基本情况!C43</f>
        <v>0</v>
      </c>
      <c r="I67" s="1741">
        <f>SUMIF(修正!$A$45:$A$56,H67,修正!H45:H56)</f>
        <v>0</v>
      </c>
      <c r="J67" s="1744"/>
      <c r="K67" s="1742"/>
      <c r="L67" s="1743"/>
      <c r="M67" s="1743"/>
      <c r="N67" s="1743"/>
      <c r="O67" s="1743"/>
      <c r="P67" s="1743"/>
      <c r="Q67" s="1743"/>
      <c r="R67" s="1743"/>
      <c r="S67" s="1743"/>
      <c r="T67" s="1743"/>
      <c r="U67" s="1743"/>
      <c r="V67" s="1743"/>
      <c r="W67" s="1743"/>
      <c r="X67" s="1743"/>
      <c r="Y67" s="1743"/>
      <c r="Z67" s="1743"/>
      <c r="AA67" s="1743"/>
      <c r="AB67" s="1743"/>
      <c r="AC67" s="1743"/>
    </row>
    <row r="68" spans="1:29" s="1663" customFormat="1" ht="12.75">
      <c r="A68" s="1723" t="s">
        <v>961</v>
      </c>
      <c r="B68" s="1724" t="s">
        <v>962</v>
      </c>
      <c r="C68" s="1724" t="s">
        <v>962</v>
      </c>
      <c r="D68" s="1724" t="s">
        <v>962</v>
      </c>
      <c r="E68" s="1724">
        <f>IF(B48="楼面地价",SUM(E58:E67),'数据-汇总表'!D3)</f>
        <v>25406.38</v>
      </c>
      <c r="F68" s="1725" t="e">
        <f>IF(B48="楼面地价",SUM(F58:F67),ROUND(C50*E68/10000,0))</f>
        <v>#DIV/0!</v>
      </c>
      <c r="G68" s="1726"/>
      <c r="H68" s="1726"/>
      <c r="I68" s="1726"/>
      <c r="J68" s="1726"/>
      <c r="K68" s="1726"/>
      <c r="L68" s="1743"/>
      <c r="M68" s="1743"/>
      <c r="N68" s="1743"/>
      <c r="O68" s="1743"/>
      <c r="P68" s="1743"/>
      <c r="Q68" s="1743"/>
      <c r="R68" s="1743"/>
      <c r="S68" s="1743"/>
      <c r="T68" s="1743"/>
      <c r="U68" s="1743"/>
      <c r="V68" s="1743"/>
      <c r="W68" s="1743"/>
      <c r="X68" s="1743"/>
      <c r="Y68" s="1743"/>
      <c r="Z68" s="1743"/>
      <c r="AA68" s="1743"/>
      <c r="AB68" s="1743"/>
      <c r="AC68" s="1743"/>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1747" t="str">
        <f>YEAR(C9)&amp;"-"&amp;MONTH(C9)&amp;"-1"</f>
        <v>2021-10-1</v>
      </c>
      <c r="D70" s="1747">
        <f>EDATE(C70,-3)</f>
        <v>44378</v>
      </c>
      <c r="E70" s="1747">
        <f t="shared" ref="E70:N70" si="18">EDATE(D70,-3)</f>
        <v>44287</v>
      </c>
      <c r="F70" s="1747">
        <f t="shared" si="18"/>
        <v>44197</v>
      </c>
      <c r="G70" s="1747">
        <f t="shared" si="18"/>
        <v>44105</v>
      </c>
      <c r="H70" s="1747">
        <f t="shared" si="18"/>
        <v>44013</v>
      </c>
      <c r="I70" s="1747">
        <f t="shared" si="18"/>
        <v>43922</v>
      </c>
      <c r="J70" s="1747">
        <f t="shared" si="18"/>
        <v>43831</v>
      </c>
      <c r="K70" s="1747">
        <f t="shared" si="18"/>
        <v>43739</v>
      </c>
      <c r="L70" s="1747">
        <f t="shared" si="18"/>
        <v>43647</v>
      </c>
      <c r="M70" s="1747">
        <f t="shared" si="18"/>
        <v>43556</v>
      </c>
      <c r="N70" s="1747">
        <f t="shared" si="18"/>
        <v>43466</v>
      </c>
      <c r="O70" s="334"/>
      <c r="P70" s="334"/>
      <c r="Q70" s="334"/>
      <c r="R70" s="334"/>
      <c r="S70" s="334"/>
      <c r="T70" s="334"/>
      <c r="U70" s="334"/>
      <c r="V70" s="334"/>
      <c r="W70" s="334"/>
      <c r="X70" s="334"/>
      <c r="Y70" s="334"/>
      <c r="Z70" s="334"/>
      <c r="AA70" s="334"/>
      <c r="AB70" s="334"/>
      <c r="AC70" s="334"/>
    </row>
    <row r="71" spans="1:29" ht="21">
      <c r="A71" s="335" t="s">
        <v>963</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1748" t="s">
        <v>964</v>
      </c>
      <c r="B72" s="2137"/>
      <c r="C72" s="1749" t="str">
        <f>YEAR(C70)&amp;"-"&amp;ROUNDUP(MONTH(C70)/3,0)</f>
        <v>2021-4</v>
      </c>
      <c r="D72" s="1749" t="str">
        <f>YEAR(D70)&amp;"-"&amp;ROUNDUP(MONTH(D70)/3,0)</f>
        <v>2021-3</v>
      </c>
      <c r="E72" s="1749" t="str">
        <f t="shared" ref="E72:N72" si="19">YEAR(E70)&amp;"-"&amp;ROUNDUP(MONTH(E70)/3,0)</f>
        <v>2021-2</v>
      </c>
      <c r="F72" s="1749" t="str">
        <f t="shared" si="19"/>
        <v>2021-1</v>
      </c>
      <c r="G72" s="1749" t="str">
        <f t="shared" si="19"/>
        <v>2020-4</v>
      </c>
      <c r="H72" s="1749" t="str">
        <f t="shared" si="19"/>
        <v>2020-3</v>
      </c>
      <c r="I72" s="1749" t="str">
        <f t="shared" si="19"/>
        <v>2020-2</v>
      </c>
      <c r="J72" s="1749" t="str">
        <f t="shared" si="19"/>
        <v>2020-1</v>
      </c>
      <c r="K72" s="1749" t="str">
        <f t="shared" si="19"/>
        <v>2019-4</v>
      </c>
      <c r="L72" s="1749" t="str">
        <f t="shared" si="19"/>
        <v>2019-3</v>
      </c>
      <c r="M72" s="1749" t="str">
        <f t="shared" si="19"/>
        <v>2019-2</v>
      </c>
      <c r="N72" s="1749" t="str">
        <f t="shared" si="19"/>
        <v>2019-1</v>
      </c>
      <c r="O72" s="1759"/>
      <c r="P72" s="416"/>
      <c r="Q72" s="462"/>
      <c r="R72" s="462"/>
      <c r="S72" s="462"/>
      <c r="T72" s="462"/>
      <c r="U72" s="462"/>
      <c r="V72" s="462"/>
      <c r="W72" s="462"/>
      <c r="X72" s="462"/>
      <c r="Y72" s="462"/>
      <c r="Z72" s="462"/>
      <c r="AA72" s="462"/>
      <c r="AB72" s="462"/>
      <c r="AC72" s="462"/>
    </row>
    <row r="73" spans="1:29" s="193" customFormat="1" ht="27" customHeight="1">
      <c r="A73" s="2138" t="s">
        <v>965</v>
      </c>
      <c r="B73" s="1751" t="str">
        <f>"北京市平均增长率"&amp;TEXT(SUMIF(基准地价!N21:N25,A73,基准地价!P21:P25),"0.00%")</f>
        <v>北京市平均增长率1.66%</v>
      </c>
      <c r="C73" s="479">
        <v>100</v>
      </c>
      <c r="D73" s="482"/>
      <c r="E73" s="482"/>
      <c r="F73" s="482"/>
      <c r="G73" s="482"/>
      <c r="H73" s="482"/>
      <c r="I73" s="482"/>
      <c r="J73" s="482"/>
      <c r="K73" s="482"/>
      <c r="L73" s="482"/>
      <c r="M73" s="1760"/>
      <c r="N73" s="1761"/>
      <c r="O73" s="424"/>
      <c r="P73" s="419"/>
      <c r="Q73" s="463"/>
      <c r="R73" s="463"/>
      <c r="S73" s="463"/>
      <c r="T73" s="463"/>
      <c r="U73" s="463"/>
      <c r="V73" s="463"/>
      <c r="W73" s="463"/>
      <c r="X73" s="463"/>
      <c r="Y73" s="463"/>
      <c r="Z73" s="463"/>
      <c r="AA73" s="463"/>
      <c r="AB73" s="463"/>
      <c r="AC73" s="463"/>
    </row>
    <row r="74" spans="1:29" s="193" customFormat="1" ht="15" customHeight="1">
      <c r="A74" s="2139" t="s">
        <v>966</v>
      </c>
      <c r="B74" s="2140"/>
      <c r="C74" s="1752"/>
      <c r="D74" s="1753"/>
      <c r="E74" s="1753"/>
      <c r="F74" s="1753"/>
      <c r="G74" s="1753"/>
      <c r="H74" s="1753"/>
      <c r="I74" s="1753"/>
      <c r="J74" s="1753"/>
      <c r="K74" s="1753"/>
      <c r="L74" s="1753"/>
      <c r="M74" s="1753"/>
      <c r="N74" s="1753"/>
      <c r="O74" s="424"/>
      <c r="P74" s="419"/>
      <c r="Q74" s="419"/>
      <c r="R74" s="463"/>
      <c r="S74" s="463"/>
      <c r="T74" s="463"/>
      <c r="U74" s="463"/>
      <c r="V74" s="463"/>
      <c r="W74" s="463"/>
      <c r="X74" s="463"/>
      <c r="Y74" s="463"/>
      <c r="Z74" s="463"/>
      <c r="AA74" s="463"/>
      <c r="AB74" s="463"/>
      <c r="AC74" s="463"/>
    </row>
    <row r="75" spans="1:29" s="193" customFormat="1" ht="15">
      <c r="A75" s="351" t="s">
        <v>913</v>
      </c>
      <c r="B75" s="344"/>
      <c r="C75" s="352" t="s">
        <v>914</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967</v>
      </c>
      <c r="B77" s="355" t="s">
        <v>968</v>
      </c>
      <c r="C77" s="357"/>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969</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970</v>
      </c>
      <c r="C81" s="552" t="str">
        <f>C82&amp;"（含）"&amp;"-"&amp;D82</f>
        <v>（含）-</v>
      </c>
      <c r="D81" s="552" t="str">
        <f t="shared" ref="D81:L81" si="20">D82&amp;"（含）"&amp;"-"&amp;E82</f>
        <v>（含）-</v>
      </c>
      <c r="E81" s="552" t="str">
        <f t="shared" si="20"/>
        <v>（含）-</v>
      </c>
      <c r="F81" s="552" t="str">
        <f t="shared" si="20"/>
        <v>（含）-</v>
      </c>
      <c r="G81" s="552" t="str">
        <f t="shared" si="20"/>
        <v>（含）-</v>
      </c>
      <c r="H81" s="552" t="str">
        <f t="shared" si="20"/>
        <v>（含）-</v>
      </c>
      <c r="I81" s="552" t="str">
        <f t="shared" si="20"/>
        <v>（含）-</v>
      </c>
      <c r="J81" s="552" t="str">
        <f t="shared" si="20"/>
        <v>（含）-</v>
      </c>
      <c r="K81" s="552" t="str">
        <f t="shared" si="20"/>
        <v>（含）-</v>
      </c>
      <c r="L81" s="552" t="str">
        <f t="shared" si="20"/>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c r="D82" s="366"/>
      <c r="E82" s="366"/>
      <c r="F82" s="366"/>
      <c r="G82" s="366"/>
      <c r="H82" s="366"/>
      <c r="I82" s="366"/>
      <c r="J82" s="366"/>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100</v>
      </c>
      <c r="E83" s="364">
        <f t="shared" ref="E83:M83" si="21">IF($B$48="单位面积地价",D83+$K13,D83-$K13)</f>
        <v>100</v>
      </c>
      <c r="F83" s="364">
        <f t="shared" si="21"/>
        <v>100</v>
      </c>
      <c r="G83" s="364">
        <f t="shared" si="21"/>
        <v>100</v>
      </c>
      <c r="H83" s="364">
        <f t="shared" si="21"/>
        <v>100</v>
      </c>
      <c r="I83" s="364">
        <f t="shared" si="21"/>
        <v>100</v>
      </c>
      <c r="J83" s="364">
        <f t="shared" si="21"/>
        <v>100</v>
      </c>
      <c r="K83" s="364">
        <f t="shared" si="21"/>
        <v>100</v>
      </c>
      <c r="L83" s="364">
        <f t="shared" si="21"/>
        <v>100</v>
      </c>
      <c r="M83" s="364">
        <f t="shared" si="21"/>
        <v>100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1757"/>
      <c r="E84" s="2141"/>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971</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100</v>
      </c>
      <c r="E97" s="364">
        <f>D97-$K23</f>
        <v>100</v>
      </c>
      <c r="F97" s="364">
        <f>E97-$K23</f>
        <v>100</v>
      </c>
      <c r="G97" s="364">
        <f>F97-$K23</f>
        <v>100</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1766"/>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924</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100</v>
      </c>
      <c r="E101" s="364">
        <f>D101-$K27</f>
        <v>100</v>
      </c>
      <c r="F101" s="364">
        <f>E101-$K27</f>
        <v>100</v>
      </c>
      <c r="G101" s="364">
        <f>F101-$K27</f>
        <v>100</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1754"/>
      <c r="I102" s="1754"/>
      <c r="J102" s="1754"/>
      <c r="K102" s="1754"/>
      <c r="L102" s="1767"/>
      <c r="M102" s="1768"/>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100</v>
      </c>
      <c r="E103" s="364">
        <f>D103-$K29</f>
        <v>100</v>
      </c>
      <c r="F103" s="364">
        <f>E103-$K29</f>
        <v>100</v>
      </c>
      <c r="G103" s="364">
        <f>F103-$K29</f>
        <v>100</v>
      </c>
      <c r="H103" s="1755"/>
      <c r="I103" s="1755"/>
      <c r="J103" s="1755"/>
      <c r="K103" s="1755"/>
      <c r="L103" s="1755"/>
      <c r="M103" s="1769"/>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1754"/>
      <c r="I104" s="1754"/>
      <c r="J104" s="1754"/>
      <c r="K104" s="1754"/>
      <c r="L104" s="1754"/>
      <c r="M104" s="1768"/>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1770"/>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972</v>
      </c>
      <c r="D106" s="362" t="s">
        <v>973</v>
      </c>
      <c r="E106" s="362" t="s">
        <v>974</v>
      </c>
      <c r="F106" s="362" t="s">
        <v>975</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2">D107-$K33</f>
        <v>100</v>
      </c>
      <c r="F107" s="364">
        <f t="shared" si="22"/>
        <v>100</v>
      </c>
      <c r="G107" s="364">
        <f t="shared" si="22"/>
        <v>100</v>
      </c>
      <c r="H107" s="364">
        <f t="shared" si="22"/>
        <v>100</v>
      </c>
      <c r="I107" s="364">
        <f t="shared" si="22"/>
        <v>100</v>
      </c>
      <c r="J107" s="364">
        <f t="shared" si="22"/>
        <v>100</v>
      </c>
      <c r="K107" s="364">
        <f t="shared" si="22"/>
        <v>100</v>
      </c>
      <c r="L107" s="364">
        <f t="shared" si="22"/>
        <v>100</v>
      </c>
      <c r="M107" s="364">
        <f t="shared" si="22"/>
        <v>100</v>
      </c>
      <c r="N107" s="432"/>
      <c r="O107" s="432"/>
      <c r="P107" s="430"/>
      <c r="Q107" s="419"/>
      <c r="R107" s="334"/>
      <c r="S107" s="334"/>
      <c r="T107" s="334"/>
      <c r="U107" s="334"/>
      <c r="V107" s="334"/>
      <c r="W107" s="334"/>
      <c r="X107" s="334"/>
      <c r="Y107" s="334"/>
      <c r="Z107" s="334"/>
      <c r="AA107" s="334"/>
      <c r="AB107" s="334"/>
      <c r="AC107" s="334"/>
    </row>
    <row r="108" spans="1:29" ht="27">
      <c r="A108" s="358"/>
      <c r="B108" s="361" t="s">
        <v>925</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3">D109-$K34</f>
        <v>100</v>
      </c>
      <c r="F109" s="364">
        <f t="shared" si="23"/>
        <v>100</v>
      </c>
      <c r="G109" s="364">
        <f t="shared" si="23"/>
        <v>100</v>
      </c>
      <c r="H109" s="364">
        <f t="shared" si="23"/>
        <v>100</v>
      </c>
      <c r="I109" s="364">
        <f t="shared" si="23"/>
        <v>100</v>
      </c>
      <c r="J109" s="364">
        <f t="shared" si="23"/>
        <v>100</v>
      </c>
      <c r="K109" s="364">
        <f t="shared" si="23"/>
        <v>100</v>
      </c>
      <c r="L109" s="364">
        <f t="shared" si="23"/>
        <v>100</v>
      </c>
      <c r="M109" s="364">
        <f t="shared" si="23"/>
        <v>100</v>
      </c>
      <c r="N109" s="432"/>
      <c r="O109" s="432"/>
      <c r="P109" s="430"/>
      <c r="Q109" s="419"/>
      <c r="R109" s="334"/>
      <c r="S109" s="334"/>
      <c r="T109" s="334"/>
      <c r="U109" s="334"/>
      <c r="V109" s="334"/>
      <c r="W109" s="334"/>
      <c r="X109" s="334"/>
      <c r="Y109" s="334"/>
      <c r="Z109" s="334"/>
      <c r="AA109" s="334"/>
      <c r="AB109" s="334"/>
      <c r="AC109" s="334"/>
    </row>
    <row r="110" spans="1:29" ht="15">
      <c r="A110" s="358"/>
      <c r="B110" s="361" t="s">
        <v>926</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4">D111-$K36</f>
        <v>100</v>
      </c>
      <c r="F111" s="364">
        <f t="shared" si="24"/>
        <v>100</v>
      </c>
      <c r="G111" s="364">
        <f t="shared" si="24"/>
        <v>100</v>
      </c>
      <c r="H111" s="364">
        <f t="shared" si="24"/>
        <v>100</v>
      </c>
      <c r="I111" s="364">
        <f t="shared" si="24"/>
        <v>100</v>
      </c>
      <c r="J111" s="364">
        <f t="shared" si="24"/>
        <v>100</v>
      </c>
      <c r="K111" s="364">
        <f t="shared" si="24"/>
        <v>100</v>
      </c>
      <c r="L111" s="364">
        <f t="shared" si="24"/>
        <v>100</v>
      </c>
      <c r="M111" s="364">
        <f t="shared" si="24"/>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1678"/>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1756"/>
      <c r="E117" s="1756"/>
      <c r="F117" s="1756"/>
      <c r="G117" s="1756"/>
      <c r="H117" s="1756"/>
      <c r="I117" s="1756"/>
      <c r="J117" s="1756"/>
      <c r="K117" s="1756"/>
      <c r="L117" s="1756"/>
      <c r="M117" s="1771"/>
      <c r="N117" s="432"/>
      <c r="O117" s="432"/>
      <c r="P117" s="443"/>
      <c r="Q117" s="464"/>
      <c r="R117" s="465"/>
      <c r="S117" s="465"/>
      <c r="T117" s="465"/>
      <c r="U117" s="465"/>
      <c r="V117" s="465"/>
      <c r="W117" s="465"/>
      <c r="X117" s="465"/>
      <c r="Y117" s="465"/>
      <c r="Z117" s="465"/>
      <c r="AA117" s="465"/>
      <c r="AB117" s="465"/>
      <c r="AC117" s="465"/>
    </row>
    <row r="118" spans="1:29">
      <c r="A118" s="354" t="s">
        <v>976</v>
      </c>
      <c r="B118" s="355" t="s">
        <v>929</v>
      </c>
      <c r="C118" s="356" t="str">
        <f t="shared" ref="C118:L118" si="25">C119&amp;"(含)"&amp;"-"&amp;D119</f>
        <v>(含)-</v>
      </c>
      <c r="D118" s="356" t="str">
        <f t="shared" si="25"/>
        <v>(含)-</v>
      </c>
      <c r="E118" s="356" t="str">
        <f t="shared" si="25"/>
        <v>(含)-</v>
      </c>
      <c r="F118" s="356" t="str">
        <f t="shared" si="25"/>
        <v>(含)-</v>
      </c>
      <c r="G118" s="356" t="str">
        <f t="shared" si="25"/>
        <v>(含)-</v>
      </c>
      <c r="H118" s="356" t="str">
        <f t="shared" si="25"/>
        <v>(含)-</v>
      </c>
      <c r="I118" s="356" t="str">
        <f t="shared" si="25"/>
        <v>(含)-</v>
      </c>
      <c r="J118" s="1772" t="str">
        <f t="shared" si="25"/>
        <v>(含)-</v>
      </c>
      <c r="K118" s="1772" t="str">
        <f t="shared" si="25"/>
        <v>(含)-</v>
      </c>
      <c r="L118" s="1773" t="str">
        <f t="shared" si="25"/>
        <v>(含)-</v>
      </c>
      <c r="M118" s="1774"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c r="D119" s="482"/>
      <c r="E119" s="482"/>
      <c r="F119" s="482"/>
      <c r="G119" s="482"/>
      <c r="H119" s="482"/>
      <c r="I119" s="482"/>
      <c r="J119" s="2142"/>
      <c r="K119" s="2142"/>
      <c r="L119" s="2143"/>
      <c r="M119" s="2144"/>
      <c r="N119" s="429"/>
      <c r="O119" s="429"/>
      <c r="P119" s="430"/>
      <c r="Q119" s="419"/>
      <c r="R119" s="334"/>
      <c r="S119" s="334"/>
      <c r="T119" s="334"/>
      <c r="U119" s="334"/>
      <c r="V119" s="334"/>
      <c r="W119" s="334"/>
      <c r="X119" s="334"/>
      <c r="Y119" s="334"/>
      <c r="Z119" s="334"/>
      <c r="AA119" s="334"/>
      <c r="AB119" s="334"/>
      <c r="AC119" s="334"/>
    </row>
    <row r="120" spans="1:29" ht="15">
      <c r="A120" s="358"/>
      <c r="B120" s="363"/>
      <c r="C120" s="557"/>
      <c r="D120" s="561"/>
      <c r="E120" s="561"/>
      <c r="F120" s="561"/>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930</v>
      </c>
      <c r="C121" s="477"/>
      <c r="D121" s="477"/>
      <c r="E121" s="477"/>
      <c r="F121" s="477"/>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6">C122-$K41</f>
        <v>100</v>
      </c>
      <c r="E122" s="364">
        <f t="shared" si="26"/>
        <v>100</v>
      </c>
      <c r="F122" s="364">
        <f t="shared" si="26"/>
        <v>100</v>
      </c>
      <c r="G122" s="364">
        <f t="shared" si="26"/>
        <v>100</v>
      </c>
      <c r="H122" s="364">
        <f t="shared" si="26"/>
        <v>100</v>
      </c>
      <c r="I122" s="364">
        <f t="shared" si="26"/>
        <v>100</v>
      </c>
      <c r="J122" s="364">
        <f t="shared" si="26"/>
        <v>100</v>
      </c>
      <c r="K122" s="364">
        <f t="shared" si="26"/>
        <v>100</v>
      </c>
      <c r="L122" s="364">
        <f t="shared" si="26"/>
        <v>100</v>
      </c>
      <c r="M122" s="436">
        <f t="shared" si="26"/>
        <v>100</v>
      </c>
      <c r="N122" s="432"/>
      <c r="O122" s="432"/>
      <c r="P122" s="430"/>
      <c r="Q122" s="419"/>
      <c r="R122" s="334"/>
      <c r="S122" s="334"/>
      <c r="T122" s="334"/>
      <c r="U122" s="334"/>
      <c r="V122" s="334"/>
      <c r="W122" s="334"/>
      <c r="X122" s="334"/>
      <c r="Y122" s="334"/>
      <c r="Z122" s="334"/>
      <c r="AA122" s="334"/>
      <c r="AB122" s="334"/>
      <c r="AC122" s="334"/>
    </row>
    <row r="123" spans="1:29">
      <c r="A123" s="481"/>
      <c r="B123" s="361" t="s">
        <v>931</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7">C124-$K42</f>
        <v>100</v>
      </c>
      <c r="E124" s="364">
        <f t="shared" si="27"/>
        <v>100</v>
      </c>
      <c r="F124" s="364">
        <f t="shared" si="27"/>
        <v>100</v>
      </c>
      <c r="G124" s="364">
        <f t="shared" si="27"/>
        <v>100</v>
      </c>
      <c r="H124" s="364">
        <f t="shared" si="27"/>
        <v>100</v>
      </c>
      <c r="I124" s="364">
        <f t="shared" si="27"/>
        <v>100</v>
      </c>
      <c r="J124" s="364">
        <f t="shared" si="27"/>
        <v>100</v>
      </c>
      <c r="K124" s="364">
        <f t="shared" si="27"/>
        <v>100</v>
      </c>
      <c r="L124" s="364">
        <f t="shared" si="27"/>
        <v>100</v>
      </c>
      <c r="M124" s="436">
        <f t="shared" si="27"/>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932</v>
      </c>
      <c r="C125" s="1757"/>
      <c r="D125" s="1757"/>
      <c r="E125" s="1757"/>
      <c r="F125" s="1757"/>
      <c r="G125" s="1757"/>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8">D126-$K43</f>
        <v>100</v>
      </c>
      <c r="F126" s="364">
        <f t="shared" si="28"/>
        <v>100</v>
      </c>
      <c r="G126" s="364">
        <f t="shared" si="28"/>
        <v>100</v>
      </c>
      <c r="H126" s="364">
        <f t="shared" si="28"/>
        <v>100</v>
      </c>
      <c r="I126" s="364">
        <f t="shared" si="28"/>
        <v>100</v>
      </c>
      <c r="J126" s="364">
        <f t="shared" si="28"/>
        <v>100</v>
      </c>
      <c r="K126" s="364">
        <f t="shared" si="28"/>
        <v>100</v>
      </c>
      <c r="L126" s="364">
        <f t="shared" si="28"/>
        <v>100</v>
      </c>
      <c r="M126" s="436">
        <f t="shared" si="28"/>
        <v>100</v>
      </c>
      <c r="N126" s="442"/>
      <c r="O126" s="442"/>
      <c r="P126" s="443"/>
      <c r="Q126" s="464"/>
      <c r="R126" s="465"/>
      <c r="S126" s="465"/>
      <c r="T126" s="465"/>
      <c r="U126" s="465"/>
      <c r="V126" s="465"/>
      <c r="W126" s="465"/>
      <c r="X126" s="465"/>
      <c r="Y126" s="465"/>
      <c r="Z126" s="465"/>
      <c r="AA126" s="465"/>
      <c r="AB126" s="465"/>
      <c r="AC126" s="465"/>
    </row>
    <row r="127" spans="1:29">
      <c r="A127" s="481"/>
      <c r="B127" s="361" t="s">
        <v>933</v>
      </c>
      <c r="C127" s="369"/>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29">C128-$K44</f>
        <v>100</v>
      </c>
      <c r="E128" s="364">
        <f t="shared" si="29"/>
        <v>100</v>
      </c>
      <c r="F128" s="364">
        <f t="shared" si="29"/>
        <v>100</v>
      </c>
      <c r="G128" s="364">
        <f t="shared" si="29"/>
        <v>100</v>
      </c>
      <c r="H128" s="364">
        <f t="shared" si="29"/>
        <v>100</v>
      </c>
      <c r="I128" s="364">
        <f t="shared" si="29"/>
        <v>100</v>
      </c>
      <c r="J128" s="364">
        <f t="shared" si="29"/>
        <v>100</v>
      </c>
      <c r="K128" s="364">
        <f t="shared" si="29"/>
        <v>100</v>
      </c>
      <c r="L128" s="364">
        <f t="shared" si="29"/>
        <v>100</v>
      </c>
      <c r="M128" s="436">
        <f t="shared" si="29"/>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1758"/>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113" customFormat="1">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s="2113" customFormat="1">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s="2113" customFormat="1">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s="2113" customFormat="1">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s="2113" customFormat="1">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s="2113" customFormat="1">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s="2113" customFormat="1">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s="2113" customFormat="1">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s="2113" customFormat="1">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s="2113" customFormat="1">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s="2113" customFormat="1">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s="2113" customFormat="1">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s="2113" customFormat="1">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s="2113" customFormat="1">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s="2113" customFormat="1">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s="2113" customFormat="1">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s="2113" customFormat="1">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s="2113" customFormat="1">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s="2113" customFormat="1">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s="2113" customFormat="1">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s="2113" customFormat="1">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s="2113" customFormat="1">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s="2113" customFormat="1">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s="2113" customFormat="1">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s="2113" customFormat="1">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s="2113" customFormat="1">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s="2113" customFormat="1">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s="2113" customFormat="1">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s="2113" customFormat="1">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s="2113" customFormat="1">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s="2113" customFormat="1">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s="2113" customFormat="1">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s="2113" customFormat="1">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s="2113" customFormat="1">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s="2113" customFormat="1">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s="2113" customFormat="1">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s="2113" customFormat="1">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s="2113" customFormat="1">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s="2113" customFormat="1">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s="2113" customFormat="1">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s="2113" customFormat="1">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s="2113" customFormat="1">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s="2113" customFormat="1">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s="2113" customFormat="1">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s="2113" customFormat="1">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s="2113" customFormat="1">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s="2113" customFormat="1">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s="2113" customFormat="1">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s="2113" customFormat="1">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s="2113" customFormat="1">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s="2113" customFormat="1">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s="2113" customFormat="1">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s="2113" customFormat="1">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s="2113" customFormat="1">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s="2113" customFormat="1">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s="2113" customFormat="1">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s="2113" customFormat="1">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s="2113" customFormat="1">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s="2113" customFormat="1">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s="2113" customFormat="1">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s="2113" customFormat="1">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s="2113" customFormat="1">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s="2113" customFormat="1">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s="2113" customFormat="1">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s="2113" customFormat="1">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s="2113" customFormat="1">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s="2113" customFormat="1">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s="2113" customFormat="1">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s="2113" customFormat="1">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s="2113" customFormat="1">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s="2113" customFormat="1">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s="2113" customFormat="1">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s="2113" customFormat="1">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s="2113" customFormat="1">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s="2113" customFormat="1">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s="2113" customFormat="1">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s="2113" customFormat="1">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s="2113" customFormat="1">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s="2113" customFormat="1">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s="2113" customFormat="1">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s="2113" customFormat="1">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s="2113" customFormat="1">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s="2113" customFormat="1">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s="2113" customFormat="1">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s="2113" customFormat="1">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s="2113" customFormat="1">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s="2113" customFormat="1">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s="2113" customFormat="1">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s="2113" customFormat="1">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s="2113" customFormat="1">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s="2113" customFormat="1">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s="2113" customFormat="1">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s="2113" customFormat="1">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s="2113" customFormat="1">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s="2113" customFormat="1">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s="2113" customFormat="1">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s="2113" customFormat="1">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s="2113" customFormat="1">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s="2113" customFormat="1">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s="2113" customFormat="1">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s="2113" customFormat="1">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s="2113" customFormat="1">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s="2113" customFormat="1">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s="2113" customFormat="1">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s="2113" customFormat="1">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s="2113" customFormat="1">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s="2113" customFormat="1">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s="2113" customFormat="1">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s="2113" customFormat="1">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s="2113" customFormat="1">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s="2113" customFormat="1">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s="2113" customFormat="1">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s="2113" customFormat="1">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s="2113" customFormat="1">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s="2113" customFormat="1">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s="2113" customFormat="1">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s="2113" customFormat="1">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s="2113" customFormat="1">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s="2113" customFormat="1">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s="2113" customFormat="1">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s="2113" customFormat="1">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s="2113" customFormat="1">
      <c r="K256" s="2148"/>
      <c r="L256" s="2149"/>
    </row>
    <row r="257" spans="11:12" s="2113" customFormat="1">
      <c r="K257" s="2148"/>
      <c r="L257" s="2149"/>
    </row>
    <row r="258" spans="11:12" s="2113" customFormat="1">
      <c r="K258" s="2148"/>
      <c r="L258" s="2149"/>
    </row>
    <row r="259" spans="11:12" s="2113" customFormat="1">
      <c r="K259" s="2148"/>
      <c r="L259" s="2149"/>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AA6:AA8"/>
    <mergeCell ref="AB6:AB8"/>
    <mergeCell ref="AC6:AC8"/>
    <mergeCell ref="P6:Q8"/>
    <mergeCell ref="R6:S8"/>
    <mergeCell ref="T6:U8"/>
    <mergeCell ref="V6:W8"/>
    <mergeCell ref="Y6:Z8"/>
  </mergeCells>
  <phoneticPr fontId="231" type="noConversion"/>
  <conditionalFormatting sqref="F49">
    <cfRule type="expression" dxfId="173" priority="4">
      <formula>$D$49="简单平均"</formula>
    </cfRule>
  </conditionalFormatting>
  <conditionalFormatting sqref="H49">
    <cfRule type="expression" dxfId="172" priority="3">
      <formula>$D$49="简单平均"</formula>
    </cfRule>
  </conditionalFormatting>
  <conditionalFormatting sqref="J49">
    <cfRule type="expression" dxfId="171" priority="2">
      <formula>$D$49="简单平均"</formula>
    </cfRule>
  </conditionalFormatting>
  <conditionalFormatting sqref="E53">
    <cfRule type="expression" dxfId="170" priority="13" stopIfTrue="1">
      <formula>$F$53="超过30%"</formula>
    </cfRule>
  </conditionalFormatting>
  <conditionalFormatting sqref="G53">
    <cfRule type="expression" dxfId="169" priority="9" stopIfTrue="1">
      <formula>$H$55+$H$53="超过30%"</formula>
    </cfRule>
  </conditionalFormatting>
  <conditionalFormatting sqref="I53">
    <cfRule type="expression" dxfId="168" priority="7" stopIfTrue="1">
      <formula>$J$53="超过30%"</formula>
    </cfRule>
  </conditionalFormatting>
  <conditionalFormatting sqref="E54">
    <cfRule type="expression" dxfId="167" priority="11" stopIfTrue="1">
      <formula>$F$54="超过20%"</formula>
    </cfRule>
  </conditionalFormatting>
  <conditionalFormatting sqref="G54">
    <cfRule type="expression" dxfId="166" priority="8" stopIfTrue="1">
      <formula>$H$54="超过20%"</formula>
    </cfRule>
  </conditionalFormatting>
  <conditionalFormatting sqref="I54">
    <cfRule type="expression" dxfId="165" priority="6" stopIfTrue="1">
      <formula>$J$54="超过20%"</formula>
    </cfRule>
  </conditionalFormatting>
  <conditionalFormatting sqref="E55">
    <cfRule type="expression" dxfId="164" priority="10" stopIfTrue="1">
      <formula>$F$55="超过30%"</formula>
    </cfRule>
  </conditionalFormatting>
  <conditionalFormatting sqref="F55">
    <cfRule type="containsText" dxfId="163" priority="15" stopIfTrue="1" operator="containsText" text="超过">
      <formula>NOT(ISERROR(SEARCH("超过",F55)))</formula>
    </cfRule>
  </conditionalFormatting>
  <conditionalFormatting sqref="G55">
    <cfRule type="expression" dxfId="162" priority="12" stopIfTrue="1">
      <formula>$H$55="超过30%"</formula>
    </cfRule>
  </conditionalFormatting>
  <conditionalFormatting sqref="H55">
    <cfRule type="containsText" dxfId="161" priority="16" stopIfTrue="1" operator="containsText" text="超过">
      <formula>NOT(ISERROR(SEARCH("超过",H55)))</formula>
    </cfRule>
  </conditionalFormatting>
  <conditionalFormatting sqref="I55">
    <cfRule type="expression" dxfId="160" priority="5" stopIfTrue="1">
      <formula>$J$55="超过30%"</formula>
    </cfRule>
  </conditionalFormatting>
  <conditionalFormatting sqref="J55">
    <cfRule type="containsText" dxfId="159" priority="17" stopIfTrue="1" operator="containsText" text="超过">
      <formula>NOT(ISERROR(SEARCH("超过",J55)))</formula>
    </cfRule>
  </conditionalFormatting>
  <conditionalFormatting sqref="F9:F47 H9:H47 J9:J47">
    <cfRule type="cellIs" dxfId="158" priority="1" operator="notEqual">
      <formula>100</formula>
    </cfRule>
  </conditionalFormatting>
  <conditionalFormatting sqref="F53 H53 J53">
    <cfRule type="containsText" dxfId="157" priority="18" stopIfTrue="1" operator="containsText" text="超过">
      <formula>NOT(ISERROR(SEARCH("超过",F53)))</formula>
    </cfRule>
  </conditionalFormatting>
  <conditionalFormatting sqref="F54 H54 J54">
    <cfRule type="containsText" dxfId="156" priority="14" stopIfTrue="1" operator="containsText" text="超过">
      <formula>NOT(ISERROR(SEARCH("超过",F54)))</formula>
    </cfRule>
  </conditionalFormatting>
  <dataValidations count="25">
    <dataValidation type="list" allowBlank="1" showInputMessage="1" showErrorMessage="1" sqref="C18 E18 G18 I18" xr:uid="{00000000-0002-0000-1100-000000000000}">
      <formula1>居住社区成熟度</formula1>
    </dataValidation>
    <dataValidation type="list" allowBlank="1" showInputMessage="1" showErrorMessage="1" sqref="C10 E10 G10 I10" xr:uid="{00000000-0002-0000-1100-000001000000}">
      <formula1>套综交易情况</formula1>
    </dataValidation>
    <dataValidation type="list" allowBlank="1" showInputMessage="1" showErrorMessage="1" sqref="C11 E11 G11 I11" xr:uid="{00000000-0002-0000-1100-000002000000}">
      <formula1>套综用途</formula1>
    </dataValidation>
    <dataValidation type="list" allowBlank="1" showInputMessage="1" showErrorMessage="1" sqref="D49" xr:uid="{00000000-0002-0000-1100-000003000000}">
      <formula1>"简单平均,加权平均"</formula1>
    </dataValidation>
    <dataValidation type="list" allowBlank="1" showInputMessage="1" showErrorMessage="1" sqref="C20 E20 G20 I20" xr:uid="{00000000-0002-0000-1100-000004000000}">
      <formula1>商业繁华度</formula1>
    </dataValidation>
    <dataValidation type="list" allowBlank="1" showInputMessage="1" showErrorMessage="1" sqref="C22 E22 G22 I22" xr:uid="{00000000-0002-0000-1100-000005000000}">
      <formula1>办公集聚程度</formula1>
    </dataValidation>
    <dataValidation type="list" allowBlank="1" showInputMessage="1" showErrorMessage="1" sqref="C24 E24 G24 I24" xr:uid="{00000000-0002-0000-1100-000006000000}">
      <formula1>交通便捷度</formula1>
    </dataValidation>
    <dataValidation type="list" allowBlank="1" showInputMessage="1" showErrorMessage="1" sqref="G65" xr:uid="{00000000-0002-0000-1100-000007000000}">
      <formula1>"住宅,工业"</formula1>
    </dataValidation>
    <dataValidation type="list" allowBlank="1" showInputMessage="1" showErrorMessage="1" sqref="C26 E26 G26 I26" xr:uid="{00000000-0002-0000-1100-000008000000}">
      <formula1>区域土地利用方向</formula1>
    </dataValidation>
    <dataValidation type="list" allowBlank="1" showInputMessage="1" showErrorMessage="1" sqref="C35 E35 G35 I35" xr:uid="{00000000-0002-0000-1100-000009000000}">
      <formula1>套综道路等级</formula1>
    </dataValidation>
    <dataValidation type="list" allowBlank="1" showInputMessage="1" showErrorMessage="1" sqref="C27" xr:uid="{00000000-0002-0000-1100-00000A000000}">
      <formula1>住宅朝向</formula1>
    </dataValidation>
    <dataValidation type="list" allowBlank="1" showInputMessage="1" showErrorMessage="1" sqref="C28 E28 G28 I28" xr:uid="{00000000-0002-0000-1100-00000B000000}">
      <formula1>环境</formula1>
    </dataValidation>
    <dataValidation type="list" allowBlank="1" showInputMessage="1" showErrorMessage="1" sqref="B48" xr:uid="{00000000-0002-0000-1100-00000C000000}">
      <formula1>单价内涵</formula1>
    </dataValidation>
    <dataValidation type="list" allowBlank="1" showInputMessage="1" showErrorMessage="1" sqref="C30 E30 G30 I30" xr:uid="{00000000-0002-0000-1100-00000D000000}">
      <formula1>公共配套设施</formula1>
    </dataValidation>
    <dataValidation type="list" allowBlank="1" showInputMessage="1" showErrorMessage="1" sqref="C32 E32 G32 I32" xr:uid="{00000000-0002-0000-1100-00000E000000}">
      <formula1>基础设施水平</formula1>
    </dataValidation>
    <dataValidation type="list" allowBlank="1" showInputMessage="1" showErrorMessage="1" sqref="C33 E33 G33 I33" xr:uid="{00000000-0002-0000-1100-00000F000000}">
      <formula1>临街状况</formula1>
    </dataValidation>
    <dataValidation type="list" allowBlank="1" showInputMessage="1" showErrorMessage="1" sqref="C36 E36 G36 I36" xr:uid="{00000000-0002-0000-1100-000010000000}">
      <formula1>套综土地级别</formula1>
    </dataValidation>
    <dataValidation type="list" allowBlank="1" showInputMessage="1" showErrorMessage="1" sqref="C41 E41 G41 I41" xr:uid="{00000000-0002-0000-1100-000011000000}">
      <formula1>套综宗地形状</formula1>
    </dataValidation>
    <dataValidation type="list" allowBlank="1" showInputMessage="1" showErrorMessage="1" sqref="C42 E42 G42 I42" xr:uid="{00000000-0002-0000-1100-000012000000}">
      <formula1>套综临街宽度及深度</formula1>
    </dataValidation>
    <dataValidation type="list" allowBlank="1" showInputMessage="1" showErrorMessage="1" sqref="C43 E43 G43 I43" xr:uid="{00000000-0002-0000-1100-000013000000}">
      <formula1>套综宗地内开发程度</formula1>
    </dataValidation>
    <dataValidation type="list" allowBlank="1" showInputMessage="1" showErrorMessage="1" sqref="C44 E44 G44 I44" xr:uid="{00000000-0002-0000-1100-000014000000}">
      <formula1>套综工程地质条件</formula1>
    </dataValidation>
    <dataValidation type="list" allowBlank="1" showInputMessage="1" showErrorMessage="1" sqref="C57" xr:uid="{00000000-0002-0000-1100-000015000000}">
      <formula1>"北京市系数,其他省市系数"</formula1>
    </dataValidation>
    <dataValidation type="list" allowBlank="1" showInputMessage="1" showErrorMessage="1" sqref="G64" xr:uid="{00000000-0002-0000-1100-000016000000}">
      <formula1>"商业,办公,住宅,工业"</formula1>
    </dataValidation>
    <dataValidation type="list" allowBlank="1" showInputMessage="1" showErrorMessage="1" sqref="A73" xr:uid="{00000000-0002-0000-1100-000017000000}">
      <formula1>"综合,商业,办公,住宅"</formula1>
    </dataValidation>
    <dataValidation type="list" allowBlank="1" showInputMessage="1" showErrorMessage="1" sqref="D59:D67" xr:uid="{00000000-0002-0000-1100-000018000000}">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094E-972E-4BED-89E2-C2B9B2492FD8}">
  <sheetPr>
    <tabColor rgb="FFFF0000"/>
  </sheetPr>
  <dimension ref="A1:R89"/>
  <sheetViews>
    <sheetView tabSelected="1" topLeftCell="F1" zoomScale="80" zoomScaleNormal="80" workbookViewId="0">
      <selection activeCell="T35" sqref="T35"/>
    </sheetView>
  </sheetViews>
  <sheetFormatPr defaultColWidth="8.875" defaultRowHeight="13.5"/>
  <cols>
    <col min="1" max="1" width="13.25" style="3397" customWidth="1"/>
    <col min="2" max="2" width="17.125" style="3397" customWidth="1"/>
    <col min="3" max="3" width="10.875" style="3397" customWidth="1"/>
    <col min="4" max="4" width="14" style="3397" customWidth="1"/>
    <col min="5" max="5" width="14.75" style="3397" customWidth="1"/>
    <col min="6" max="6" width="12.25" style="3397" customWidth="1"/>
    <col min="7" max="7" width="17" style="3397" customWidth="1"/>
    <col min="8" max="8" width="14.5" style="3397" customWidth="1"/>
    <col min="9" max="9" width="14.75" style="3397" customWidth="1"/>
    <col min="10" max="10" width="16" style="3397" customWidth="1"/>
    <col min="11" max="11" width="11.375" style="3397" bestFit="1" customWidth="1"/>
    <col min="12" max="12" width="10.875" style="3397" customWidth="1"/>
    <col min="13" max="13" width="12.625" style="3397" bestFit="1" customWidth="1"/>
    <col min="14" max="14" width="14.125" style="3397" customWidth="1"/>
    <col min="15" max="15" width="13.125" style="3397" customWidth="1"/>
    <col min="16" max="16384" width="8.875" style="3397"/>
  </cols>
  <sheetData>
    <row r="1" spans="1:10" ht="28.5">
      <c r="A1" s="3395" t="s">
        <v>345</v>
      </c>
      <c r="B1" s="3395" t="s">
        <v>2753</v>
      </c>
      <c r="C1" s="3395" t="s">
        <v>1138</v>
      </c>
      <c r="D1" s="3395" t="s">
        <v>2754</v>
      </c>
      <c r="E1" s="3395" t="s">
        <v>2755</v>
      </c>
      <c r="F1" s="3395" t="s">
        <v>2756</v>
      </c>
      <c r="G1" s="3396" t="s">
        <v>2757</v>
      </c>
      <c r="H1" s="3396" t="s">
        <v>2758</v>
      </c>
      <c r="I1" s="3396" t="s">
        <v>2759</v>
      </c>
      <c r="J1" s="3396" t="s">
        <v>2759</v>
      </c>
    </row>
    <row r="2" spans="1:10" hidden="1">
      <c r="A2" s="3750" t="s">
        <v>2760</v>
      </c>
      <c r="B2" s="3398" t="s">
        <v>2414</v>
      </c>
      <c r="C2" s="3398">
        <f>'[1]基准地价 住宅-满年限'!C29</f>
        <v>19337</v>
      </c>
      <c r="D2" s="3398">
        <v>0.4</v>
      </c>
      <c r="E2" s="3765">
        <f>ROUND(C2*D2+C3*D3+C4*D4,0)</f>
        <v>32101</v>
      </c>
      <c r="F2" s="3768">
        <f>ROUND(E2*0.25,0)</f>
        <v>8025</v>
      </c>
      <c r="G2" s="3771"/>
      <c r="H2" s="3763">
        <f>[1]面积信息!G3</f>
        <v>619.73999999999978</v>
      </c>
      <c r="I2" s="3701">
        <f>G2*H2/10000</f>
        <v>0</v>
      </c>
    </row>
    <row r="3" spans="1:10" hidden="1">
      <c r="A3" s="3750"/>
      <c r="B3" s="3398" t="s">
        <v>2415</v>
      </c>
      <c r="C3" s="3398">
        <f>[1]剩余法住宅!B3</f>
        <v>40611</v>
      </c>
      <c r="D3" s="3398">
        <f>1-D2</f>
        <v>0.6</v>
      </c>
      <c r="E3" s="3766"/>
      <c r="F3" s="3769"/>
      <c r="G3" s="3771"/>
      <c r="H3" s="3763"/>
      <c r="I3" s="3701"/>
    </row>
    <row r="4" spans="1:10" hidden="1">
      <c r="A4" s="3750"/>
      <c r="B4" s="3398" t="s">
        <v>2761</v>
      </c>
      <c r="C4" s="3398"/>
      <c r="D4" s="3398">
        <v>0</v>
      </c>
      <c r="E4" s="3767"/>
      <c r="F4" s="3770"/>
      <c r="G4" s="3771"/>
      <c r="H4" s="3763"/>
      <c r="I4" s="3701"/>
    </row>
    <row r="5" spans="1:10" hidden="1">
      <c r="A5" s="3746" t="s">
        <v>2762</v>
      </c>
      <c r="B5" s="3746" t="s">
        <v>2414</v>
      </c>
      <c r="C5" s="3746">
        <f>'[1]基准地价（商业）-满年限'!C29</f>
        <v>14447</v>
      </c>
      <c r="D5" s="3764">
        <v>0.3</v>
      </c>
      <c r="E5" s="3757">
        <f>ROUND(C5*D5+C7*D7+C8*D8,0)</f>
        <v>17862</v>
      </c>
      <c r="F5" s="3760">
        <f>ROUND(E5*0.25,0)</f>
        <v>4466</v>
      </c>
      <c r="G5" s="3771"/>
      <c r="H5" s="3763"/>
      <c r="I5" s="3701"/>
    </row>
    <row r="6" spans="1:10" hidden="1">
      <c r="A6" s="3746"/>
      <c r="B6" s="3746"/>
      <c r="C6" s="3746"/>
      <c r="D6" s="3764"/>
      <c r="E6" s="3758"/>
      <c r="F6" s="3761"/>
      <c r="G6" s="3771"/>
      <c r="H6" s="3763"/>
      <c r="I6" s="3701"/>
    </row>
    <row r="7" spans="1:10" hidden="1">
      <c r="A7" s="3746"/>
      <c r="B7" s="3399" t="s">
        <v>2415</v>
      </c>
      <c r="C7" s="3399">
        <f>'[1]剩余法-待开发（商业）'!B3</f>
        <v>19835</v>
      </c>
      <c r="D7" s="3400">
        <v>0.3</v>
      </c>
      <c r="E7" s="3758"/>
      <c r="F7" s="3761"/>
      <c r="G7" s="3771"/>
      <c r="H7" s="3763"/>
      <c r="I7" s="3701"/>
    </row>
    <row r="8" spans="1:10" hidden="1">
      <c r="A8" s="3746"/>
      <c r="B8" s="3399" t="s">
        <v>2761</v>
      </c>
      <c r="C8" s="3399">
        <f>'[1]比较法-商业土地'!B3</f>
        <v>18943</v>
      </c>
      <c r="D8" s="3400">
        <v>0.4</v>
      </c>
      <c r="E8" s="3759"/>
      <c r="F8" s="3762"/>
      <c r="G8" s="3771"/>
      <c r="H8" s="3763"/>
      <c r="I8" s="3701"/>
    </row>
    <row r="9" spans="1:10" ht="13.5" customHeight="1">
      <c r="A9" s="3750" t="s">
        <v>2801</v>
      </c>
      <c r="B9" s="3398" t="s">
        <v>2414</v>
      </c>
      <c r="C9" s="3401">
        <f ca="1">基准地价!B3</f>
        <v>10608</v>
      </c>
      <c r="D9" s="3883">
        <v>0.3</v>
      </c>
      <c r="E9" s="3751">
        <f ca="1">ROUND(C9*D9+C10*D10+C11*D11,0)</f>
        <v>20242</v>
      </c>
      <c r="F9" s="3754">
        <f ca="1">ROUND(E9*0.25,0)</f>
        <v>5061</v>
      </c>
      <c r="G9" s="3699">
        <v>63500</v>
      </c>
      <c r="H9" s="3700">
        <f ca="1">ROUND(E9*G9/10000,4)</f>
        <v>128536.7</v>
      </c>
      <c r="I9" s="3700">
        <f ca="1">ROUND(F9*G9/10000,4)</f>
        <v>32137.35</v>
      </c>
      <c r="J9" s="3701"/>
    </row>
    <row r="10" spans="1:10" ht="13.5" customHeight="1">
      <c r="A10" s="3750"/>
      <c r="B10" s="3398" t="s">
        <v>2415</v>
      </c>
      <c r="C10" s="3401">
        <f ca="1">'剩余法-待开发'!B3</f>
        <v>24371</v>
      </c>
      <c r="D10" s="3883">
        <f>1-D9</f>
        <v>0.7</v>
      </c>
      <c r="E10" s="3752"/>
      <c r="F10" s="3755"/>
      <c r="G10" s="3699"/>
      <c r="H10" s="3700"/>
      <c r="I10" s="3700"/>
      <c r="J10" s="3701"/>
    </row>
    <row r="11" spans="1:10" ht="13.5" customHeight="1">
      <c r="A11" s="3750"/>
      <c r="B11" s="3398" t="s">
        <v>2761</v>
      </c>
      <c r="C11" s="3401"/>
      <c r="D11" s="3401">
        <v>0</v>
      </c>
      <c r="E11" s="3753"/>
      <c r="F11" s="3756"/>
      <c r="G11" s="3699"/>
      <c r="H11" s="3700"/>
      <c r="I11" s="3700"/>
      <c r="J11" s="3701"/>
    </row>
    <row r="12" spans="1:10" ht="14.45" customHeight="1">
      <c r="A12" s="3746"/>
      <c r="B12" s="3399"/>
      <c r="C12" s="3400"/>
      <c r="D12" s="3400"/>
      <c r="E12" s="3757"/>
      <c r="F12" s="3760"/>
      <c r="G12" s="3437"/>
      <c r="H12" s="3438"/>
      <c r="I12" s="3438"/>
    </row>
    <row r="13" spans="1:10" ht="13.5" customHeight="1">
      <c r="A13" s="3746"/>
      <c r="B13" s="3399"/>
      <c r="C13" s="3400"/>
      <c r="D13" s="3400"/>
      <c r="E13" s="3758"/>
      <c r="F13" s="3761"/>
      <c r="G13" s="3437"/>
      <c r="H13" s="3438"/>
      <c r="I13" s="3438"/>
    </row>
    <row r="14" spans="1:10" ht="13.5" customHeight="1">
      <c r="A14" s="3746"/>
      <c r="B14" s="3399"/>
      <c r="C14" s="3400"/>
      <c r="D14" s="3400"/>
      <c r="E14" s="3759"/>
      <c r="F14" s="3762"/>
      <c r="G14" s="3437"/>
      <c r="H14" s="3438"/>
      <c r="I14" s="3438"/>
    </row>
    <row r="15" spans="1:10" ht="18" hidden="1" customHeight="1">
      <c r="A15" s="3740"/>
      <c r="B15" s="3402"/>
      <c r="C15" s="3401"/>
      <c r="D15" s="3401"/>
      <c r="E15" s="3751"/>
      <c r="F15" s="3754"/>
      <c r="G15" s="3403" t="e">
        <f>#REF!</f>
        <v>#REF!</v>
      </c>
      <c r="H15" s="3397" t="e">
        <f>C15*$G$15</f>
        <v>#REF!</v>
      </c>
    </row>
    <row r="16" spans="1:10" ht="13.5" hidden="1" customHeight="1">
      <c r="A16" s="3741"/>
      <c r="B16" s="3402"/>
      <c r="C16" s="3401"/>
      <c r="D16" s="3401"/>
      <c r="E16" s="3752"/>
      <c r="F16" s="3755"/>
    </row>
    <row r="17" spans="1:10" ht="13.5" hidden="1" customHeight="1">
      <c r="A17" s="3742"/>
      <c r="B17" s="3402"/>
      <c r="C17" s="3401"/>
      <c r="D17" s="3401"/>
      <c r="E17" s="3753"/>
      <c r="F17" s="3756"/>
    </row>
    <row r="18" spans="1:10" ht="13.5" customHeight="1">
      <c r="A18" s="3750"/>
      <c r="B18" s="3398"/>
      <c r="C18" s="3401"/>
      <c r="D18" s="3401"/>
      <c r="E18" s="3751"/>
      <c r="F18" s="3754"/>
      <c r="H18" s="3738">
        <f>[1]面积信息!G9</f>
        <v>2152.12</v>
      </c>
      <c r="I18" s="3701">
        <f>ROUND(H18*E18/10000,4)</f>
        <v>0</v>
      </c>
      <c r="J18" s="3701">
        <f>ROUND(F18*H18/10000,4)</f>
        <v>0</v>
      </c>
    </row>
    <row r="19" spans="1:10">
      <c r="A19" s="3750"/>
      <c r="B19" s="3398"/>
      <c r="C19" s="3401"/>
      <c r="D19" s="3401"/>
      <c r="E19" s="3752"/>
      <c r="F19" s="3755"/>
      <c r="H19" s="3738"/>
      <c r="I19" s="3701"/>
      <c r="J19" s="3701"/>
    </row>
    <row r="20" spans="1:10">
      <c r="A20" s="3750"/>
      <c r="B20" s="3398"/>
      <c r="C20" s="3401"/>
      <c r="D20" s="3401"/>
      <c r="E20" s="3753"/>
      <c r="F20" s="3756"/>
      <c r="H20" s="3738"/>
      <c r="I20" s="3701"/>
      <c r="J20" s="3701"/>
    </row>
    <row r="21" spans="1:10" ht="13.5" hidden="1" customHeight="1">
      <c r="A21" s="3739"/>
      <c r="B21" s="3402"/>
      <c r="C21" s="3401"/>
      <c r="D21" s="3402"/>
      <c r="E21" s="3740"/>
      <c r="F21" s="3743"/>
      <c r="G21" s="3397" t="e">
        <f>#REF!</f>
        <v>#REF!</v>
      </c>
      <c r="H21" s="3397" t="e">
        <f>C21*$G$21</f>
        <v>#REF!</v>
      </c>
    </row>
    <row r="22" spans="1:10" ht="13.5" hidden="1" customHeight="1">
      <c r="A22" s="3739"/>
      <c r="B22" s="3402"/>
      <c r="C22" s="3401"/>
      <c r="D22" s="3402"/>
      <c r="E22" s="3741"/>
      <c r="F22" s="3744"/>
    </row>
    <row r="23" spans="1:10" hidden="1">
      <c r="A23" s="3739"/>
      <c r="B23" s="3402"/>
      <c r="C23" s="3401"/>
      <c r="D23" s="3402"/>
      <c r="E23" s="3742"/>
      <c r="F23" s="3745"/>
    </row>
    <row r="24" spans="1:10">
      <c r="A24" s="3746"/>
      <c r="B24" s="3399"/>
      <c r="C24" s="3400"/>
      <c r="D24" s="3399"/>
      <c r="E24" s="3747"/>
      <c r="F24" s="3747"/>
      <c r="G24" s="3397">
        <f>C24*4</f>
        <v>0</v>
      </c>
      <c r="H24" s="3738">
        <f>[1]面积信息!G8</f>
        <v>1002.43</v>
      </c>
      <c r="I24" s="3701">
        <f>ROUND(E24*H24/10000,4)</f>
        <v>0</v>
      </c>
      <c r="J24" s="3701">
        <f>ROUND(F24*H24/10000,4)</f>
        <v>0</v>
      </c>
    </row>
    <row r="25" spans="1:10">
      <c r="A25" s="3746"/>
      <c r="B25" s="3399"/>
      <c r="C25" s="3400"/>
      <c r="D25" s="3399"/>
      <c r="E25" s="3748"/>
      <c r="F25" s="3748"/>
      <c r="G25" s="3397">
        <f t="shared" ref="G25:G26" si="0">C25*4</f>
        <v>0</v>
      </c>
      <c r="H25" s="3701"/>
      <c r="I25" s="3701"/>
      <c r="J25" s="3701"/>
    </row>
    <row r="26" spans="1:10">
      <c r="A26" s="3746"/>
      <c r="B26" s="3399"/>
      <c r="C26" s="3400"/>
      <c r="D26" s="3399"/>
      <c r="E26" s="3749"/>
      <c r="F26" s="3749"/>
      <c r="G26" s="3397">
        <f t="shared" si="0"/>
        <v>0</v>
      </c>
      <c r="H26" s="3701"/>
      <c r="I26" s="3701"/>
      <c r="J26" s="3701"/>
    </row>
    <row r="27" spans="1:10" hidden="1">
      <c r="A27" s="3739" t="s">
        <v>2763</v>
      </c>
      <c r="B27" s="3402" t="s">
        <v>2414</v>
      </c>
      <c r="C27" s="3402">
        <f>'[1]基准地价 (办公)'!C29</f>
        <v>12224</v>
      </c>
      <c r="D27" s="3402">
        <v>0.3</v>
      </c>
      <c r="E27" s="3740">
        <f>ROUND(C27*D27+C28*D28+C29*D29,0)</f>
        <v>16922</v>
      </c>
      <c r="F27" s="3740">
        <f>ROUND(E27*0.25,0)</f>
        <v>4231</v>
      </c>
    </row>
    <row r="28" spans="1:10" hidden="1">
      <c r="A28" s="3739"/>
      <c r="B28" s="3402" t="s">
        <v>2415</v>
      </c>
      <c r="C28" s="3402">
        <f>'[1]剩余法-待开发 (办公)'!B3</f>
        <v>17547</v>
      </c>
      <c r="D28" s="3402">
        <v>0.3</v>
      </c>
      <c r="E28" s="3741"/>
      <c r="F28" s="3741"/>
    </row>
    <row r="29" spans="1:10" hidden="1">
      <c r="A29" s="3739"/>
      <c r="B29" s="3404" t="s">
        <v>2416</v>
      </c>
      <c r="C29" s="3402">
        <f>'[1]比较法-办公'!C49</f>
        <v>19977</v>
      </c>
      <c r="D29" s="3402">
        <v>0.4</v>
      </c>
      <c r="E29" s="3742"/>
      <c r="F29" s="3742"/>
    </row>
    <row r="30" spans="1:10" hidden="1">
      <c r="A30" s="3733" t="s">
        <v>2764</v>
      </c>
      <c r="B30" s="3405" t="s">
        <v>2414</v>
      </c>
      <c r="C30" s="3405" t="e">
        <f>ROUND((C12*$C$42+$C$44*C15)/$C$46,0)</f>
        <v>#DIV/0!</v>
      </c>
      <c r="D30" s="3405">
        <f>D12</f>
        <v>0</v>
      </c>
      <c r="E30" s="3734" t="e">
        <f t="shared" ref="E30" si="1">ROUND(C30*D30+C31*D31+C32*D32,0)</f>
        <v>#DIV/0!</v>
      </c>
      <c r="F30" s="3734" t="e">
        <f>ROUND(E30*0.25,0)</f>
        <v>#DIV/0!</v>
      </c>
    </row>
    <row r="31" spans="1:10" hidden="1">
      <c r="A31" s="3733"/>
      <c r="B31" s="3405" t="s">
        <v>2415</v>
      </c>
      <c r="C31" s="3405" t="e">
        <f>ROUND((C13*$C$42+$C$44*C16)/$C$46,0)</f>
        <v>#DIV/0!</v>
      </c>
      <c r="D31" s="3405">
        <f t="shared" ref="D31:D32" si="2">D13</f>
        <v>0</v>
      </c>
      <c r="E31" s="3735"/>
      <c r="F31" s="3735"/>
    </row>
    <row r="32" spans="1:10" hidden="1">
      <c r="A32" s="3733"/>
      <c r="B32" s="3405" t="s">
        <v>2416</v>
      </c>
      <c r="C32" s="3405" t="e">
        <f>ROUND((C14*$C$42+$C$44*C17)/$C$46,0)</f>
        <v>#DIV/0!</v>
      </c>
      <c r="D32" s="3405">
        <f t="shared" si="2"/>
        <v>0</v>
      </c>
      <c r="E32" s="3736"/>
      <c r="F32" s="3736"/>
    </row>
    <row r="34" spans="1:17" ht="19.5" thickBot="1">
      <c r="A34" s="3406" t="s">
        <v>2765</v>
      </c>
      <c r="I34" s="3737" t="s">
        <v>2766</v>
      </c>
      <c r="J34" s="3737"/>
      <c r="K34" s="3737"/>
      <c r="P34" s="3397">
        <v>25406.38</v>
      </c>
      <c r="Q34" s="3397">
        <v>63500</v>
      </c>
    </row>
    <row r="35" spans="1:17" ht="14.25" customHeight="1">
      <c r="A35" s="3726" t="s">
        <v>2767</v>
      </c>
      <c r="B35" s="3726" t="s">
        <v>345</v>
      </c>
      <c r="C35" s="3407" t="s">
        <v>2768</v>
      </c>
      <c r="D35" s="3407" t="s">
        <v>2769</v>
      </c>
      <c r="E35" s="3407" t="s">
        <v>2770</v>
      </c>
      <c r="F35" s="3731"/>
      <c r="G35" s="3397">
        <f>G24*D24+G25*D25+G26*D26</f>
        <v>0</v>
      </c>
      <c r="I35" s="3726" t="s">
        <v>2767</v>
      </c>
      <c r="J35" s="3726" t="s">
        <v>345</v>
      </c>
      <c r="K35" s="3407" t="s">
        <v>2768</v>
      </c>
      <c r="L35" s="3407" t="s">
        <v>2771</v>
      </c>
      <c r="M35" s="3407" t="s">
        <v>2772</v>
      </c>
      <c r="N35" s="3731">
        <f ca="1">E38</f>
        <v>128536.7</v>
      </c>
      <c r="O35" s="3397" t="s">
        <v>2802</v>
      </c>
    </row>
    <row r="36" spans="1:17" ht="17.25">
      <c r="A36" s="3727"/>
      <c r="B36" s="3727"/>
      <c r="C36" s="3408" t="s">
        <v>2773</v>
      </c>
      <c r="D36" s="3408" t="s">
        <v>1239</v>
      </c>
      <c r="E36" s="3408" t="s">
        <v>2774</v>
      </c>
      <c r="F36" s="3731"/>
      <c r="G36" s="3397">
        <f>E12*C38</f>
        <v>0</v>
      </c>
      <c r="I36" s="3727"/>
      <c r="J36" s="3727"/>
      <c r="K36" s="3408" t="s">
        <v>2773</v>
      </c>
      <c r="L36" s="3408" t="s">
        <v>2775</v>
      </c>
      <c r="M36" s="3408" t="s">
        <v>2774</v>
      </c>
      <c r="N36" s="3731"/>
      <c r="O36" s="3439">
        <f>1298854700/10000</f>
        <v>129885.47</v>
      </c>
      <c r="P36" s="3397">
        <f>ROUND(N51*10000,1)</f>
        <v>20454.400000000001</v>
      </c>
      <c r="Q36" s="3397">
        <f ca="1">P36+L38</f>
        <v>25515.4</v>
      </c>
    </row>
    <row r="37" spans="1:17" ht="18" thickBot="1">
      <c r="A37" s="3728"/>
      <c r="B37" s="3729"/>
      <c r="C37" s="3409" t="s">
        <v>2776</v>
      </c>
      <c r="D37" s="3409" t="s">
        <v>2775</v>
      </c>
      <c r="E37" s="3410"/>
      <c r="F37" s="3731"/>
      <c r="G37" s="3397">
        <f>E12*6.4</f>
        <v>0</v>
      </c>
      <c r="I37" s="3728"/>
      <c r="J37" s="3729"/>
      <c r="K37" s="3409" t="s">
        <v>2776</v>
      </c>
      <c r="L37" s="3410"/>
      <c r="M37" s="3410"/>
      <c r="N37" s="3731"/>
      <c r="O37" s="3397">
        <f ca="1">O36+M38</f>
        <v>162022.82</v>
      </c>
    </row>
    <row r="38" spans="1:17" ht="14.25" customHeight="1">
      <c r="A38" s="3724" t="s">
        <v>2661</v>
      </c>
      <c r="B38" s="3702" t="s">
        <v>2405</v>
      </c>
      <c r="C38" s="3714">
        <f>G9</f>
        <v>63500</v>
      </c>
      <c r="D38" s="3716">
        <f ca="1">E9</f>
        <v>20242</v>
      </c>
      <c r="E38" s="3716">
        <f ca="1">ROUND(C38*D38/10000,4)</f>
        <v>128536.7</v>
      </c>
      <c r="F38" s="3731"/>
      <c r="G38" s="3397">
        <f>F12*6.4</f>
        <v>0</v>
      </c>
      <c r="I38" s="3724" t="s">
        <v>2661</v>
      </c>
      <c r="J38" s="3702" t="str">
        <f>B38</f>
        <v>住宅</v>
      </c>
      <c r="K38" s="3716">
        <f>C38</f>
        <v>63500</v>
      </c>
      <c r="L38" s="3716">
        <f ca="1">F9</f>
        <v>5061</v>
      </c>
      <c r="M38" s="3718">
        <f ca="1">ROUND(K38*L38/10000,4)</f>
        <v>32137.35</v>
      </c>
      <c r="N38" s="3731"/>
    </row>
    <row r="39" spans="1:17" ht="15" customHeight="1" thickBot="1">
      <c r="A39" s="3703"/>
      <c r="B39" s="3703"/>
      <c r="C39" s="3732"/>
      <c r="D39" s="3715"/>
      <c r="E39" s="3715"/>
      <c r="F39" s="3731"/>
      <c r="I39" s="3703"/>
      <c r="J39" s="3703"/>
      <c r="K39" s="3715"/>
      <c r="L39" s="3715"/>
      <c r="M39" s="3719"/>
      <c r="N39" s="3731"/>
    </row>
    <row r="40" spans="1:17" ht="14.25" hidden="1" customHeight="1">
      <c r="A40" s="3702"/>
      <c r="B40" s="3411"/>
      <c r="C40" s="3714"/>
      <c r="D40" s="3716"/>
      <c r="E40" s="3718"/>
      <c r="F40" s="3413"/>
      <c r="G40" s="3397">
        <f>E12*C38</f>
        <v>0</v>
      </c>
      <c r="I40" s="3702"/>
      <c r="J40" s="3411"/>
      <c r="K40" s="3716"/>
      <c r="L40" s="3716"/>
      <c r="M40" s="3718"/>
      <c r="N40" s="3413"/>
    </row>
    <row r="41" spans="1:17" ht="15" hidden="1" thickBot="1">
      <c r="A41" s="3713"/>
      <c r="B41" s="3414"/>
      <c r="C41" s="3715"/>
      <c r="D41" s="3717"/>
      <c r="E41" s="3719"/>
      <c r="F41" s="3413"/>
      <c r="G41" s="3397">
        <f>F18*C40</f>
        <v>0</v>
      </c>
      <c r="I41" s="3713"/>
      <c r="J41" s="3414"/>
      <c r="K41" s="3715"/>
      <c r="L41" s="3715"/>
      <c r="M41" s="3719"/>
      <c r="N41" s="3413"/>
    </row>
    <row r="42" spans="1:17" ht="14.25" hidden="1" customHeight="1">
      <c r="A42" s="3713"/>
      <c r="B42" s="3411"/>
      <c r="C42" s="3714"/>
      <c r="D42" s="3730"/>
      <c r="E42" s="3718"/>
      <c r="F42" s="3413"/>
      <c r="G42" s="3397">
        <f>F24*C47</f>
        <v>0</v>
      </c>
      <c r="I42" s="3713"/>
      <c r="J42" s="3411"/>
      <c r="K42" s="3716"/>
      <c r="L42" s="3716"/>
      <c r="M42" s="3718"/>
      <c r="N42" s="3413"/>
    </row>
    <row r="43" spans="1:17" ht="15" hidden="1" customHeight="1" thickBot="1">
      <c r="A43" s="3713"/>
      <c r="B43" s="3414"/>
      <c r="C43" s="3717"/>
      <c r="D43" s="3717"/>
      <c r="E43" s="3719"/>
      <c r="F43" s="3413"/>
      <c r="I43" s="3713"/>
      <c r="J43" s="3414"/>
      <c r="K43" s="3717"/>
      <c r="L43" s="3715"/>
      <c r="M43" s="3719"/>
      <c r="N43" s="3413"/>
    </row>
    <row r="44" spans="1:17" ht="14.25" hidden="1" customHeight="1">
      <c r="A44" s="3713"/>
      <c r="B44" s="3411"/>
      <c r="C44" s="3720"/>
      <c r="D44" s="3730"/>
      <c r="E44" s="3718"/>
      <c r="F44" s="3731"/>
      <c r="I44" s="3713"/>
      <c r="J44" s="3411"/>
      <c r="K44" s="3730"/>
      <c r="L44" s="3716"/>
      <c r="M44" s="3718"/>
      <c r="N44" s="3731"/>
    </row>
    <row r="45" spans="1:17" ht="15" hidden="1" customHeight="1" thickBot="1">
      <c r="A45" s="3713"/>
      <c r="B45" s="3412"/>
      <c r="C45" s="3715"/>
      <c r="D45" s="3715"/>
      <c r="E45" s="3719"/>
      <c r="F45" s="3731"/>
      <c r="I45" s="3713"/>
      <c r="J45" s="3412"/>
      <c r="K45" s="3715"/>
      <c r="L45" s="3715"/>
      <c r="M45" s="3719"/>
      <c r="N45" s="3731"/>
    </row>
    <row r="46" spans="1:17" ht="16.5" hidden="1" thickBot="1">
      <c r="A46" s="3713"/>
      <c r="B46" s="3409"/>
      <c r="C46" s="3415"/>
      <c r="D46" s="3416"/>
      <c r="E46" s="3417"/>
      <c r="F46" s="3413"/>
      <c r="I46" s="3713"/>
      <c r="J46" s="3409"/>
      <c r="K46" s="3416"/>
      <c r="L46" s="3416"/>
      <c r="M46" s="3417"/>
      <c r="N46" s="3413"/>
    </row>
    <row r="47" spans="1:17" ht="15.75" hidden="1" thickBot="1">
      <c r="A47" s="3713"/>
      <c r="B47" s="3412"/>
      <c r="C47" s="3418"/>
      <c r="D47" s="3419"/>
      <c r="E47" s="3420"/>
      <c r="F47" s="3413"/>
      <c r="I47" s="3713"/>
      <c r="J47" s="3412"/>
      <c r="K47" s="3418"/>
      <c r="L47" s="3419"/>
      <c r="M47" s="3420"/>
      <c r="N47" s="3413"/>
    </row>
    <row r="48" spans="1:17" ht="15.75" hidden="1" thickBot="1">
      <c r="A48" s="3713"/>
      <c r="B48" s="3412"/>
      <c r="C48" s="3421"/>
      <c r="D48" s="3419"/>
      <c r="E48" s="3420"/>
      <c r="F48" s="3413"/>
      <c r="I48" s="3713"/>
      <c r="J48" s="3412"/>
      <c r="K48" s="3419"/>
      <c r="L48" s="3419"/>
      <c r="M48" s="3420"/>
      <c r="N48" s="3413"/>
    </row>
    <row r="49" spans="1:18" ht="16.5" hidden="1" thickBot="1">
      <c r="A49" s="3703"/>
      <c r="B49" s="3409"/>
      <c r="C49" s="3415"/>
      <c r="D49" s="3416"/>
      <c r="E49" s="3417"/>
      <c r="F49" s="3413"/>
      <c r="I49" s="3703"/>
      <c r="J49" s="3409"/>
      <c r="K49" s="3416"/>
      <c r="L49" s="3419"/>
      <c r="M49" s="3417"/>
      <c r="N49" s="3413"/>
    </row>
    <row r="50" spans="1:18" ht="16.5" hidden="1" thickBot="1">
      <c r="A50" s="3711"/>
      <c r="B50" s="3712"/>
      <c r="C50" s="3415"/>
      <c r="D50" s="3416"/>
      <c r="E50" s="3417"/>
      <c r="F50" s="3413"/>
      <c r="I50" s="3711"/>
      <c r="J50" s="3712"/>
      <c r="K50" s="3416"/>
      <c r="L50" s="3416"/>
      <c r="M50" s="3417"/>
      <c r="N50" s="3413"/>
    </row>
    <row r="51" spans="1:18">
      <c r="N51" s="3397">
        <f>O36/K38</f>
        <v>2.0454404724409447</v>
      </c>
      <c r="O51" s="3397">
        <f ca="1">'基准地价 (2)'!C29</f>
        <v>6222</v>
      </c>
      <c r="P51" s="3397">
        <f ca="1">O51*0.25</f>
        <v>1555.5</v>
      </c>
    </row>
    <row r="55" spans="1:18" ht="14.25" thickBot="1">
      <c r="H55" s="3397" t="s">
        <v>2778</v>
      </c>
    </row>
    <row r="56" spans="1:18" ht="28.5">
      <c r="A56" s="3726" t="s">
        <v>2767</v>
      </c>
      <c r="B56" s="3726" t="s">
        <v>345</v>
      </c>
      <c r="C56" s="3407" t="s">
        <v>2768</v>
      </c>
      <c r="D56" s="3407" t="s">
        <v>2769</v>
      </c>
      <c r="E56" s="3407" t="s">
        <v>2779</v>
      </c>
      <c r="F56" s="3407" t="s">
        <v>2780</v>
      </c>
      <c r="H56" s="3704" t="s">
        <v>2767</v>
      </c>
      <c r="I56" s="3704" t="s">
        <v>2781</v>
      </c>
      <c r="J56" s="3704" t="s">
        <v>345</v>
      </c>
      <c r="K56" s="3704" t="s">
        <v>2782</v>
      </c>
      <c r="L56" s="3704" t="s">
        <v>2783</v>
      </c>
      <c r="M56" s="3704" t="s">
        <v>2784</v>
      </c>
      <c r="N56" s="3422" t="s">
        <v>2770</v>
      </c>
      <c r="O56" s="3423" t="s">
        <v>2834</v>
      </c>
      <c r="P56" s="3397" t="s">
        <v>2835</v>
      </c>
      <c r="Q56" s="3397" t="s">
        <v>2836</v>
      </c>
    </row>
    <row r="57" spans="1:18" ht="17.25">
      <c r="A57" s="3727"/>
      <c r="B57" s="3727"/>
      <c r="C57" s="3408" t="s">
        <v>2773</v>
      </c>
      <c r="D57" s="3408" t="s">
        <v>1239</v>
      </c>
      <c r="E57" s="3408" t="s">
        <v>2775</v>
      </c>
      <c r="F57" s="3408" t="s">
        <v>2774</v>
      </c>
      <c r="H57" s="3704"/>
      <c r="I57" s="3704"/>
      <c r="J57" s="3704"/>
      <c r="K57" s="3704"/>
      <c r="L57" s="3704"/>
      <c r="M57" s="3704"/>
      <c r="N57" s="3422" t="s">
        <v>2785</v>
      </c>
      <c r="O57" s="3423">
        <f ca="1">E38</f>
        <v>128536.7</v>
      </c>
      <c r="P57" s="3397">
        <f ca="1">ROUND(O57*10000/P34,0)</f>
        <v>50592</v>
      </c>
      <c r="Q57" s="3397">
        <f ca="1">D38</f>
        <v>20242</v>
      </c>
    </row>
    <row r="58" spans="1:18" ht="18" thickBot="1">
      <c r="A58" s="3728"/>
      <c r="B58" s="3729"/>
      <c r="C58" s="3409" t="s">
        <v>2776</v>
      </c>
      <c r="D58" s="3409" t="s">
        <v>2775</v>
      </c>
      <c r="E58" s="3410"/>
      <c r="F58" s="3410"/>
      <c r="H58" s="3695" t="s">
        <v>2661</v>
      </c>
      <c r="I58" s="3709" t="s">
        <v>2786</v>
      </c>
      <c r="J58" s="3424" t="s">
        <v>2787</v>
      </c>
      <c r="K58" s="3425">
        <f>E12</f>
        <v>0</v>
      </c>
      <c r="L58" s="3705">
        <f ca="1">K58-K59</f>
        <v>-20242</v>
      </c>
      <c r="M58" s="3706">
        <f ca="1">H9</f>
        <v>128536.7</v>
      </c>
      <c r="N58" s="3723">
        <f ca="1">M58*L58/10000</f>
        <v>-260183.98814</v>
      </c>
      <c r="O58" s="3423" t="s">
        <v>2837</v>
      </c>
      <c r="P58" s="3397" t="s">
        <v>2835</v>
      </c>
      <c r="Q58" s="3397" t="s">
        <v>2836</v>
      </c>
    </row>
    <row r="59" spans="1:18" ht="14.25" customHeight="1">
      <c r="A59" s="3724" t="s">
        <v>2661</v>
      </c>
      <c r="B59" s="3411" t="s">
        <v>2403</v>
      </c>
      <c r="C59" s="3714">
        <f>C38</f>
        <v>63500</v>
      </c>
      <c r="D59" s="3716">
        <f ca="1">D38</f>
        <v>20242</v>
      </c>
      <c r="E59" s="3716" t="s">
        <v>2788</v>
      </c>
      <c r="F59" s="3718">
        <f ca="1">ROUND(C59*D59/10000,4)</f>
        <v>128536.7</v>
      </c>
      <c r="H59" s="3695"/>
      <c r="I59" s="3725"/>
      <c r="J59" s="3424" t="s">
        <v>2789</v>
      </c>
      <c r="K59" s="3425">
        <f ca="1">E9</f>
        <v>20242</v>
      </c>
      <c r="L59" s="3705"/>
      <c r="M59" s="3705"/>
      <c r="N59" s="3723"/>
      <c r="O59" s="3423">
        <f ca="1">M38</f>
        <v>32137.35</v>
      </c>
      <c r="P59" s="3397">
        <f ca="1">ROUND(O59*10000/P34,0)</f>
        <v>12649</v>
      </c>
      <c r="Q59" s="3397">
        <f ca="1">L38</f>
        <v>5061</v>
      </c>
    </row>
    <row r="60" spans="1:18" ht="15" customHeight="1" thickBot="1">
      <c r="A60" s="3703"/>
      <c r="B60" s="3412"/>
      <c r="C60" s="3715"/>
      <c r="D60" s="3715"/>
      <c r="E60" s="3715"/>
      <c r="F60" s="3719"/>
      <c r="H60" s="3695"/>
      <c r="I60" s="3707" t="s">
        <v>482</v>
      </c>
      <c r="J60" s="3707"/>
      <c r="K60" s="3707"/>
      <c r="L60" s="3707"/>
      <c r="M60" s="3426">
        <f ca="1">M58</f>
        <v>128536.7</v>
      </c>
      <c r="N60" s="3427">
        <f ca="1">N58</f>
        <v>-260183.98814</v>
      </c>
      <c r="O60" s="3423"/>
    </row>
    <row r="61" spans="1:18" ht="14.25" customHeight="1">
      <c r="A61" s="3702" t="s">
        <v>1351</v>
      </c>
      <c r="B61" s="3411">
        <f>B40</f>
        <v>0</v>
      </c>
      <c r="C61" s="3714">
        <f>C40</f>
        <v>0</v>
      </c>
      <c r="D61" s="3716" t="s">
        <v>2788</v>
      </c>
      <c r="E61" s="3716">
        <f>F18</f>
        <v>0</v>
      </c>
      <c r="F61" s="3718">
        <f>ROUND(C61*E61/10000,4)</f>
        <v>0</v>
      </c>
      <c r="H61" s="3695" t="s">
        <v>2790</v>
      </c>
      <c r="I61" s="3428" t="s">
        <v>2791</v>
      </c>
      <c r="J61" s="3422" t="s">
        <v>2777</v>
      </c>
      <c r="K61" s="3425">
        <f>E18</f>
        <v>0</v>
      </c>
      <c r="L61" s="3425" t="s">
        <v>2788</v>
      </c>
      <c r="M61" s="3429">
        <f>H18</f>
        <v>2152.12</v>
      </c>
      <c r="N61" s="3430">
        <f>I18</f>
        <v>0</v>
      </c>
      <c r="O61" s="3423" t="s">
        <v>2838</v>
      </c>
      <c r="P61" s="3397" t="s">
        <v>2839</v>
      </c>
    </row>
    <row r="62" spans="1:18" ht="27.75" thickBot="1">
      <c r="A62" s="3713"/>
      <c r="B62" s="3414"/>
      <c r="C62" s="3715"/>
      <c r="D62" s="3717"/>
      <c r="E62" s="3715"/>
      <c r="F62" s="3719"/>
      <c r="H62" s="3695"/>
      <c r="I62" s="3428" t="s">
        <v>2791</v>
      </c>
      <c r="J62" s="3422" t="s">
        <v>2792</v>
      </c>
      <c r="K62" s="3425">
        <f>E24</f>
        <v>0</v>
      </c>
      <c r="L62" s="3425" t="s">
        <v>2788</v>
      </c>
      <c r="M62" s="3429">
        <f>H24</f>
        <v>1002.43</v>
      </c>
      <c r="N62" s="3430">
        <f>I24</f>
        <v>0</v>
      </c>
      <c r="O62" s="3423">
        <f>O36</f>
        <v>129885.47</v>
      </c>
      <c r="P62" s="3397">
        <f>P36</f>
        <v>20454.400000000001</v>
      </c>
      <c r="Q62" s="3475">
        <f ca="1">Q59+P62</f>
        <v>25515.4</v>
      </c>
      <c r="R62" s="3397">
        <f ca="1">'基准地价 (2)'!C29</f>
        <v>6222</v>
      </c>
    </row>
    <row r="63" spans="1:18" ht="14.25" customHeight="1">
      <c r="A63" s="3713"/>
      <c r="B63" s="3411"/>
      <c r="C63" s="3714"/>
      <c r="D63" s="3716" t="s">
        <v>2788</v>
      </c>
      <c r="E63" s="3716">
        <f>L42</f>
        <v>0</v>
      </c>
      <c r="F63" s="3718">
        <f>ROUND(C63*E63/10000,4)</f>
        <v>0</v>
      </c>
      <c r="H63" s="3695"/>
      <c r="I63" s="3707" t="s">
        <v>482</v>
      </c>
      <c r="J63" s="3707"/>
      <c r="K63" s="3707"/>
      <c r="L63" s="3707"/>
      <c r="M63" s="3431">
        <f>M61+M62</f>
        <v>3154.5499999999997</v>
      </c>
      <c r="N63" s="3427">
        <f>N61+N62</f>
        <v>0</v>
      </c>
      <c r="O63" s="3423"/>
    </row>
    <row r="64" spans="1:18" ht="15" customHeight="1" thickBot="1">
      <c r="A64" s="3713"/>
      <c r="B64" s="3414"/>
      <c r="C64" s="3717"/>
      <c r="D64" s="3717"/>
      <c r="E64" s="3715"/>
      <c r="F64" s="3719"/>
      <c r="H64" s="3708" t="s">
        <v>2793</v>
      </c>
      <c r="I64" s="3708"/>
      <c r="J64" s="3708"/>
      <c r="K64" s="3708"/>
      <c r="L64" s="3708"/>
      <c r="M64" s="3432">
        <f ca="1">M60+M63</f>
        <v>131691.25</v>
      </c>
      <c r="N64" s="3433">
        <f ca="1">N60+N63</f>
        <v>-260183.98814</v>
      </c>
      <c r="O64" s="3423"/>
    </row>
    <row r="65" spans="1:15" ht="14.25" customHeight="1">
      <c r="A65" s="3713"/>
      <c r="B65" s="3411"/>
      <c r="C65" s="3720"/>
      <c r="D65" s="3716" t="s">
        <v>2788</v>
      </c>
      <c r="E65" s="3716">
        <f>L44</f>
        <v>0</v>
      </c>
      <c r="F65" s="3721">
        <f>ROUND(C65*E65/10000,4)</f>
        <v>0</v>
      </c>
      <c r="H65" s="3423"/>
      <c r="I65" s="3423"/>
      <c r="J65" s="3423"/>
      <c r="K65" s="3423"/>
      <c r="L65" s="3423"/>
      <c r="M65" s="3423"/>
      <c r="N65" s="3423"/>
      <c r="O65" s="3423"/>
    </row>
    <row r="66" spans="1:15" ht="15" customHeight="1" thickBot="1">
      <c r="A66" s="3713"/>
      <c r="B66" s="3412"/>
      <c r="C66" s="3715"/>
      <c r="D66" s="3717"/>
      <c r="E66" s="3715"/>
      <c r="F66" s="3722"/>
      <c r="H66" s="3423" t="s">
        <v>2666</v>
      </c>
      <c r="I66" s="3423"/>
      <c r="J66" s="3423"/>
      <c r="K66" s="3423"/>
      <c r="L66" s="3423"/>
      <c r="M66" s="3423"/>
      <c r="N66" s="3423"/>
      <c r="O66" s="3423"/>
    </row>
    <row r="67" spans="1:15" ht="27.75" thickBot="1">
      <c r="A67" s="3713"/>
      <c r="B67" s="3409"/>
      <c r="C67" s="3415"/>
      <c r="D67" s="3416" t="s">
        <v>2788</v>
      </c>
      <c r="E67" s="3416" t="s">
        <v>2788</v>
      </c>
      <c r="F67" s="3417">
        <f>F63+F65</f>
        <v>0</v>
      </c>
      <c r="H67" s="3704" t="s">
        <v>2767</v>
      </c>
      <c r="I67" s="3704" t="s">
        <v>2781</v>
      </c>
      <c r="J67" s="3704" t="s">
        <v>345</v>
      </c>
      <c r="K67" s="3704" t="s">
        <v>2794</v>
      </c>
      <c r="L67" s="3704" t="s">
        <v>2783</v>
      </c>
      <c r="M67" s="3704" t="s">
        <v>2784</v>
      </c>
      <c r="N67" s="3422" t="s">
        <v>2795</v>
      </c>
      <c r="O67" s="3423"/>
    </row>
    <row r="68" spans="1:15" ht="15.75" thickBot="1">
      <c r="A68" s="3713"/>
      <c r="B68" s="3412">
        <f>B47</f>
        <v>0</v>
      </c>
      <c r="C68" s="3418">
        <f>C47</f>
        <v>0</v>
      </c>
      <c r="D68" s="3419" t="s">
        <v>2788</v>
      </c>
      <c r="E68" s="3419">
        <f>F24</f>
        <v>0</v>
      </c>
      <c r="F68" s="3420">
        <f>ROUND(C68*E68/10000,4)</f>
        <v>0</v>
      </c>
      <c r="H68" s="3704"/>
      <c r="I68" s="3704"/>
      <c r="J68" s="3704"/>
      <c r="K68" s="3704"/>
      <c r="L68" s="3704"/>
      <c r="M68" s="3704"/>
      <c r="N68" s="3422" t="s">
        <v>2785</v>
      </c>
      <c r="O68" s="3423"/>
    </row>
    <row r="69" spans="1:15" ht="15.75" thickBot="1">
      <c r="A69" s="3713"/>
      <c r="B69" s="3412"/>
      <c r="C69" s="3421"/>
      <c r="D69" s="3419" t="s">
        <v>2788</v>
      </c>
      <c r="E69" s="3419">
        <f>L48</f>
        <v>0</v>
      </c>
      <c r="F69" s="3420">
        <f>ROUND(C69*E69/10000,4)</f>
        <v>0</v>
      </c>
      <c r="H69" s="3695" t="s">
        <v>2661</v>
      </c>
      <c r="I69" s="3709" t="s">
        <v>2786</v>
      </c>
      <c r="J69" s="3424" t="s">
        <v>2787</v>
      </c>
      <c r="K69" s="3425">
        <f>F12</f>
        <v>0</v>
      </c>
      <c r="L69" s="3705">
        <f ca="1">K69-K70</f>
        <v>-5061</v>
      </c>
      <c r="M69" s="3706">
        <f ca="1">M58</f>
        <v>128536.7</v>
      </c>
      <c r="N69" s="3705">
        <f ca="1">ROUND(L69*M69/10000,4)</f>
        <v>-65052.423900000002</v>
      </c>
      <c r="O69" s="3423"/>
    </row>
    <row r="70" spans="1:15" ht="16.5" thickBot="1">
      <c r="A70" s="3703"/>
      <c r="B70" s="3409" t="s">
        <v>482</v>
      </c>
      <c r="C70" s="3415">
        <f>C61+C67+C68+C69</f>
        <v>0</v>
      </c>
      <c r="D70" s="3416" t="s">
        <v>2319</v>
      </c>
      <c r="E70" s="3419" t="s">
        <v>2319</v>
      </c>
      <c r="F70" s="3434">
        <f>F61+F67+F68+F69</f>
        <v>0</v>
      </c>
      <c r="H70" s="3695"/>
      <c r="I70" s="3710"/>
      <c r="J70" s="3424" t="s">
        <v>2789</v>
      </c>
      <c r="K70" s="3425">
        <f ca="1">F9</f>
        <v>5061</v>
      </c>
      <c r="L70" s="3705"/>
      <c r="M70" s="3705"/>
      <c r="N70" s="3705"/>
      <c r="O70" s="3423"/>
    </row>
    <row r="71" spans="1:15" ht="16.5" thickBot="1">
      <c r="A71" s="3711" t="s">
        <v>479</v>
      </c>
      <c r="B71" s="3712"/>
      <c r="C71" s="3415">
        <f>C70+C59</f>
        <v>63500</v>
      </c>
      <c r="D71" s="3416" t="s">
        <v>2319</v>
      </c>
      <c r="E71" s="3416" t="s">
        <v>2319</v>
      </c>
      <c r="F71" s="3434">
        <f ca="1">F70+F59</f>
        <v>128536.7</v>
      </c>
      <c r="H71" s="3695"/>
      <c r="I71" s="3707" t="s">
        <v>482</v>
      </c>
      <c r="J71" s="3707"/>
      <c r="K71" s="3707"/>
      <c r="L71" s="3707"/>
      <c r="M71" s="3426">
        <f ca="1">M69</f>
        <v>128536.7</v>
      </c>
      <c r="N71" s="3435">
        <f ca="1">N69</f>
        <v>-65052.423900000002</v>
      </c>
      <c r="O71" s="3423"/>
    </row>
    <row r="72" spans="1:15" ht="14.25">
      <c r="H72" s="3695" t="s">
        <v>2790</v>
      </c>
      <c r="I72" s="3428" t="s">
        <v>2791</v>
      </c>
      <c r="J72" s="3422" t="s">
        <v>2777</v>
      </c>
      <c r="K72" s="3425">
        <f>F18</f>
        <v>0</v>
      </c>
      <c r="L72" s="3425" t="s">
        <v>2788</v>
      </c>
      <c r="M72" s="3429">
        <f>M61</f>
        <v>2152.12</v>
      </c>
      <c r="N72" s="3425">
        <f>ROUND(K72*M72/10000,4)</f>
        <v>0</v>
      </c>
      <c r="O72" s="3423"/>
    </row>
    <row r="73" spans="1:15" ht="27">
      <c r="H73" s="3695"/>
      <c r="I73" s="3428" t="s">
        <v>2791</v>
      </c>
      <c r="J73" s="3422" t="s">
        <v>2792</v>
      </c>
      <c r="K73" s="3425">
        <f>F24</f>
        <v>0</v>
      </c>
      <c r="L73" s="3425" t="s">
        <v>2788</v>
      </c>
      <c r="M73" s="3429">
        <f>M62</f>
        <v>1002.43</v>
      </c>
      <c r="N73" s="3425">
        <f>ROUND(K73*M73/10000,4)</f>
        <v>0</v>
      </c>
      <c r="O73" s="3423"/>
    </row>
    <row r="74" spans="1:15" ht="15">
      <c r="H74" s="3695"/>
      <c r="I74" s="3707" t="s">
        <v>482</v>
      </c>
      <c r="J74" s="3707"/>
      <c r="K74" s="3707"/>
      <c r="L74" s="3707"/>
      <c r="M74" s="3431">
        <f>M72+M73</f>
        <v>3154.5499999999997</v>
      </c>
      <c r="N74" s="3435">
        <f>N72+N73</f>
        <v>0</v>
      </c>
      <c r="O74" s="3423"/>
    </row>
    <row r="75" spans="1:15">
      <c r="H75" s="3708" t="s">
        <v>2793</v>
      </c>
      <c r="I75" s="3708"/>
      <c r="J75" s="3708"/>
      <c r="K75" s="3708"/>
      <c r="L75" s="3708"/>
      <c r="M75" s="3432">
        <f ca="1">M71+M74</f>
        <v>131691.25</v>
      </c>
      <c r="N75" s="3436">
        <f ca="1">N71+N74</f>
        <v>-65052.423900000002</v>
      </c>
      <c r="O75" s="3423"/>
    </row>
    <row r="76" spans="1:15">
      <c r="H76" s="3423"/>
      <c r="I76" s="3423"/>
      <c r="J76" s="3423"/>
      <c r="K76" s="3423"/>
      <c r="L76" s="3423"/>
      <c r="M76" s="3423"/>
      <c r="N76" s="3423"/>
      <c r="O76" s="3423"/>
    </row>
    <row r="77" spans="1:15">
      <c r="H77" s="3423"/>
      <c r="I77" s="3423"/>
      <c r="J77" s="3423"/>
      <c r="K77" s="3423"/>
      <c r="L77" s="3423"/>
      <c r="M77" s="3423"/>
      <c r="N77" s="3423"/>
      <c r="O77" s="3423"/>
    </row>
    <row r="78" spans="1:15">
      <c r="H78" s="3423" t="s">
        <v>2796</v>
      </c>
      <c r="I78" s="3423"/>
      <c r="J78" s="3423"/>
      <c r="K78" s="3423"/>
      <c r="L78" s="3423"/>
      <c r="M78" s="3423"/>
      <c r="N78" s="3423"/>
      <c r="O78" s="3423"/>
    </row>
    <row r="79" spans="1:15" ht="27" customHeight="1">
      <c r="H79" s="3704" t="s">
        <v>2767</v>
      </c>
      <c r="I79" s="3704" t="s">
        <v>2781</v>
      </c>
      <c r="J79" s="3704" t="s">
        <v>345</v>
      </c>
      <c r="K79" s="3704" t="s">
        <v>2782</v>
      </c>
      <c r="L79" s="3704" t="s">
        <v>2783</v>
      </c>
      <c r="M79" s="3704" t="s">
        <v>2797</v>
      </c>
      <c r="N79" s="3704" t="s">
        <v>2798</v>
      </c>
      <c r="O79" s="3422" t="s">
        <v>2780</v>
      </c>
    </row>
    <row r="80" spans="1:15">
      <c r="H80" s="3704"/>
      <c r="I80" s="3704"/>
      <c r="J80" s="3704"/>
      <c r="K80" s="3704"/>
      <c r="L80" s="3704"/>
      <c r="M80" s="3704"/>
      <c r="N80" s="3704"/>
      <c r="O80" s="3422" t="s">
        <v>2785</v>
      </c>
    </row>
    <row r="81" spans="8:15" ht="14.25">
      <c r="H81" s="3695" t="s">
        <v>2661</v>
      </c>
      <c r="I81" s="3428" t="s">
        <v>2799</v>
      </c>
      <c r="J81" s="3424" t="s">
        <v>2405</v>
      </c>
      <c r="K81" s="3425">
        <f>K58</f>
        <v>0</v>
      </c>
      <c r="L81" s="3705">
        <f ca="1">L58</f>
        <v>-20242</v>
      </c>
      <c r="M81" s="3706" t="s">
        <v>2788</v>
      </c>
      <c r="N81" s="3706">
        <f ca="1">M58</f>
        <v>128536.7</v>
      </c>
      <c r="O81" s="3690">
        <f ca="1">N58</f>
        <v>-260183.98814</v>
      </c>
    </row>
    <row r="82" spans="8:15" ht="14.25">
      <c r="H82" s="3695"/>
      <c r="I82" s="3428" t="s">
        <v>2800</v>
      </c>
      <c r="J82" s="3424" t="s">
        <v>369</v>
      </c>
      <c r="K82" s="3425">
        <f ca="1">K59</f>
        <v>20242</v>
      </c>
      <c r="L82" s="3705"/>
      <c r="M82" s="3705"/>
      <c r="N82" s="3705"/>
      <c r="O82" s="3691"/>
    </row>
    <row r="83" spans="8:15" ht="15">
      <c r="H83" s="3695"/>
      <c r="I83" s="3692" t="s">
        <v>482</v>
      </c>
      <c r="J83" s="3693"/>
      <c r="K83" s="3693"/>
      <c r="L83" s="3693"/>
      <c r="M83" s="3694"/>
      <c r="N83" s="3426">
        <f ca="1">N81</f>
        <v>128536.7</v>
      </c>
      <c r="O83" s="3427">
        <f ca="1">O81</f>
        <v>-260183.98814</v>
      </c>
    </row>
    <row r="84" spans="8:15" ht="14.25">
      <c r="H84" s="3695" t="s">
        <v>2790</v>
      </c>
      <c r="I84" s="3428" t="s">
        <v>2791</v>
      </c>
      <c r="J84" s="3422" t="s">
        <v>2777</v>
      </c>
      <c r="K84" s="3425" t="s">
        <v>2788</v>
      </c>
      <c r="L84" s="3425" t="s">
        <v>2788</v>
      </c>
      <c r="M84" s="3429">
        <f>F18</f>
        <v>0</v>
      </c>
      <c r="N84" s="3429">
        <f>M72</f>
        <v>2152.12</v>
      </c>
      <c r="O84" s="3430">
        <f>N72</f>
        <v>0</v>
      </c>
    </row>
    <row r="85" spans="8:15" ht="27">
      <c r="H85" s="3695"/>
      <c r="I85" s="3428" t="s">
        <v>2791</v>
      </c>
      <c r="J85" s="3422" t="s">
        <v>2792</v>
      </c>
      <c r="K85" s="3425" t="s">
        <v>2788</v>
      </c>
      <c r="L85" s="3425" t="s">
        <v>2788</v>
      </c>
      <c r="M85" s="3429">
        <f>F24</f>
        <v>0</v>
      </c>
      <c r="N85" s="3429">
        <f>M73</f>
        <v>1002.43</v>
      </c>
      <c r="O85" s="3430">
        <f>N73</f>
        <v>0</v>
      </c>
    </row>
    <row r="86" spans="8:15" ht="15">
      <c r="H86" s="3695"/>
      <c r="I86" s="3692" t="s">
        <v>482</v>
      </c>
      <c r="J86" s="3693"/>
      <c r="K86" s="3693"/>
      <c r="L86" s="3693"/>
      <c r="M86" s="3694"/>
      <c r="N86" s="3431">
        <f>N84+N85</f>
        <v>3154.5499999999997</v>
      </c>
      <c r="O86" s="3427">
        <f>O84+O85</f>
        <v>0</v>
      </c>
    </row>
    <row r="87" spans="8:15">
      <c r="H87" s="3696" t="s">
        <v>2793</v>
      </c>
      <c r="I87" s="3697"/>
      <c r="J87" s="3697"/>
      <c r="K87" s="3697"/>
      <c r="L87" s="3697"/>
      <c r="M87" s="3698"/>
      <c r="N87" s="3432">
        <f ca="1">N83+N86</f>
        <v>131691.25</v>
      </c>
      <c r="O87" s="3433">
        <f ca="1">O83+O86</f>
        <v>-260183.98814</v>
      </c>
    </row>
    <row r="88" spans="8:15">
      <c r="H88" s="3423"/>
      <c r="I88" s="3423"/>
      <c r="J88" s="3423"/>
      <c r="K88" s="3423"/>
      <c r="L88" s="3423"/>
      <c r="M88" s="3423"/>
      <c r="N88" s="3423"/>
      <c r="O88" s="3423"/>
    </row>
    <row r="89" spans="8:15">
      <c r="H89" s="3423"/>
      <c r="I89" s="3423"/>
      <c r="J89" s="3423"/>
      <c r="K89" s="3423"/>
      <c r="L89" s="3423"/>
      <c r="M89" s="3423"/>
      <c r="N89" s="3423"/>
      <c r="O89" s="3423"/>
    </row>
  </sheetData>
  <mergeCells count="156">
    <mergeCell ref="H2:H8"/>
    <mergeCell ref="I2:I8"/>
    <mergeCell ref="A5:A8"/>
    <mergeCell ref="B5:B6"/>
    <mergeCell ref="C5:C6"/>
    <mergeCell ref="D5:D6"/>
    <mergeCell ref="E5:E8"/>
    <mergeCell ref="F5:F8"/>
    <mergeCell ref="A9:A11"/>
    <mergeCell ref="E9:E11"/>
    <mergeCell ref="F9:F11"/>
    <mergeCell ref="A2:A4"/>
    <mergeCell ref="E2:E4"/>
    <mergeCell ref="F2:F4"/>
    <mergeCell ref="G2:G8"/>
    <mergeCell ref="A18:A20"/>
    <mergeCell ref="E18:E20"/>
    <mergeCell ref="F18:F20"/>
    <mergeCell ref="H18:H20"/>
    <mergeCell ref="I18:I20"/>
    <mergeCell ref="J18:J20"/>
    <mergeCell ref="A12:A14"/>
    <mergeCell ref="E12:E14"/>
    <mergeCell ref="F12:F14"/>
    <mergeCell ref="A15:A17"/>
    <mergeCell ref="E15:E17"/>
    <mergeCell ref="F15:F17"/>
    <mergeCell ref="H24:H26"/>
    <mergeCell ref="I24:I26"/>
    <mergeCell ref="J24:J26"/>
    <mergeCell ref="A27:A29"/>
    <mergeCell ref="E27:E29"/>
    <mergeCell ref="F27:F29"/>
    <mergeCell ref="A21:A23"/>
    <mergeCell ref="E21:E23"/>
    <mergeCell ref="F21:F23"/>
    <mergeCell ref="A24:A26"/>
    <mergeCell ref="E24:E26"/>
    <mergeCell ref="F24:F26"/>
    <mergeCell ref="A30:A32"/>
    <mergeCell ref="E30:E32"/>
    <mergeCell ref="F30:F32"/>
    <mergeCell ref="I34:K34"/>
    <mergeCell ref="A35:A37"/>
    <mergeCell ref="B35:B37"/>
    <mergeCell ref="F35:F37"/>
    <mergeCell ref="I35:I37"/>
    <mergeCell ref="J35:J37"/>
    <mergeCell ref="N35:N37"/>
    <mergeCell ref="A38:A39"/>
    <mergeCell ref="F38:F39"/>
    <mergeCell ref="I38:I39"/>
    <mergeCell ref="K38:K39"/>
    <mergeCell ref="L38:L39"/>
    <mergeCell ref="M38:M39"/>
    <mergeCell ref="N38:N39"/>
    <mergeCell ref="B38:B39"/>
    <mergeCell ref="C38:C39"/>
    <mergeCell ref="D38:D39"/>
    <mergeCell ref="E38:E39"/>
    <mergeCell ref="K44:K45"/>
    <mergeCell ref="L44:L45"/>
    <mergeCell ref="M44:M45"/>
    <mergeCell ref="N44:N45"/>
    <mergeCell ref="A50:B50"/>
    <mergeCell ref="I50:J50"/>
    <mergeCell ref="L40:L41"/>
    <mergeCell ref="M40:M41"/>
    <mergeCell ref="C42:C43"/>
    <mergeCell ref="D42:D43"/>
    <mergeCell ref="E42:E43"/>
    <mergeCell ref="K42:K43"/>
    <mergeCell ref="L42:L43"/>
    <mergeCell ref="M42:M43"/>
    <mergeCell ref="A40:A49"/>
    <mergeCell ref="C40:C41"/>
    <mergeCell ref="D40:D41"/>
    <mergeCell ref="E40:E41"/>
    <mergeCell ref="I40:I49"/>
    <mergeCell ref="K40:K41"/>
    <mergeCell ref="C44:C45"/>
    <mergeCell ref="D44:D45"/>
    <mergeCell ref="E44:E45"/>
    <mergeCell ref="F44:F45"/>
    <mergeCell ref="L56:L57"/>
    <mergeCell ref="M56:M57"/>
    <mergeCell ref="H58:H60"/>
    <mergeCell ref="I58:I59"/>
    <mergeCell ref="L58:L59"/>
    <mergeCell ref="M58:M59"/>
    <mergeCell ref="A56:A58"/>
    <mergeCell ref="B56:B58"/>
    <mergeCell ref="H56:H57"/>
    <mergeCell ref="I56:I57"/>
    <mergeCell ref="J56:J57"/>
    <mergeCell ref="K56:K57"/>
    <mergeCell ref="H61:H63"/>
    <mergeCell ref="C63:C64"/>
    <mergeCell ref="D63:D64"/>
    <mergeCell ref="E63:E64"/>
    <mergeCell ref="F63:F64"/>
    <mergeCell ref="N58:N59"/>
    <mergeCell ref="A59:A60"/>
    <mergeCell ref="C59:C60"/>
    <mergeCell ref="D59:D60"/>
    <mergeCell ref="E59:E60"/>
    <mergeCell ref="F59:F60"/>
    <mergeCell ref="I60:L60"/>
    <mergeCell ref="H69:H71"/>
    <mergeCell ref="I69:I70"/>
    <mergeCell ref="L69:L70"/>
    <mergeCell ref="M69:M70"/>
    <mergeCell ref="N69:N70"/>
    <mergeCell ref="A71:B71"/>
    <mergeCell ref="I71:L71"/>
    <mergeCell ref="A61:A70"/>
    <mergeCell ref="C61:C62"/>
    <mergeCell ref="D61:D62"/>
    <mergeCell ref="E61:E62"/>
    <mergeCell ref="F61:F62"/>
    <mergeCell ref="H67:H68"/>
    <mergeCell ref="I67:I68"/>
    <mergeCell ref="J67:J68"/>
    <mergeCell ref="K67:K68"/>
    <mergeCell ref="L67:L68"/>
    <mergeCell ref="M67:M68"/>
    <mergeCell ref="I63:L63"/>
    <mergeCell ref="H64:L64"/>
    <mergeCell ref="C65:C66"/>
    <mergeCell ref="D65:D66"/>
    <mergeCell ref="E65:E66"/>
    <mergeCell ref="F65:F66"/>
    <mergeCell ref="O81:O82"/>
    <mergeCell ref="I83:M83"/>
    <mergeCell ref="H84:H86"/>
    <mergeCell ref="I86:M86"/>
    <mergeCell ref="H87:M87"/>
    <mergeCell ref="G9:G11"/>
    <mergeCell ref="H9:H11"/>
    <mergeCell ref="I9:I11"/>
    <mergeCell ref="J9:J11"/>
    <mergeCell ref="J38:J39"/>
    <mergeCell ref="M79:M80"/>
    <mergeCell ref="N79:N80"/>
    <mergeCell ref="H81:H83"/>
    <mergeCell ref="L81:L82"/>
    <mergeCell ref="M81:M82"/>
    <mergeCell ref="N81:N82"/>
    <mergeCell ref="H72:H74"/>
    <mergeCell ref="I74:L74"/>
    <mergeCell ref="H75:L75"/>
    <mergeCell ref="H79:H80"/>
    <mergeCell ref="I79:I80"/>
    <mergeCell ref="J79:J80"/>
    <mergeCell ref="K79:K80"/>
    <mergeCell ref="L79:L80"/>
  </mergeCells>
  <phoneticPr fontId="23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E490"/>
  <sheetViews>
    <sheetView view="pageBreakPreview" topLeftCell="A11" zoomScaleNormal="80" zoomScaleSheetLayoutView="100" workbookViewId="0">
      <selection activeCell="C28" sqref="C28"/>
    </sheetView>
  </sheetViews>
  <sheetFormatPr defaultColWidth="6.625" defaultRowHeight="12.75"/>
  <cols>
    <col min="1" max="1" width="9.75" style="1784" customWidth="1"/>
    <col min="2" max="2" width="25.75" style="1785" customWidth="1"/>
    <col min="3" max="3" width="10.375" style="1786" customWidth="1"/>
    <col min="4" max="4" width="12" style="1785" customWidth="1"/>
    <col min="5" max="5" width="9.5" style="1784" customWidth="1"/>
    <col min="6" max="6" width="10.125" style="1785" customWidth="1"/>
    <col min="7" max="7" width="11.625" style="1785" customWidth="1"/>
    <col min="8" max="8" width="10" style="1785" customWidth="1"/>
    <col min="9" max="11" width="9.5" style="1785" customWidth="1"/>
    <col min="12" max="12" width="9" style="1777" customWidth="1"/>
    <col min="13" max="13" width="10.5" style="1777" customWidth="1"/>
    <col min="14" max="26" width="9" style="1777" customWidth="1"/>
    <col min="27" max="254" width="9" style="1785" customWidth="1"/>
    <col min="255" max="16384" width="6.625" style="1785"/>
  </cols>
  <sheetData>
    <row r="1" spans="1:31" s="155" customFormat="1" ht="20.25">
      <c r="A1" s="2027" t="s">
        <v>977</v>
      </c>
      <c r="B1" s="1787"/>
      <c r="C1" s="1788"/>
      <c r="D1" s="1788"/>
      <c r="E1" s="1788"/>
      <c r="F1" s="1788"/>
      <c r="G1" s="1788"/>
      <c r="H1" s="1788"/>
      <c r="I1" s="1788"/>
      <c r="J1" s="1788"/>
      <c r="K1" s="1918">
        <f>MATCH(B1,'数据-取费表'!A6:A16,0)+5</f>
        <v>7</v>
      </c>
      <c r="L1" s="1919"/>
      <c r="M1" s="1919"/>
      <c r="N1" s="1919"/>
      <c r="O1" s="1919"/>
      <c r="P1" s="1919"/>
      <c r="Q1" s="1919"/>
      <c r="R1" s="1919"/>
      <c r="S1" s="1919"/>
      <c r="T1" s="1919"/>
      <c r="U1" s="1919"/>
      <c r="V1" s="1919"/>
      <c r="W1" s="1919"/>
      <c r="X1" s="1919"/>
      <c r="Y1" s="1919"/>
      <c r="Z1" s="1919"/>
    </row>
    <row r="2" spans="1:31" s="155" customFormat="1" ht="18" customHeight="1">
      <c r="A2" s="2028" t="s">
        <v>893</v>
      </c>
      <c r="B2" s="2029">
        <f ca="1">C36</f>
        <v>154758</v>
      </c>
      <c r="C2" s="1788"/>
      <c r="D2" s="1788"/>
      <c r="E2" s="1788"/>
      <c r="F2" s="1788"/>
      <c r="G2" s="1788"/>
      <c r="H2" s="1788"/>
      <c r="I2" s="1788"/>
      <c r="J2" s="1788"/>
      <c r="K2" s="1788"/>
      <c r="L2" s="1919"/>
      <c r="M2" s="1919"/>
      <c r="N2" s="1919"/>
      <c r="O2" s="1919"/>
      <c r="P2" s="1919"/>
      <c r="Q2" s="1919"/>
      <c r="R2" s="1919"/>
      <c r="S2" s="1919"/>
      <c r="T2" s="1919"/>
      <c r="U2" s="1919"/>
      <c r="V2" s="1919"/>
      <c r="W2" s="1919"/>
      <c r="X2" s="1919"/>
      <c r="Y2" s="1919"/>
      <c r="Z2" s="1919"/>
    </row>
    <row r="3" spans="1:31" s="155" customFormat="1" ht="18" customHeight="1">
      <c r="A3" s="2030" t="s">
        <v>894</v>
      </c>
      <c r="B3" s="2031">
        <f ca="1">ROUND(B2*10000/IF(B1="",'数据-汇总表'!E3,INDIRECT("'数据-取费表'!K"&amp;$K$1)),0)</f>
        <v>24371</v>
      </c>
      <c r="C3" s="1788"/>
      <c r="D3" s="1788"/>
      <c r="E3" s="1788"/>
      <c r="F3" s="1788"/>
      <c r="G3" s="1788"/>
      <c r="H3" s="1788"/>
      <c r="I3" s="1788"/>
      <c r="J3" s="1788"/>
      <c r="K3" s="1788"/>
      <c r="L3" s="1919"/>
      <c r="M3" s="1919"/>
      <c r="N3" s="1919"/>
      <c r="O3" s="1919"/>
      <c r="P3" s="1919"/>
      <c r="Q3" s="1919"/>
      <c r="R3" s="1919"/>
      <c r="S3" s="1919"/>
      <c r="T3" s="1919"/>
      <c r="U3" s="1919"/>
      <c r="V3" s="1919"/>
      <c r="W3" s="1919"/>
      <c r="X3" s="1919"/>
      <c r="Y3" s="1919"/>
      <c r="Z3" s="1919"/>
    </row>
    <row r="4" spans="1:31" s="155" customFormat="1" ht="18" customHeight="1">
      <c r="A4" s="630" t="s">
        <v>978</v>
      </c>
      <c r="B4" s="631">
        <f ca="1">ROUND(B2*10000/IF(B1="",'数据-汇总表'!D3,INDIRECT("'数据-取费表'!R"&amp;$K$1)),0)</f>
        <v>60913</v>
      </c>
      <c r="C4" s="991"/>
      <c r="D4" s="1918"/>
      <c r="E4" s="1918"/>
      <c r="F4" s="1918"/>
      <c r="G4" s="1918"/>
      <c r="H4" s="1918"/>
      <c r="I4" s="1918"/>
      <c r="J4" s="1918"/>
      <c r="K4" s="1918"/>
      <c r="L4" s="1919"/>
      <c r="M4" s="1919"/>
      <c r="N4" s="1919"/>
      <c r="O4" s="1919"/>
      <c r="P4" s="1919"/>
      <c r="Q4" s="1919"/>
      <c r="R4" s="1919"/>
      <c r="S4" s="1919"/>
      <c r="T4" s="1919"/>
      <c r="U4" s="1919"/>
      <c r="V4" s="1919"/>
      <c r="W4" s="1919"/>
      <c r="X4" s="1919"/>
      <c r="Y4" s="1919"/>
      <c r="Z4" s="1919"/>
    </row>
    <row r="5" spans="1:31" s="155" customFormat="1" ht="18" customHeight="1">
      <c r="A5" s="633"/>
      <c r="B5" s="634">
        <f ca="1">ROUND(B2/(IF(B1="",'数据-汇总表'!D3,INDIRECT("'数据-取费表'!R"&amp;$K$1))/666.67),0)</f>
        <v>4061</v>
      </c>
      <c r="C5" s="635" t="s">
        <v>896</v>
      </c>
      <c r="D5" s="1918"/>
      <c r="E5" s="1918"/>
      <c r="F5" s="1918"/>
      <c r="G5" s="1918"/>
      <c r="H5" s="1918"/>
      <c r="I5" s="1918"/>
      <c r="J5" s="1918"/>
      <c r="K5" s="1918"/>
      <c r="L5" s="1919"/>
      <c r="M5" s="1919"/>
      <c r="N5" s="1919"/>
      <c r="O5" s="1919"/>
      <c r="P5" s="1919"/>
      <c r="Q5" s="1919"/>
      <c r="R5" s="1919"/>
      <c r="S5" s="1919"/>
      <c r="T5" s="1919"/>
      <c r="U5" s="1919"/>
      <c r="V5" s="1919"/>
      <c r="W5" s="1919"/>
      <c r="X5" s="1919"/>
      <c r="Y5" s="1919"/>
      <c r="Z5" s="1919"/>
    </row>
    <row r="6" spans="1:31" s="1775" customFormat="1" ht="16.5" customHeight="1">
      <c r="A6" s="2032" t="s">
        <v>979</v>
      </c>
      <c r="B6" s="2033"/>
      <c r="C6" s="2034">
        <f>SUM(C10:K10)</f>
        <v>275043.90000000002</v>
      </c>
      <c r="D6" s="2033"/>
      <c r="E6" s="2033"/>
      <c r="F6" s="2033"/>
      <c r="G6" s="2033"/>
      <c r="H6" s="2033"/>
      <c r="I6" s="2033"/>
      <c r="J6" s="2033"/>
      <c r="K6" s="2100"/>
      <c r="L6" s="1921"/>
      <c r="M6" s="1921"/>
      <c r="N6" s="1921"/>
      <c r="O6" s="1921"/>
      <c r="P6" s="1921"/>
      <c r="Q6" s="1921"/>
      <c r="R6" s="1921"/>
      <c r="S6" s="1921"/>
      <c r="T6" s="1921"/>
      <c r="U6" s="1921"/>
      <c r="V6" s="1921"/>
      <c r="W6" s="1921"/>
      <c r="X6" s="1921"/>
      <c r="Y6" s="1921"/>
      <c r="Z6" s="1921"/>
    </row>
    <row r="7" spans="1:31" s="1776" customFormat="1" ht="15">
      <c r="A7" s="2035" t="s">
        <v>980</v>
      </c>
      <c r="B7" s="2036" t="s">
        <v>981</v>
      </c>
      <c r="C7" s="1796" t="s">
        <v>368</v>
      </c>
      <c r="D7" s="1796"/>
      <c r="E7" s="1796"/>
      <c r="F7" s="1796"/>
      <c r="G7" s="1796"/>
      <c r="H7" s="1796"/>
      <c r="I7" s="1796"/>
      <c r="J7" s="1796"/>
      <c r="K7" s="1922"/>
      <c r="AA7" s="1944"/>
      <c r="AB7" s="1944"/>
      <c r="AC7" s="1944"/>
      <c r="AD7" s="1944"/>
      <c r="AE7" s="1944"/>
    </row>
    <row r="8" spans="1:31" s="1777" customFormat="1" ht="13.5" customHeight="1">
      <c r="A8" s="1000" t="s">
        <v>829</v>
      </c>
      <c r="B8" s="791" t="s">
        <v>982</v>
      </c>
      <c r="C8" s="2037">
        <f>'不动产比较法-住宅'!C49</f>
        <v>43314</v>
      </c>
      <c r="D8" s="2037"/>
      <c r="E8" s="2037"/>
      <c r="F8" s="2037"/>
      <c r="G8" s="2037"/>
      <c r="H8" s="2037"/>
      <c r="I8" s="2037"/>
      <c r="J8" s="2037"/>
      <c r="K8" s="2101"/>
      <c r="AA8" s="1785"/>
      <c r="AB8" s="1785"/>
      <c r="AC8" s="1785"/>
      <c r="AD8" s="1785"/>
      <c r="AE8" s="1785"/>
    </row>
    <row r="9" spans="1:31" s="1777" customFormat="1" ht="13.5" customHeight="1">
      <c r="A9" s="1000" t="s">
        <v>831</v>
      </c>
      <c r="B9" s="791" t="s">
        <v>440</v>
      </c>
      <c r="C9" s="1800">
        <f>SUMIF('数据-汇总表'!$C19:$C33,'剩余法-待开发'!C7,'数据-汇总表'!$E19:$E33)</f>
        <v>63500</v>
      </c>
      <c r="D9" s="1800">
        <f>SUMIF('数据-汇总表'!$C19:$C33,'剩余法-待开发'!D7,'数据-汇总表'!$E19:$E33)</f>
        <v>0</v>
      </c>
      <c r="E9" s="1800">
        <f>SUMIF('数据-汇总表'!$C19:$C33,'剩余法-待开发'!E7,'数据-汇总表'!$E19:$E33)</f>
        <v>0</v>
      </c>
      <c r="F9" s="1800">
        <f>SUMIF('数据-汇总表'!$C19:$C33,'剩余法-待开发'!F7,'数据-汇总表'!$E19:$E33)</f>
        <v>0</v>
      </c>
      <c r="G9" s="1800">
        <f>SUMIF('数据-汇总表'!$C19:$C33,'剩余法-待开发'!G7,'数据-汇总表'!$E19:$E33)</f>
        <v>0</v>
      </c>
      <c r="H9" s="1800">
        <f>SUMIF('数据-汇总表'!$C19:$C33,'剩余法-待开发'!H7,'数据-汇总表'!$E19:$E33)</f>
        <v>0</v>
      </c>
      <c r="I9" s="1800">
        <f>SUMIF('数据-汇总表'!$C19:$C33,'剩余法-待开发'!I7,'数据-汇总表'!$E19:$E33)</f>
        <v>0</v>
      </c>
      <c r="J9" s="1800">
        <f>SUMIF('数据-汇总表'!$C19:$C33,'剩余法-待开发'!J7,'数据-汇总表'!$E19:$E33)</f>
        <v>0</v>
      </c>
      <c r="K9" s="1924">
        <f>SUMIF('数据-汇总表'!$C19:$C33,'剩余法-待开发'!K7,'数据-汇总表'!$E19:$E33)</f>
        <v>0</v>
      </c>
      <c r="AA9" s="1785"/>
      <c r="AB9" s="1785"/>
      <c r="AC9" s="1785"/>
      <c r="AD9" s="1785"/>
      <c r="AE9" s="1785"/>
    </row>
    <row r="10" spans="1:31" s="1777" customFormat="1" ht="13.5" customHeight="1">
      <c r="A10" s="2038" t="s">
        <v>983</v>
      </c>
      <c r="B10" s="2039" t="s">
        <v>984</v>
      </c>
      <c r="C10" s="2040">
        <f>C8*C9/10000</f>
        <v>275043.90000000002</v>
      </c>
      <c r="D10" s="2040"/>
      <c r="E10" s="2040"/>
      <c r="F10" s="2041"/>
      <c r="G10" s="2041"/>
      <c r="H10" s="2041"/>
      <c r="I10" s="2041"/>
      <c r="J10" s="2041"/>
      <c r="K10" s="2102"/>
      <c r="AA10" s="1785"/>
      <c r="AB10" s="1785"/>
      <c r="AC10" s="1785"/>
      <c r="AD10" s="1785"/>
      <c r="AE10" s="1785"/>
    </row>
    <row r="11" spans="1:31" s="1775" customFormat="1" ht="16.5" customHeight="1">
      <c r="A11" s="2042" t="s">
        <v>985</v>
      </c>
      <c r="B11" s="2033"/>
      <c r="C11" s="2033"/>
      <c r="D11" s="2033"/>
      <c r="E11" s="2033"/>
      <c r="F11" s="2033"/>
      <c r="G11" s="2033"/>
      <c r="H11" s="2033"/>
      <c r="I11" s="2033"/>
      <c r="J11" s="2033"/>
      <c r="K11" s="2100"/>
      <c r="L11" s="1921"/>
      <c r="M11" s="1921"/>
      <c r="N11" s="1921"/>
      <c r="O11" s="1921"/>
      <c r="P11" s="1921"/>
      <c r="Q11" s="1921"/>
      <c r="R11" s="1921"/>
      <c r="S11" s="1921"/>
      <c r="T11" s="1921"/>
      <c r="U11" s="1921"/>
      <c r="V11" s="1921"/>
      <c r="W11" s="1921"/>
      <c r="X11" s="1921"/>
      <c r="Y11" s="1921"/>
      <c r="Z11" s="1921"/>
    </row>
    <row r="12" spans="1:31" s="843" customFormat="1" ht="13.5" customHeight="1">
      <c r="A12" s="2043" t="s">
        <v>980</v>
      </c>
      <c r="B12" s="2044" t="s">
        <v>981</v>
      </c>
      <c r="C12" s="2045" t="s">
        <v>986</v>
      </c>
      <c r="D12" s="2046" t="s">
        <v>987</v>
      </c>
      <c r="E12" s="2046" t="s">
        <v>988</v>
      </c>
      <c r="F12" s="2046" t="s">
        <v>989</v>
      </c>
      <c r="G12" s="2044"/>
      <c r="H12" s="2047"/>
      <c r="I12" s="2047"/>
      <c r="J12" s="2047"/>
      <c r="K12" s="2103"/>
      <c r="L12" s="1928"/>
      <c r="M12" s="1928"/>
      <c r="N12" s="1928"/>
      <c r="O12" s="1928"/>
      <c r="P12" s="1928"/>
      <c r="Q12" s="1928"/>
      <c r="R12" s="1928"/>
      <c r="S12" s="1928"/>
      <c r="T12" s="1928"/>
      <c r="U12" s="1928"/>
      <c r="V12" s="1928"/>
      <c r="W12" s="1928"/>
      <c r="X12" s="1928"/>
      <c r="Y12" s="1928"/>
      <c r="Z12" s="1928"/>
    </row>
    <row r="13" spans="1:31" s="1778" customFormat="1" ht="13.5" customHeight="1">
      <c r="A13" s="2048" t="s">
        <v>853</v>
      </c>
      <c r="B13" s="2049" t="s">
        <v>990</v>
      </c>
      <c r="C13" s="1813">
        <f ca="1">IF(B1="",'数据-取费表'!P16,INDIRECT("'数据-取费表'!p"&amp;$K$1)+INDIRECT("'数据-取费表'!t"&amp;$K$1))</f>
        <v>25400</v>
      </c>
      <c r="D13" s="2050"/>
      <c r="E13" s="2051"/>
      <c r="F13" s="2052"/>
      <c r="G13" s="2044"/>
      <c r="H13" s="2047"/>
      <c r="I13" s="2047"/>
      <c r="J13" s="2047"/>
      <c r="K13" s="2103"/>
      <c r="L13" s="1779"/>
      <c r="M13" s="1779"/>
      <c r="N13" s="1779"/>
      <c r="O13" s="1779"/>
      <c r="P13" s="1779"/>
      <c r="Q13" s="1779"/>
      <c r="R13" s="1779"/>
      <c r="S13" s="1779"/>
      <c r="T13" s="1779"/>
      <c r="U13" s="1779"/>
      <c r="V13" s="1779"/>
      <c r="W13" s="1779"/>
      <c r="X13" s="1779"/>
      <c r="Y13" s="1779"/>
      <c r="Z13" s="1779"/>
    </row>
    <row r="14" spans="1:31" s="1778" customFormat="1" ht="13.5" customHeight="1">
      <c r="A14" s="2048" t="s">
        <v>991</v>
      </c>
      <c r="B14" s="2049" t="s">
        <v>992</v>
      </c>
      <c r="C14" s="121">
        <f ca="1">ROUND(C13*F14,0)</f>
        <v>1016</v>
      </c>
      <c r="D14" s="2050"/>
      <c r="E14" s="2051"/>
      <c r="F14" s="2053">
        <f>'数据-取费表'!B33</f>
        <v>0.04</v>
      </c>
      <c r="G14" s="2044" t="s">
        <v>993</v>
      </c>
      <c r="H14" s="2047"/>
      <c r="I14" s="2047"/>
      <c r="J14" s="2047"/>
      <c r="K14" s="2103"/>
      <c r="L14" s="1779"/>
      <c r="M14" s="1779"/>
      <c r="N14" s="1779"/>
      <c r="O14" s="1779"/>
      <c r="P14" s="1779"/>
      <c r="Q14" s="1779"/>
      <c r="R14" s="1779"/>
      <c r="S14" s="1779"/>
      <c r="T14" s="1779"/>
      <c r="U14" s="1779"/>
      <c r="V14" s="1779"/>
      <c r="W14" s="1779"/>
      <c r="X14" s="1779"/>
      <c r="Y14" s="1779"/>
      <c r="Z14" s="1779"/>
    </row>
    <row r="15" spans="1:31" s="1778" customFormat="1" ht="13.5" customHeight="1">
      <c r="A15" s="2048" t="s">
        <v>994</v>
      </c>
      <c r="B15" s="2049" t="s">
        <v>995</v>
      </c>
      <c r="C15" s="121">
        <f ca="1">ROUND(IF(B1="",SUMIF('数据-取费表'!C:C,"住宅",'数据-取费表'!P:P)*F15,IF(INDIRECT("'数据-取费表'!c"&amp;$K$1)="住宅",INDIRECT("'数据-取费表'!P"&amp;$K$1)*F15,0)),0)</f>
        <v>2540</v>
      </c>
      <c r="D15" s="2050"/>
      <c r="E15" s="2051"/>
      <c r="F15" s="2053">
        <f>'数据-取费表'!B34</f>
        <v>0.1</v>
      </c>
      <c r="G15" s="2044" t="s">
        <v>996</v>
      </c>
      <c r="H15" s="2047"/>
      <c r="I15" s="2047"/>
      <c r="J15" s="2047"/>
      <c r="K15" s="2103"/>
      <c r="L15" s="1779"/>
      <c r="M15" s="1779"/>
      <c r="N15" s="1779"/>
      <c r="O15" s="1779"/>
      <c r="P15" s="1779"/>
      <c r="Q15" s="1779"/>
      <c r="R15" s="1779"/>
      <c r="S15" s="1779"/>
      <c r="T15" s="1779"/>
      <c r="U15" s="1779"/>
      <c r="V15" s="1779"/>
      <c r="W15" s="1779"/>
      <c r="X15" s="1779"/>
      <c r="Y15" s="1779"/>
      <c r="Z15" s="1779"/>
    </row>
    <row r="16" spans="1:31" s="1779" customFormat="1" ht="13.5" customHeight="1">
      <c r="A16" s="2048" t="s">
        <v>997</v>
      </c>
      <c r="B16" s="2049" t="s">
        <v>998</v>
      </c>
      <c r="C16" s="121">
        <f ca="1">ROUND(D16*E16/10000,0)</f>
        <v>1270</v>
      </c>
      <c r="D16" s="2050">
        <f ca="1">IF(B1="",'数据-汇总表'!E3,INDIRECT("'数据-取费表'!K"&amp;$K$1)+INDIRECT("'数据-取费表'!S"&amp;$K$1))</f>
        <v>63500</v>
      </c>
      <c r="E16" s="121">
        <f>'数据-取费表'!B35</f>
        <v>200</v>
      </c>
      <c r="F16" s="2053"/>
      <c r="G16" s="2044"/>
      <c r="H16" s="2047"/>
      <c r="I16" s="2047"/>
      <c r="J16" s="2047"/>
      <c r="K16" s="2103"/>
      <c r="AA16" s="1778"/>
      <c r="AB16" s="1778"/>
      <c r="AC16" s="1778"/>
      <c r="AD16" s="1778"/>
      <c r="AE16" s="1778"/>
    </row>
    <row r="17" spans="1:26" s="1778" customFormat="1" ht="13.5" customHeight="1">
      <c r="A17" s="2048" t="s">
        <v>999</v>
      </c>
      <c r="B17" s="2049" t="s">
        <v>1000</v>
      </c>
      <c r="C17" s="2054">
        <f ca="1">ROUND(C13*F17,0)</f>
        <v>381</v>
      </c>
      <c r="D17" s="2055"/>
      <c r="E17" s="2054"/>
      <c r="F17" s="2056">
        <f>'数据-取费表'!B36</f>
        <v>1.4999999999999999E-2</v>
      </c>
      <c r="G17" s="791" t="s">
        <v>1001</v>
      </c>
      <c r="H17" s="2057"/>
      <c r="I17" s="2057"/>
      <c r="J17" s="2057"/>
      <c r="K17" s="2104"/>
      <c r="L17" s="1779"/>
      <c r="M17" s="1779"/>
      <c r="N17" s="1779"/>
      <c r="O17" s="1779"/>
      <c r="P17" s="1779"/>
      <c r="Q17" s="1779"/>
      <c r="R17" s="1779"/>
      <c r="S17" s="1779"/>
      <c r="T17" s="1779"/>
      <c r="U17" s="1779"/>
      <c r="V17" s="1779"/>
      <c r="W17" s="1779"/>
      <c r="X17" s="1779"/>
      <c r="Y17" s="1779"/>
      <c r="Z17" s="1779"/>
    </row>
    <row r="18" spans="1:26" s="1778" customFormat="1" ht="13.5" customHeight="1">
      <c r="A18" s="2058" t="s">
        <v>1002</v>
      </c>
      <c r="B18" s="2059" t="s">
        <v>1003</v>
      </c>
      <c r="C18" s="2060">
        <f ca="1">SUM(C13:C17)</f>
        <v>30607</v>
      </c>
      <c r="D18" s="2061"/>
      <c r="E18" s="2062"/>
      <c r="F18" s="2062"/>
      <c r="G18" s="2063" t="s">
        <v>1004</v>
      </c>
      <c r="H18" s="2064"/>
      <c r="I18" s="2064"/>
      <c r="J18" s="2064"/>
      <c r="K18" s="2105"/>
      <c r="L18" s="1779"/>
      <c r="M18" s="1779"/>
      <c r="N18" s="1779"/>
      <c r="O18" s="1779"/>
      <c r="P18" s="1779"/>
      <c r="Q18" s="1779"/>
      <c r="R18" s="1779"/>
      <c r="S18" s="1779"/>
      <c r="T18" s="1779"/>
      <c r="U18" s="1779"/>
      <c r="V18" s="1779"/>
      <c r="W18" s="1779"/>
      <c r="X18" s="1779"/>
      <c r="Y18" s="1779"/>
      <c r="Z18" s="1779"/>
    </row>
    <row r="19" spans="1:26" s="1778" customFormat="1" ht="13.5" customHeight="1">
      <c r="A19" s="2058" t="s">
        <v>1005</v>
      </c>
      <c r="B19" s="2059" t="s">
        <v>1006</v>
      </c>
      <c r="C19" s="2046">
        <f ca="1">ROUND(D19*E19/10000,0)</f>
        <v>762</v>
      </c>
      <c r="D19" s="2065">
        <f ca="1">D16</f>
        <v>63500</v>
      </c>
      <c r="E19" s="2046">
        <f>'数据-取费表'!B32</f>
        <v>120</v>
      </c>
      <c r="F19" s="2062"/>
      <c r="G19" s="2044" t="s">
        <v>1007</v>
      </c>
      <c r="H19" s="2047"/>
      <c r="I19" s="2064"/>
      <c r="J19" s="2064"/>
      <c r="K19" s="2105"/>
      <c r="L19" s="1779"/>
      <c r="M19" s="1779"/>
      <c r="N19" s="1779"/>
      <c r="O19" s="1779"/>
      <c r="P19" s="1779"/>
      <c r="Q19" s="1779"/>
      <c r="R19" s="1779"/>
      <c r="S19" s="1779"/>
      <c r="T19" s="1779"/>
      <c r="U19" s="1779"/>
      <c r="V19" s="1779"/>
      <c r="W19" s="1779"/>
      <c r="X19" s="1779"/>
      <c r="Y19" s="1779"/>
      <c r="Z19" s="1779"/>
    </row>
    <row r="20" spans="1:26" s="1778" customFormat="1" ht="13.5" customHeight="1">
      <c r="A20" s="2058" t="s">
        <v>1008</v>
      </c>
      <c r="B20" s="2059" t="s">
        <v>1009</v>
      </c>
      <c r="C20" s="2046">
        <f ca="1">C21+C22-IF(B1="",'数据-取费表'!B29,IF(G20="已全部缴纳",C21+C22,H20))</f>
        <v>1016</v>
      </c>
      <c r="D20" s="2065"/>
      <c r="E20" s="2046"/>
      <c r="F20" s="2066"/>
      <c r="G20" s="2067" t="s">
        <v>2668</v>
      </c>
      <c r="H20" s="2068"/>
      <c r="I20" s="2106" t="s">
        <v>1010</v>
      </c>
      <c r="J20" s="2064"/>
      <c r="K20" s="2105"/>
      <c r="L20" s="1779"/>
      <c r="M20" s="1779"/>
      <c r="N20" s="1779"/>
      <c r="O20" s="1779"/>
      <c r="P20" s="1779"/>
      <c r="Q20" s="1779"/>
      <c r="R20" s="1779"/>
      <c r="S20" s="1779"/>
      <c r="T20" s="1779"/>
      <c r="U20" s="1779"/>
      <c r="V20" s="1779"/>
      <c r="W20" s="1779"/>
      <c r="X20" s="1779"/>
      <c r="Y20" s="1779"/>
      <c r="Z20" s="1779"/>
    </row>
    <row r="21" spans="1:26" s="1778" customFormat="1" ht="13.5" customHeight="1">
      <c r="A21" s="2048" t="s">
        <v>853</v>
      </c>
      <c r="B21" s="2049" t="s">
        <v>1011</v>
      </c>
      <c r="C21" s="121">
        <f ca="1">ROUND(D21*E21/10000,0)</f>
        <v>1016</v>
      </c>
      <c r="D21" s="2050">
        <f ca="1">IF(B1="",'数据-汇总表'!E5,IF(INDIRECT("'数据-取费表'!c"&amp;$K$1)="住宅",INDIRECT("'数据-取费表'!k"&amp;$K$1),0))</f>
        <v>63500</v>
      </c>
      <c r="E21" s="121">
        <f>'数据-取费表'!B27</f>
        <v>160</v>
      </c>
      <c r="F21" s="2053"/>
      <c r="G21" s="864"/>
      <c r="H21" s="2069"/>
      <c r="I21" s="2069"/>
      <c r="J21" s="2069"/>
      <c r="K21" s="2107"/>
      <c r="L21" s="1779"/>
      <c r="M21" s="1779"/>
      <c r="N21" s="1779"/>
      <c r="O21" s="1779"/>
      <c r="P21" s="1779"/>
      <c r="Q21" s="1779"/>
      <c r="R21" s="1779"/>
      <c r="S21" s="1779"/>
      <c r="T21" s="1779"/>
      <c r="U21" s="1779"/>
      <c r="V21" s="1779"/>
      <c r="W21" s="1779"/>
      <c r="X21" s="1779"/>
      <c r="Y21" s="1779"/>
      <c r="Z21" s="1779"/>
    </row>
    <row r="22" spans="1:26" s="1778" customFormat="1" ht="13.5" customHeight="1">
      <c r="A22" s="2048" t="s">
        <v>857</v>
      </c>
      <c r="B22" s="2049" t="s">
        <v>1012</v>
      </c>
      <c r="C22" s="121">
        <f ca="1">ROUND(D22*E22/10000,0)</f>
        <v>0</v>
      </c>
      <c r="D22" s="2050">
        <f ca="1">IF(B1="",'数据-汇总表'!E6,IF(INDIRECT("'数据-取费表'!c"&amp;$K$1)="住宅",INDIRECT("'数据-取费表'!s"&amp;$K$1),INDIRECT("'数据-取费表'!k"&amp;$K$1)+INDIRECT("'数据-取费表'!s"&amp;$K$1)))</f>
        <v>0</v>
      </c>
      <c r="E22" s="121">
        <f>'数据-取费表'!B28</f>
        <v>200</v>
      </c>
      <c r="F22" s="2053"/>
      <c r="G22" s="864"/>
      <c r="H22" s="2069"/>
      <c r="I22" s="2069"/>
      <c r="J22" s="2069"/>
      <c r="K22" s="2107"/>
      <c r="L22" s="1779"/>
      <c r="M22" s="1779"/>
      <c r="N22" s="1779"/>
      <c r="O22" s="1779"/>
      <c r="P22" s="1779"/>
      <c r="Q22" s="1779"/>
      <c r="R22" s="1779"/>
      <c r="S22" s="1779"/>
      <c r="T22" s="1779"/>
      <c r="U22" s="1779"/>
      <c r="V22" s="1779"/>
      <c r="W22" s="1779"/>
      <c r="X22" s="1779"/>
      <c r="Y22" s="1779"/>
      <c r="Z22" s="1779"/>
    </row>
    <row r="23" spans="1:26" s="1778" customFormat="1" ht="13.5" customHeight="1">
      <c r="A23" s="2058" t="s">
        <v>1013</v>
      </c>
      <c r="B23" s="2070" t="s">
        <v>1014</v>
      </c>
      <c r="C23" s="2060">
        <f ca="1">ROUND((C18+C19+C20)*F23,0)</f>
        <v>648</v>
      </c>
      <c r="D23" s="2062"/>
      <c r="E23" s="2062"/>
      <c r="F23" s="2071">
        <f>'数据-取费表'!B37</f>
        <v>0.02</v>
      </c>
      <c r="G23" s="2044" t="s">
        <v>1015</v>
      </c>
      <c r="H23" s="2047"/>
      <c r="I23" s="2047"/>
      <c r="J23" s="2047"/>
      <c r="K23" s="2103"/>
      <c r="L23" s="2108"/>
      <c r="M23" s="2108"/>
      <c r="N23" s="2108"/>
      <c r="O23" s="1779"/>
      <c r="P23" s="1779"/>
      <c r="Q23" s="1779"/>
      <c r="R23" s="1779"/>
      <c r="S23" s="1779"/>
      <c r="T23" s="1779"/>
      <c r="U23" s="1779"/>
      <c r="V23" s="1779"/>
      <c r="W23" s="1779"/>
      <c r="X23" s="1779"/>
      <c r="Y23" s="1779"/>
      <c r="Z23" s="1779"/>
    </row>
    <row r="24" spans="1:26" s="1778" customFormat="1" ht="13.5" customHeight="1">
      <c r="A24" s="2058" t="s">
        <v>1016</v>
      </c>
      <c r="B24" s="2070" t="s">
        <v>1017</v>
      </c>
      <c r="C24" s="2060">
        <f>ROUND(C6*F24,0)</f>
        <v>5501</v>
      </c>
      <c r="D24" s="2055"/>
      <c r="E24" s="1839"/>
      <c r="F24" s="2071">
        <f>'数据-取费表'!B38</f>
        <v>0.02</v>
      </c>
      <c r="G24" s="2072" t="s">
        <v>1018</v>
      </c>
      <c r="H24" s="2057"/>
      <c r="I24" s="2057"/>
      <c r="J24" s="2057"/>
      <c r="K24" s="2104"/>
      <c r="L24" s="2108"/>
      <c r="M24" s="2108"/>
      <c r="N24" s="2108"/>
      <c r="O24" s="1779"/>
      <c r="P24" s="1779"/>
      <c r="Q24" s="1779"/>
      <c r="R24" s="1779"/>
      <c r="S24" s="1779"/>
      <c r="T24" s="1779"/>
      <c r="U24" s="1779"/>
      <c r="V24" s="1779"/>
      <c r="W24" s="1779"/>
      <c r="X24" s="1779"/>
      <c r="Y24" s="1779"/>
      <c r="Z24" s="1779"/>
    </row>
    <row r="25" spans="1:26" s="1780" customFormat="1" ht="13.5" customHeight="1">
      <c r="A25" s="2058" t="s">
        <v>1019</v>
      </c>
      <c r="B25" s="2070" t="s">
        <v>1020</v>
      </c>
      <c r="C25" s="2073">
        <f>F25</f>
        <v>3.0499999999999999E-2</v>
      </c>
      <c r="D25" s="1825" t="s">
        <v>1021</v>
      </c>
      <c r="E25" s="1830"/>
      <c r="F25" s="2071">
        <f>'数据-取费表'!B48+'数据-取费表'!B49</f>
        <v>3.0499999999999999E-2</v>
      </c>
      <c r="G25" s="2074" t="s">
        <v>1022</v>
      </c>
      <c r="H25" s="2047"/>
      <c r="I25" s="2047"/>
      <c r="J25" s="2047"/>
      <c r="K25" s="2103"/>
      <c r="L25" s="1930"/>
      <c r="M25" s="1930"/>
      <c r="N25" s="1930"/>
      <c r="O25" s="1930"/>
      <c r="P25" s="1930"/>
      <c r="Q25" s="1930"/>
      <c r="R25" s="1930"/>
      <c r="S25" s="1930"/>
      <c r="T25" s="1930"/>
      <c r="U25" s="1930"/>
      <c r="V25" s="1930"/>
      <c r="W25" s="1930"/>
      <c r="X25" s="1930"/>
      <c r="Y25" s="1930"/>
      <c r="Z25" s="1930"/>
    </row>
    <row r="26" spans="1:26" s="2024" customFormat="1" ht="13.5" customHeight="1">
      <c r="A26" s="2058" t="s">
        <v>1023</v>
      </c>
      <c r="B26" s="2075" t="s">
        <v>1024</v>
      </c>
      <c r="C26" s="2076">
        <f ca="1">C28</f>
        <v>1365</v>
      </c>
      <c r="D26" s="2077">
        <f ca="1">C27</f>
        <v>7.4300000000000005E-2</v>
      </c>
      <c r="E26" s="1830" t="s">
        <v>1021</v>
      </c>
      <c r="F26" s="1835">
        <f ca="1">'数据-取费表'!B40</f>
        <v>4.7500000000000001E-2</v>
      </c>
      <c r="G26" s="795" t="str">
        <f>IF('数据-取费表'!B22&lt;=1,"单利计息。","复利计息。")&amp;"后续开发成本、管理费用及销售费用产生的利息。"</f>
        <v>复利计息。后续开发成本、管理费用及销售费用产生的利息。</v>
      </c>
      <c r="H26" s="2064"/>
      <c r="I26" s="2064"/>
      <c r="J26" s="2064"/>
      <c r="K26" s="2105"/>
      <c r="L26" s="2108"/>
      <c r="M26" s="2108"/>
      <c r="N26" s="2108"/>
      <c r="O26" s="2108"/>
      <c r="P26" s="2108"/>
      <c r="Q26" s="2108"/>
      <c r="R26" s="2108"/>
      <c r="S26" s="2108"/>
      <c r="T26" s="2108"/>
      <c r="U26" s="2108"/>
      <c r="V26" s="2108"/>
      <c r="W26" s="2108"/>
      <c r="X26" s="2108"/>
      <c r="Y26" s="2108"/>
      <c r="Z26" s="2108"/>
    </row>
    <row r="27" spans="1:26" s="1782" customFormat="1" ht="13.5" customHeight="1">
      <c r="A27" s="1000" t="s">
        <v>853</v>
      </c>
      <c r="B27" s="2078" t="s">
        <v>1025</v>
      </c>
      <c r="C27" s="2079">
        <f ca="1">ROUND(IF('数据-取费表'!B22&lt;=1,(1+C25)*F26*'数据-取费表'!B24,(1+C25)*(POWER((1+F26),'数据-取费表'!B24)-1)),4)</f>
        <v>7.4300000000000005E-2</v>
      </c>
      <c r="D27" s="1838"/>
      <c r="E27" s="1839"/>
      <c r="F27" s="1840"/>
      <c r="G27" s="795" t="str">
        <f>IF('数据-取费表'!B22&lt;=1,"（1+取得税费率/(1+5%)）×年利率×建设期","（1+取得税费率）/(1+5%)×((1+年利率)^建设期-1)")</f>
        <v>（1+取得税费率）/(1+5%)×((1+年利率)^建设期-1)</v>
      </c>
      <c r="H27" s="2057"/>
      <c r="I27" s="2057"/>
      <c r="J27" s="2057"/>
      <c r="K27" s="2104"/>
      <c r="L27" s="1934"/>
      <c r="M27" s="1934"/>
      <c r="N27" s="1934"/>
      <c r="O27" s="1934"/>
      <c r="P27" s="1934"/>
      <c r="Q27" s="1934"/>
      <c r="R27" s="1934"/>
      <c r="S27" s="1934"/>
      <c r="T27" s="1934"/>
      <c r="U27" s="1934"/>
      <c r="V27" s="1934"/>
      <c r="W27" s="1934"/>
      <c r="X27" s="1934"/>
      <c r="Y27" s="1934"/>
      <c r="Z27" s="1934"/>
    </row>
    <row r="28" spans="1:26" s="1782" customFormat="1" ht="13.5" customHeight="1">
      <c r="A28" s="1000" t="s">
        <v>857</v>
      </c>
      <c r="B28" s="2078" t="s">
        <v>1026</v>
      </c>
      <c r="C28" s="2080">
        <f ca="1">ROUND(IF('数据-取费表'!B22&lt;=1,(C18+C19+C20+C23+C24)*F26*'数据-取费表'!B24/2,(C18+C19+C20+C23+C24)*(POWER((1+F26),'数据-取费表'!B24/2)-1)),0)</f>
        <v>1365</v>
      </c>
      <c r="D28" s="1838"/>
      <c r="E28" s="1839"/>
      <c r="F28" s="1840"/>
      <c r="G28" s="795" t="str">
        <f>IF('数据-取费表'!B22&lt;=1,"（1）-（4）项×年利率×建设期÷2","（1）-（4）项×((1+年利率)^(建设期÷2)-1)")</f>
        <v>（1）-（4）项×((1+年利率)^(建设期÷2)-1)</v>
      </c>
      <c r="H28" s="2057"/>
      <c r="I28" s="2057"/>
      <c r="J28" s="2057"/>
      <c r="K28" s="2104"/>
      <c r="L28" s="1934"/>
      <c r="M28" s="1934"/>
      <c r="N28" s="1934"/>
      <c r="O28" s="1934"/>
      <c r="P28" s="1934"/>
      <c r="Q28" s="1934"/>
      <c r="R28" s="1934"/>
      <c r="S28" s="1934"/>
      <c r="T28" s="1934"/>
      <c r="U28" s="1934"/>
      <c r="V28" s="1934"/>
      <c r="W28" s="1934"/>
      <c r="X28" s="1934"/>
      <c r="Y28" s="1934"/>
      <c r="Z28" s="1934"/>
    </row>
    <row r="29" spans="1:26" s="1782" customFormat="1" ht="13.5" customHeight="1">
      <c r="A29" s="2081" t="s">
        <v>1027</v>
      </c>
      <c r="B29" s="2059" t="s">
        <v>1028</v>
      </c>
      <c r="C29" s="2060">
        <f>ROUND(C6*F29/(1+'数据-取费表'!C42),0)</f>
        <v>14669</v>
      </c>
      <c r="D29" s="2062"/>
      <c r="E29" s="2062"/>
      <c r="F29" s="2082">
        <f>'数据-取费表'!B41</f>
        <v>5.6000000000000001E-2</v>
      </c>
      <c r="G29" s="2072" t="s">
        <v>1029</v>
      </c>
      <c r="H29" s="2047"/>
      <c r="I29" s="2047"/>
      <c r="J29" s="2047"/>
      <c r="K29" s="2103"/>
      <c r="L29" s="1934"/>
      <c r="M29" s="1934"/>
      <c r="N29" s="1934"/>
      <c r="O29" s="1934"/>
      <c r="P29" s="1934"/>
      <c r="Q29" s="1934"/>
      <c r="R29" s="1934"/>
      <c r="S29" s="1934"/>
      <c r="T29" s="1934"/>
      <c r="U29" s="1934"/>
      <c r="V29" s="1934"/>
      <c r="W29" s="1934"/>
      <c r="X29" s="1934"/>
      <c r="Y29" s="1934"/>
      <c r="Z29" s="1934"/>
    </row>
    <row r="30" spans="1:26" s="1781" customFormat="1" ht="13.5" customHeight="1">
      <c r="A30" s="2083" t="s">
        <v>1030</v>
      </c>
      <c r="B30" s="2084" t="s">
        <v>1031</v>
      </c>
      <c r="C30" s="2076">
        <f ca="1">C31</f>
        <v>54568</v>
      </c>
      <c r="D30" s="2085">
        <f ca="1">C32</f>
        <v>0.1048</v>
      </c>
      <c r="E30" s="1830" t="s">
        <v>1021</v>
      </c>
      <c r="F30" s="1835"/>
      <c r="G30" s="2074" t="s">
        <v>1032</v>
      </c>
      <c r="H30" s="2047"/>
      <c r="I30" s="2047"/>
      <c r="J30" s="2047"/>
      <c r="K30" s="2103"/>
      <c r="L30" s="1931"/>
      <c r="M30" s="1931"/>
      <c r="N30" s="1931"/>
      <c r="O30" s="1931"/>
      <c r="P30" s="1931"/>
      <c r="Q30" s="1931"/>
      <c r="R30" s="1931"/>
      <c r="S30" s="1931"/>
      <c r="T30" s="1931"/>
      <c r="U30" s="1931"/>
      <c r="V30" s="1931"/>
      <c r="W30" s="1931"/>
      <c r="X30" s="1931"/>
      <c r="Y30" s="1931"/>
      <c r="Z30" s="1931"/>
    </row>
    <row r="31" spans="1:26" s="1782" customFormat="1" ht="13.5" customHeight="1">
      <c r="A31" s="1000" t="s">
        <v>853</v>
      </c>
      <c r="B31" s="2078"/>
      <c r="C31" s="1813">
        <f ca="1">C18+C19+C20+C23+C24+C26+C29</f>
        <v>54568</v>
      </c>
      <c r="D31" s="1838"/>
      <c r="E31" s="1839"/>
      <c r="F31" s="1840"/>
      <c r="G31" s="791"/>
      <c r="H31" s="2057"/>
      <c r="I31" s="2057"/>
      <c r="J31" s="2057"/>
      <c r="K31" s="2104"/>
      <c r="L31" s="1934"/>
      <c r="M31" s="1934"/>
      <c r="N31" s="1934"/>
      <c r="O31" s="1934"/>
      <c r="P31" s="1934"/>
      <c r="Q31" s="1934"/>
      <c r="R31" s="1934"/>
      <c r="S31" s="1934"/>
      <c r="T31" s="1934"/>
      <c r="U31" s="1934"/>
      <c r="V31" s="1934"/>
      <c r="W31" s="1934"/>
      <c r="X31" s="1934"/>
      <c r="Y31" s="1934"/>
      <c r="Z31" s="1934"/>
    </row>
    <row r="32" spans="1:26" s="1782" customFormat="1" ht="13.5" customHeight="1">
      <c r="A32" s="1000" t="s">
        <v>857</v>
      </c>
      <c r="B32" s="2078"/>
      <c r="C32" s="121">
        <f ca="1">ROUND(C25+D26,4)</f>
        <v>0.1048</v>
      </c>
      <c r="D32" s="1838"/>
      <c r="E32" s="1839"/>
      <c r="F32" s="1840"/>
      <c r="G32" s="791"/>
      <c r="H32" s="2057"/>
      <c r="I32" s="2057"/>
      <c r="J32" s="2057"/>
      <c r="K32" s="2104"/>
      <c r="L32" s="1934"/>
      <c r="M32" s="1934"/>
      <c r="N32" s="1934"/>
      <c r="O32" s="1934"/>
      <c r="P32" s="1934"/>
      <c r="Q32" s="1934"/>
      <c r="R32" s="1934"/>
      <c r="S32" s="1934"/>
      <c r="T32" s="1934"/>
      <c r="U32" s="1934"/>
      <c r="V32" s="1934"/>
      <c r="W32" s="1934"/>
      <c r="X32" s="1934"/>
      <c r="Y32" s="1934"/>
      <c r="Z32" s="1934"/>
    </row>
    <row r="33" spans="1:26" s="2025" customFormat="1" ht="13.5" customHeight="1">
      <c r="A33" s="2086" t="s">
        <v>1033</v>
      </c>
      <c r="B33" s="1850" t="s">
        <v>1034</v>
      </c>
      <c r="C33" s="1851">
        <f ca="1">C35</f>
        <v>9634</v>
      </c>
      <c r="D33" s="2077">
        <f ca="1">C34</f>
        <v>0.2576</v>
      </c>
      <c r="E33" s="1830" t="s">
        <v>1021</v>
      </c>
      <c r="F33" s="1751">
        <f ca="1">IF(B1="",'数据-取费表'!Q16,INDIRECT("'数据-取费表'!q"&amp;$K$1))</f>
        <v>0.25</v>
      </c>
      <c r="G33" s="2063"/>
      <c r="H33" s="2064"/>
      <c r="I33" s="2064"/>
      <c r="J33" s="2064"/>
      <c r="K33" s="2105"/>
      <c r="L33" s="2109"/>
      <c r="M33" s="2109"/>
      <c r="N33" s="2109"/>
      <c r="O33" s="2109"/>
      <c r="P33" s="2109"/>
      <c r="Q33" s="2109"/>
      <c r="R33" s="2109"/>
      <c r="S33" s="2109"/>
      <c r="T33" s="2109"/>
      <c r="U33" s="2109"/>
      <c r="V33" s="2109"/>
      <c r="W33" s="2109"/>
      <c r="X33" s="2109"/>
      <c r="Y33" s="2109"/>
      <c r="Z33" s="2109"/>
    </row>
    <row r="34" spans="1:26" s="2026" customFormat="1" ht="13.5" customHeight="1">
      <c r="A34" s="2087" t="s">
        <v>853</v>
      </c>
      <c r="B34" s="2088" t="s">
        <v>1035</v>
      </c>
      <c r="C34" s="1838">
        <f ca="1">ROUND((1+C25)*F33,4)</f>
        <v>0.2576</v>
      </c>
      <c r="D34" s="1838"/>
      <c r="E34" s="1839"/>
      <c r="F34" s="1853"/>
      <c r="G34" s="791" t="s">
        <v>1036</v>
      </c>
      <c r="H34" s="2057"/>
      <c r="I34" s="2057"/>
      <c r="J34" s="2057"/>
      <c r="K34" s="2104"/>
      <c r="L34" s="2110"/>
      <c r="M34" s="2110"/>
      <c r="N34" s="2110"/>
      <c r="O34" s="2110"/>
      <c r="P34" s="2110"/>
      <c r="Q34" s="2110"/>
      <c r="R34" s="2110"/>
      <c r="S34" s="2110"/>
      <c r="T34" s="2110"/>
      <c r="U34" s="2110"/>
      <c r="V34" s="2110"/>
      <c r="W34" s="2110"/>
      <c r="X34" s="2110"/>
      <c r="Y34" s="2110"/>
      <c r="Z34" s="2110"/>
    </row>
    <row r="35" spans="1:26" s="2026" customFormat="1" ht="13.5" customHeight="1">
      <c r="A35" s="2089" t="s">
        <v>857</v>
      </c>
      <c r="B35" s="2090" t="s">
        <v>1037</v>
      </c>
      <c r="C35" s="2091">
        <f ca="1">ROUND((C18+C19+C20+C23+C24)*F33,0)</f>
        <v>9634</v>
      </c>
      <c r="D35" s="2092"/>
      <c r="E35" s="2093"/>
      <c r="F35" s="2094"/>
      <c r="G35" s="2039"/>
      <c r="H35" s="2095"/>
      <c r="I35" s="2095"/>
      <c r="J35" s="2095"/>
      <c r="K35" s="2111"/>
      <c r="L35" s="2110"/>
      <c r="M35" s="2110"/>
      <c r="N35" s="2110"/>
      <c r="O35" s="2110"/>
      <c r="P35" s="2110"/>
      <c r="Q35" s="2110"/>
      <c r="R35" s="2110"/>
      <c r="S35" s="2110"/>
      <c r="T35" s="2110"/>
      <c r="U35" s="2110"/>
      <c r="V35" s="2110"/>
      <c r="W35" s="2110"/>
      <c r="X35" s="2110"/>
      <c r="Y35" s="2110"/>
      <c r="Z35" s="2110"/>
    </row>
    <row r="36" spans="1:26" s="843" customFormat="1" ht="13.5" customHeight="1">
      <c r="A36" s="2096" t="s">
        <v>1038</v>
      </c>
      <c r="B36" s="2097"/>
      <c r="C36" s="2098">
        <f ca="1">ROUND((C6-C30-C33)/(1+D30+D33),0)</f>
        <v>154758</v>
      </c>
      <c r="D36" s="2097"/>
      <c r="E36" s="2097"/>
      <c r="F36" s="2097"/>
      <c r="G36" s="2099" t="s">
        <v>1039</v>
      </c>
      <c r="H36" s="2097"/>
      <c r="I36" s="2097"/>
      <c r="J36" s="2097"/>
      <c r="K36" s="2112"/>
      <c r="L36" s="1928"/>
      <c r="M36" s="1928"/>
      <c r="N36" s="1928"/>
      <c r="O36" s="1928"/>
      <c r="P36" s="1928"/>
      <c r="Q36" s="1928"/>
      <c r="R36" s="1928"/>
      <c r="S36" s="1928"/>
      <c r="T36" s="1928"/>
      <c r="U36" s="1928"/>
      <c r="V36" s="1928"/>
      <c r="W36" s="1928"/>
      <c r="X36" s="1928"/>
      <c r="Y36" s="1928"/>
      <c r="Z36" s="1928"/>
    </row>
    <row r="37" spans="1:26" s="1777" customFormat="1">
      <c r="A37" s="1895"/>
      <c r="C37" s="1896"/>
      <c r="E37" s="1895"/>
    </row>
    <row r="38" spans="1:26" s="1777" customFormat="1" ht="12.75" customHeight="1">
      <c r="A38" s="1895"/>
      <c r="C38" s="1896"/>
      <c r="E38" s="1895"/>
    </row>
    <row r="39" spans="1:26" s="1777" customFormat="1">
      <c r="A39" s="1895"/>
      <c r="C39" s="1896"/>
      <c r="E39" s="1895"/>
    </row>
    <row r="40" spans="1:26" s="1777" customFormat="1">
      <c r="A40" s="1895"/>
      <c r="C40" s="1896"/>
      <c r="E40" s="1895"/>
    </row>
    <row r="41" spans="1:26" s="1777" customFormat="1">
      <c r="A41" s="1895"/>
      <c r="C41" s="1896"/>
      <c r="E41" s="1895"/>
    </row>
    <row r="42" spans="1:26" s="1777" customFormat="1">
      <c r="A42" s="1895"/>
      <c r="C42" s="1896"/>
      <c r="E42" s="1895"/>
    </row>
    <row r="43" spans="1:26" s="1777" customFormat="1">
      <c r="A43" s="1895"/>
      <c r="C43" s="1896"/>
      <c r="E43" s="1895"/>
    </row>
    <row r="44" spans="1:26" s="1777" customFormat="1">
      <c r="A44" s="1895"/>
      <c r="C44" s="1896"/>
      <c r="E44" s="1895"/>
    </row>
    <row r="45" spans="1:26" s="1777" customFormat="1">
      <c r="A45" s="1895"/>
      <c r="C45" s="1896"/>
      <c r="E45" s="1895"/>
    </row>
    <row r="46" spans="1:26" s="1777" customFormat="1">
      <c r="A46" s="1895"/>
      <c r="C46" s="1896"/>
      <c r="E46" s="1895"/>
    </row>
    <row r="47" spans="1:26" s="1777" customFormat="1">
      <c r="A47" s="1895"/>
      <c r="C47" s="1896"/>
      <c r="E47" s="1895"/>
    </row>
    <row r="48" spans="1:26" s="1777" customFormat="1">
      <c r="A48" s="1895"/>
      <c r="C48" s="1896"/>
      <c r="E48" s="1895"/>
    </row>
    <row r="49" spans="1:5" s="1777" customFormat="1">
      <c r="A49" s="1895"/>
      <c r="C49" s="1896"/>
      <c r="E49" s="1895"/>
    </row>
    <row r="50" spans="1:5" s="1777" customFormat="1">
      <c r="A50" s="1895"/>
      <c r="C50" s="1896"/>
      <c r="E50" s="1895"/>
    </row>
    <row r="51" spans="1:5" s="1777" customFormat="1">
      <c r="A51" s="1895"/>
      <c r="C51" s="1896"/>
      <c r="E51" s="1895"/>
    </row>
    <row r="52" spans="1:5" s="1777" customFormat="1">
      <c r="A52" s="1895"/>
      <c r="C52" s="1896"/>
      <c r="E52" s="1895"/>
    </row>
    <row r="53" spans="1:5" s="1777" customFormat="1">
      <c r="A53" s="1895"/>
      <c r="C53" s="1896"/>
      <c r="E53" s="1895"/>
    </row>
    <row r="54" spans="1:5" s="1777" customFormat="1">
      <c r="A54" s="1895"/>
      <c r="C54" s="1896"/>
      <c r="E54" s="1895"/>
    </row>
    <row r="55" spans="1:5" s="1777" customFormat="1">
      <c r="A55" s="1895"/>
      <c r="C55" s="1896"/>
      <c r="E55" s="1895"/>
    </row>
    <row r="56" spans="1:5" s="1777" customFormat="1">
      <c r="A56" s="1895"/>
      <c r="C56" s="1896"/>
      <c r="E56" s="1895"/>
    </row>
    <row r="57" spans="1:5" s="1777" customFormat="1">
      <c r="A57" s="1895"/>
      <c r="C57" s="1896"/>
      <c r="E57" s="1895"/>
    </row>
    <row r="58" spans="1:5" s="1777" customFormat="1">
      <c r="A58" s="1895"/>
      <c r="C58" s="1896"/>
      <c r="E58" s="1895"/>
    </row>
    <row r="59" spans="1:5" s="1777" customFormat="1">
      <c r="A59" s="1895"/>
      <c r="C59" s="1896"/>
      <c r="E59" s="1895"/>
    </row>
    <row r="60" spans="1:5" s="1777" customFormat="1">
      <c r="A60" s="1895"/>
      <c r="C60" s="1896"/>
      <c r="E60" s="1895"/>
    </row>
    <row r="61" spans="1:5" s="1777" customFormat="1">
      <c r="A61" s="1895"/>
      <c r="C61" s="1896"/>
      <c r="E61" s="1895"/>
    </row>
    <row r="62" spans="1:5" s="1777" customFormat="1">
      <c r="A62" s="1895"/>
      <c r="C62" s="1896"/>
      <c r="E62" s="1895"/>
    </row>
    <row r="63" spans="1:5" s="1777" customFormat="1">
      <c r="A63" s="1895"/>
      <c r="C63" s="1896"/>
      <c r="E63" s="1895"/>
    </row>
    <row r="64" spans="1:5" s="1777" customFormat="1">
      <c r="A64" s="1895"/>
      <c r="C64" s="1896"/>
      <c r="E64" s="1895"/>
    </row>
    <row r="65" spans="1:5" s="1777" customFormat="1">
      <c r="A65" s="1895"/>
      <c r="C65" s="1896"/>
      <c r="E65" s="1895"/>
    </row>
    <row r="66" spans="1:5" s="1777" customFormat="1">
      <c r="A66" s="1895"/>
      <c r="C66" s="1896"/>
      <c r="E66" s="1895"/>
    </row>
    <row r="67" spans="1:5" s="1777" customFormat="1">
      <c r="A67" s="1895"/>
      <c r="C67" s="1896"/>
      <c r="E67" s="1895"/>
    </row>
    <row r="68" spans="1:5" s="1777" customFormat="1">
      <c r="A68" s="1895"/>
      <c r="C68" s="1896"/>
      <c r="E68" s="1895"/>
    </row>
    <row r="69" spans="1:5" s="1777" customFormat="1">
      <c r="A69" s="1895"/>
      <c r="C69" s="1896"/>
      <c r="E69" s="1895"/>
    </row>
    <row r="70" spans="1:5" s="1777" customFormat="1">
      <c r="A70" s="1895"/>
      <c r="C70" s="1896"/>
      <c r="E70" s="1895"/>
    </row>
    <row r="71" spans="1:5" s="1777" customFormat="1">
      <c r="A71" s="1895"/>
      <c r="C71" s="1896"/>
      <c r="E71" s="1895"/>
    </row>
    <row r="72" spans="1:5" s="1777" customFormat="1">
      <c r="A72" s="1895"/>
      <c r="C72" s="1896"/>
      <c r="E72" s="1895"/>
    </row>
    <row r="73" spans="1:5" s="1777" customFormat="1">
      <c r="A73" s="1895"/>
      <c r="C73" s="1896"/>
      <c r="E73" s="1895"/>
    </row>
    <row r="74" spans="1:5" s="1777" customFormat="1">
      <c r="A74" s="1895"/>
      <c r="C74" s="1896"/>
      <c r="E74" s="1895"/>
    </row>
    <row r="75" spans="1:5" s="1777" customFormat="1">
      <c r="A75" s="1895"/>
      <c r="C75" s="1896"/>
      <c r="E75" s="1895"/>
    </row>
    <row r="76" spans="1:5" s="1777" customFormat="1">
      <c r="A76" s="1895"/>
      <c r="C76" s="1896"/>
      <c r="E76" s="1895"/>
    </row>
    <row r="77" spans="1:5" s="1777" customFormat="1">
      <c r="A77" s="1895"/>
      <c r="C77" s="1896"/>
      <c r="E77" s="1895"/>
    </row>
    <row r="78" spans="1:5" s="1777" customFormat="1">
      <c r="A78" s="1895"/>
      <c r="C78" s="1896"/>
      <c r="E78" s="1895"/>
    </row>
    <row r="79" spans="1:5" s="1777" customFormat="1">
      <c r="A79" s="1895"/>
      <c r="C79" s="1896"/>
      <c r="E79" s="1895"/>
    </row>
    <row r="80" spans="1:5" s="1777" customFormat="1">
      <c r="A80" s="1895"/>
      <c r="C80" s="1896"/>
      <c r="E80" s="1895"/>
    </row>
    <row r="81" spans="1:5" s="1777" customFormat="1">
      <c r="A81" s="1895"/>
      <c r="C81" s="1896"/>
      <c r="E81" s="1895"/>
    </row>
    <row r="82" spans="1:5" s="1777" customFormat="1">
      <c r="A82" s="1895"/>
      <c r="C82" s="1896"/>
      <c r="E82" s="1895"/>
    </row>
    <row r="83" spans="1:5" s="1777" customFormat="1">
      <c r="A83" s="1895"/>
      <c r="C83" s="1896"/>
      <c r="E83" s="1895"/>
    </row>
    <row r="84" spans="1:5" s="1777" customFormat="1">
      <c r="A84" s="1895"/>
      <c r="C84" s="1896"/>
      <c r="E84" s="1895"/>
    </row>
    <row r="85" spans="1:5" s="1777" customFormat="1">
      <c r="A85" s="1895"/>
      <c r="C85" s="1896"/>
      <c r="E85" s="1895"/>
    </row>
    <row r="86" spans="1:5" s="1777" customFormat="1">
      <c r="A86" s="1895"/>
      <c r="C86" s="1896"/>
      <c r="E86" s="1895"/>
    </row>
    <row r="87" spans="1:5" s="1777" customFormat="1">
      <c r="A87" s="1895"/>
      <c r="C87" s="1896"/>
      <c r="E87" s="1895"/>
    </row>
    <row r="88" spans="1:5" s="1777" customFormat="1">
      <c r="A88" s="1895"/>
      <c r="C88" s="1896"/>
      <c r="E88" s="1895"/>
    </row>
    <row r="89" spans="1:5" s="1777" customFormat="1">
      <c r="A89" s="1895"/>
      <c r="C89" s="1896"/>
      <c r="E89" s="1895"/>
    </row>
    <row r="90" spans="1:5" s="1777" customFormat="1">
      <c r="A90" s="1895"/>
      <c r="C90" s="1896"/>
      <c r="E90" s="1895"/>
    </row>
    <row r="91" spans="1:5" s="1777" customFormat="1">
      <c r="A91" s="1895"/>
      <c r="C91" s="1896"/>
      <c r="E91" s="1895"/>
    </row>
    <row r="92" spans="1:5" s="1777" customFormat="1">
      <c r="A92" s="1895"/>
      <c r="C92" s="1896"/>
      <c r="E92" s="1895"/>
    </row>
    <row r="93" spans="1:5" s="1777" customFormat="1">
      <c r="A93" s="1895"/>
      <c r="C93" s="1896"/>
      <c r="E93" s="1895"/>
    </row>
    <row r="94" spans="1:5" s="1777" customFormat="1">
      <c r="A94" s="1895"/>
      <c r="C94" s="1896"/>
      <c r="E94" s="1895"/>
    </row>
    <row r="95" spans="1:5" s="1777" customFormat="1">
      <c r="A95" s="1895"/>
      <c r="C95" s="1896"/>
      <c r="E95" s="1895"/>
    </row>
    <row r="96" spans="1:5" s="1777" customFormat="1">
      <c r="A96" s="1895"/>
      <c r="C96" s="1896"/>
      <c r="E96" s="1895"/>
    </row>
    <row r="97" spans="1:5" s="1777" customFormat="1">
      <c r="A97" s="1895"/>
      <c r="C97" s="1896"/>
      <c r="E97" s="1895"/>
    </row>
    <row r="98" spans="1:5" s="1777" customFormat="1">
      <c r="A98" s="1895"/>
      <c r="C98" s="1896"/>
      <c r="E98" s="1895"/>
    </row>
    <row r="99" spans="1:5" s="1777" customFormat="1">
      <c r="A99" s="1895"/>
      <c r="C99" s="1896"/>
      <c r="E99" s="1895"/>
    </row>
    <row r="100" spans="1:5" s="1777" customFormat="1">
      <c r="A100" s="1895"/>
      <c r="C100" s="1896"/>
      <c r="E100" s="1895"/>
    </row>
    <row r="101" spans="1:5" s="1777" customFormat="1">
      <c r="A101" s="1895"/>
      <c r="C101" s="1896"/>
      <c r="E101" s="1895"/>
    </row>
    <row r="102" spans="1:5" s="1777" customFormat="1">
      <c r="A102" s="1895"/>
      <c r="C102" s="1896"/>
      <c r="E102" s="1895"/>
    </row>
    <row r="103" spans="1:5" s="1777" customFormat="1">
      <c r="A103" s="1895"/>
      <c r="C103" s="1896"/>
      <c r="E103" s="1895"/>
    </row>
    <row r="104" spans="1:5" s="1777" customFormat="1">
      <c r="A104" s="1895"/>
      <c r="C104" s="1896"/>
      <c r="E104" s="1895"/>
    </row>
    <row r="105" spans="1:5" s="1777" customFormat="1">
      <c r="A105" s="1895"/>
      <c r="C105" s="1896"/>
      <c r="E105" s="1895"/>
    </row>
    <row r="106" spans="1:5" s="1777" customFormat="1">
      <c r="A106" s="1895"/>
      <c r="C106" s="1896"/>
      <c r="E106" s="1895"/>
    </row>
    <row r="107" spans="1:5" s="1777" customFormat="1">
      <c r="A107" s="1895"/>
      <c r="C107" s="1896"/>
      <c r="E107" s="1895"/>
    </row>
    <row r="108" spans="1:5" s="1777" customFormat="1">
      <c r="A108" s="1895"/>
      <c r="C108" s="1896"/>
      <c r="E108" s="1895"/>
    </row>
    <row r="109" spans="1:5" s="1777" customFormat="1">
      <c r="A109" s="1895"/>
      <c r="C109" s="1896"/>
      <c r="E109" s="1895"/>
    </row>
    <row r="110" spans="1:5" s="1777" customFormat="1">
      <c r="A110" s="1895"/>
      <c r="C110" s="1896"/>
      <c r="E110" s="1895"/>
    </row>
    <row r="111" spans="1:5" s="1777" customFormat="1">
      <c r="A111" s="1895"/>
      <c r="C111" s="1896"/>
      <c r="E111" s="1895"/>
    </row>
    <row r="112" spans="1:5" s="1777" customFormat="1">
      <c r="A112" s="1895"/>
      <c r="C112" s="1896"/>
      <c r="E112" s="1895"/>
    </row>
    <row r="113" spans="1:5" s="1777" customFormat="1">
      <c r="A113" s="1895"/>
      <c r="C113" s="1896"/>
      <c r="E113" s="1895"/>
    </row>
    <row r="114" spans="1:5" s="1777" customFormat="1">
      <c r="A114" s="1895"/>
      <c r="C114" s="1896"/>
      <c r="E114" s="1895"/>
    </row>
    <row r="115" spans="1:5" s="1777" customFormat="1">
      <c r="A115" s="1895"/>
      <c r="C115" s="1896"/>
      <c r="E115" s="1895"/>
    </row>
    <row r="116" spans="1:5" s="1777" customFormat="1">
      <c r="A116" s="1895"/>
      <c r="C116" s="1896"/>
      <c r="E116" s="1895"/>
    </row>
    <row r="117" spans="1:5" s="1777" customFormat="1">
      <c r="A117" s="1895"/>
      <c r="C117" s="1896"/>
      <c r="E117" s="1895"/>
    </row>
    <row r="118" spans="1:5" s="1777" customFormat="1">
      <c r="A118" s="1895"/>
      <c r="C118" s="1896"/>
      <c r="E118" s="1895"/>
    </row>
    <row r="119" spans="1:5" s="1777" customFormat="1">
      <c r="A119" s="1895"/>
      <c r="C119" s="1896"/>
      <c r="E119" s="1895"/>
    </row>
    <row r="120" spans="1:5" s="1777" customFormat="1">
      <c r="A120" s="1895"/>
      <c r="C120" s="1896"/>
      <c r="E120" s="1895"/>
    </row>
    <row r="121" spans="1:5" s="1777" customFormat="1">
      <c r="A121" s="1895"/>
      <c r="C121" s="1896"/>
      <c r="E121" s="1895"/>
    </row>
    <row r="122" spans="1:5" s="1777" customFormat="1">
      <c r="A122" s="1895"/>
      <c r="C122" s="1896"/>
      <c r="E122" s="1895"/>
    </row>
    <row r="123" spans="1:5" s="1777" customFormat="1">
      <c r="A123" s="1895"/>
      <c r="C123" s="1896"/>
      <c r="E123" s="1895"/>
    </row>
    <row r="124" spans="1:5" s="1777" customFormat="1">
      <c r="A124" s="1895"/>
      <c r="C124" s="1896"/>
      <c r="E124" s="1895"/>
    </row>
    <row r="125" spans="1:5" s="1777" customFormat="1">
      <c r="A125" s="1895"/>
      <c r="C125" s="1896"/>
      <c r="E125" s="1895"/>
    </row>
    <row r="126" spans="1:5" s="1777" customFormat="1">
      <c r="A126" s="1895"/>
      <c r="C126" s="1896"/>
      <c r="E126" s="1895"/>
    </row>
    <row r="127" spans="1:5" s="1777" customFormat="1">
      <c r="A127" s="1895"/>
      <c r="C127" s="1896"/>
      <c r="E127" s="1895"/>
    </row>
    <row r="128" spans="1:5" s="1777" customFormat="1">
      <c r="A128" s="1895"/>
      <c r="C128" s="1896"/>
      <c r="E128" s="1895"/>
    </row>
    <row r="129" spans="1:5" s="1777" customFormat="1">
      <c r="A129" s="1895"/>
      <c r="C129" s="1896"/>
      <c r="E129" s="1895"/>
    </row>
    <row r="130" spans="1:5" s="1777" customFormat="1">
      <c r="A130" s="1895"/>
      <c r="C130" s="1896"/>
      <c r="E130" s="1895"/>
    </row>
    <row r="131" spans="1:5" s="1777" customFormat="1">
      <c r="A131" s="1895"/>
      <c r="C131" s="1896"/>
      <c r="E131" s="1895"/>
    </row>
    <row r="132" spans="1:5" s="1777" customFormat="1">
      <c r="A132" s="1895"/>
      <c r="C132" s="1896"/>
      <c r="E132" s="1895"/>
    </row>
    <row r="133" spans="1:5" s="1777" customFormat="1">
      <c r="A133" s="1895"/>
      <c r="C133" s="1896"/>
      <c r="E133" s="1895"/>
    </row>
    <row r="134" spans="1:5" s="1777" customFormat="1">
      <c r="A134" s="1895"/>
      <c r="C134" s="1896"/>
      <c r="E134" s="1895"/>
    </row>
    <row r="135" spans="1:5" s="1777" customFormat="1">
      <c r="A135" s="1895"/>
      <c r="C135" s="1896"/>
      <c r="E135" s="1895"/>
    </row>
    <row r="136" spans="1:5" s="1777" customFormat="1">
      <c r="A136" s="1895"/>
      <c r="C136" s="1896"/>
      <c r="E136" s="1895"/>
    </row>
    <row r="137" spans="1:5" s="1777" customFormat="1">
      <c r="A137" s="1895"/>
      <c r="C137" s="1896"/>
      <c r="E137" s="1895"/>
    </row>
    <row r="138" spans="1:5" s="1777" customFormat="1">
      <c r="A138" s="1895"/>
      <c r="C138" s="1896"/>
      <c r="E138" s="1895"/>
    </row>
    <row r="139" spans="1:5" s="1777" customFormat="1">
      <c r="A139" s="1895"/>
      <c r="C139" s="1896"/>
      <c r="E139" s="1895"/>
    </row>
    <row r="140" spans="1:5" s="1777" customFormat="1">
      <c r="A140" s="1895"/>
      <c r="C140" s="1896"/>
      <c r="E140" s="1895"/>
    </row>
    <row r="141" spans="1:5" s="1777" customFormat="1">
      <c r="A141" s="1895"/>
      <c r="C141" s="1896"/>
      <c r="E141" s="1895"/>
    </row>
    <row r="142" spans="1:5" s="1777" customFormat="1">
      <c r="A142" s="1895"/>
      <c r="C142" s="1896"/>
      <c r="E142" s="1895"/>
    </row>
    <row r="143" spans="1:5" s="1777" customFormat="1">
      <c r="A143" s="1895"/>
      <c r="C143" s="1896"/>
      <c r="E143" s="1895"/>
    </row>
    <row r="144" spans="1:5" s="1777" customFormat="1">
      <c r="A144" s="1895"/>
      <c r="C144" s="1896"/>
      <c r="E144" s="1895"/>
    </row>
    <row r="145" spans="1:5" s="1777" customFormat="1">
      <c r="A145" s="1895"/>
      <c r="C145" s="1896"/>
      <c r="E145" s="1895"/>
    </row>
    <row r="146" spans="1:5" s="1777" customFormat="1">
      <c r="A146" s="1895"/>
      <c r="C146" s="1896"/>
      <c r="E146" s="1895"/>
    </row>
    <row r="147" spans="1:5" s="1777" customFormat="1">
      <c r="A147" s="1895"/>
      <c r="C147" s="1896"/>
      <c r="E147" s="1895"/>
    </row>
    <row r="148" spans="1:5" s="1777" customFormat="1">
      <c r="A148" s="1895"/>
      <c r="C148" s="1896"/>
      <c r="E148" s="1895"/>
    </row>
    <row r="149" spans="1:5" s="1777" customFormat="1">
      <c r="A149" s="1895"/>
      <c r="C149" s="1896"/>
      <c r="E149" s="1895"/>
    </row>
    <row r="150" spans="1:5" s="1777" customFormat="1">
      <c r="A150" s="1895"/>
      <c r="C150" s="1896"/>
      <c r="E150" s="1895"/>
    </row>
    <row r="151" spans="1:5" s="1777" customFormat="1">
      <c r="A151" s="1895"/>
      <c r="C151" s="1896"/>
      <c r="E151" s="1895"/>
    </row>
    <row r="152" spans="1:5" s="1777" customFormat="1">
      <c r="A152" s="1895"/>
      <c r="C152" s="1896"/>
      <c r="E152" s="1895"/>
    </row>
    <row r="153" spans="1:5" s="1777" customFormat="1">
      <c r="A153" s="1895"/>
      <c r="C153" s="1896"/>
      <c r="E153" s="1895"/>
    </row>
    <row r="154" spans="1:5" s="1777" customFormat="1">
      <c r="A154" s="1895"/>
      <c r="C154" s="1896"/>
      <c r="E154" s="1895"/>
    </row>
    <row r="155" spans="1:5" s="1777" customFormat="1">
      <c r="A155" s="1895"/>
      <c r="C155" s="1896"/>
      <c r="E155" s="1895"/>
    </row>
    <row r="156" spans="1:5" s="1777" customFormat="1">
      <c r="A156" s="1895"/>
      <c r="C156" s="1896"/>
      <c r="E156" s="1895"/>
    </row>
    <row r="157" spans="1:5" s="1777" customFormat="1">
      <c r="A157" s="1895"/>
      <c r="C157" s="1896"/>
      <c r="E157" s="1895"/>
    </row>
    <row r="158" spans="1:5" s="1777" customFormat="1">
      <c r="A158" s="1895"/>
      <c r="C158" s="1896"/>
      <c r="E158" s="1895"/>
    </row>
    <row r="159" spans="1:5" s="1777" customFormat="1">
      <c r="A159" s="1895"/>
      <c r="C159" s="1896"/>
      <c r="E159" s="1895"/>
    </row>
    <row r="160" spans="1:5" s="1777" customFormat="1">
      <c r="A160" s="1895"/>
      <c r="C160" s="1896"/>
      <c r="E160" s="1895"/>
    </row>
    <row r="161" spans="1:5" s="1777" customFormat="1">
      <c r="A161" s="1895"/>
      <c r="C161" s="1896"/>
      <c r="E161" s="1895"/>
    </row>
    <row r="162" spans="1:5" s="1777" customFormat="1">
      <c r="A162" s="1895"/>
      <c r="C162" s="1896"/>
      <c r="E162" s="1895"/>
    </row>
    <row r="163" spans="1:5" s="1777" customFormat="1">
      <c r="A163" s="1895"/>
      <c r="C163" s="1896"/>
      <c r="E163" s="1895"/>
    </row>
    <row r="164" spans="1:5" s="1777" customFormat="1">
      <c r="A164" s="1895"/>
      <c r="C164" s="1896"/>
      <c r="E164" s="1895"/>
    </row>
    <row r="165" spans="1:5" s="1777" customFormat="1">
      <c r="A165" s="1895"/>
      <c r="C165" s="1896"/>
      <c r="E165" s="1895"/>
    </row>
    <row r="166" spans="1:5" s="1777" customFormat="1">
      <c r="A166" s="1895"/>
      <c r="C166" s="1896"/>
      <c r="E166" s="1895"/>
    </row>
    <row r="167" spans="1:5" s="1777" customFormat="1">
      <c r="A167" s="1895"/>
      <c r="C167" s="1896"/>
      <c r="E167" s="1895"/>
    </row>
    <row r="168" spans="1:5" s="1777" customFormat="1">
      <c r="A168" s="1895"/>
      <c r="C168" s="1896"/>
      <c r="E168" s="1895"/>
    </row>
    <row r="169" spans="1:5" s="1777" customFormat="1">
      <c r="A169" s="1895"/>
      <c r="C169" s="1896"/>
      <c r="E169" s="1895"/>
    </row>
    <row r="170" spans="1:5" s="1777" customFormat="1">
      <c r="A170" s="1895"/>
      <c r="C170" s="1896"/>
      <c r="E170" s="1895"/>
    </row>
    <row r="171" spans="1:5" s="1777" customFormat="1">
      <c r="A171" s="1895"/>
      <c r="C171" s="1896"/>
      <c r="E171" s="1895"/>
    </row>
    <row r="172" spans="1:5" s="1777" customFormat="1">
      <c r="A172" s="1895"/>
      <c r="C172" s="1896"/>
      <c r="E172" s="1895"/>
    </row>
    <row r="173" spans="1:5" s="1777" customFormat="1">
      <c r="A173" s="1895"/>
      <c r="C173" s="1896"/>
      <c r="E173" s="1895"/>
    </row>
    <row r="174" spans="1:5" s="1777" customFormat="1">
      <c r="A174" s="1895"/>
      <c r="C174" s="1896"/>
      <c r="E174" s="1895"/>
    </row>
    <row r="175" spans="1:5" s="1777" customFormat="1">
      <c r="A175" s="1895"/>
      <c r="C175" s="1896"/>
      <c r="E175" s="1895"/>
    </row>
    <row r="176" spans="1:5" s="1777" customFormat="1">
      <c r="A176" s="1895"/>
      <c r="C176" s="1896"/>
      <c r="E176" s="1895"/>
    </row>
    <row r="177" spans="1:5" s="1777" customFormat="1">
      <c r="A177" s="1895"/>
      <c r="C177" s="1896"/>
      <c r="E177" s="1895"/>
    </row>
    <row r="178" spans="1:5" s="1777" customFormat="1">
      <c r="A178" s="1895"/>
      <c r="C178" s="1896"/>
      <c r="E178" s="1895"/>
    </row>
    <row r="179" spans="1:5" s="1777" customFormat="1">
      <c r="A179" s="1895"/>
      <c r="C179" s="1896"/>
      <c r="E179" s="1895"/>
    </row>
    <row r="180" spans="1:5" s="1777" customFormat="1">
      <c r="A180" s="1895"/>
      <c r="C180" s="1896"/>
      <c r="E180" s="1895"/>
    </row>
    <row r="181" spans="1:5" s="1777" customFormat="1">
      <c r="A181" s="1895"/>
      <c r="C181" s="1896"/>
      <c r="E181" s="1895"/>
    </row>
    <row r="182" spans="1:5" s="1777" customFormat="1">
      <c r="A182" s="1895"/>
      <c r="C182" s="1896"/>
      <c r="E182" s="1895"/>
    </row>
    <row r="183" spans="1:5" s="1777" customFormat="1">
      <c r="A183" s="1895"/>
      <c r="C183" s="1896"/>
      <c r="E183" s="1895"/>
    </row>
    <row r="184" spans="1:5" s="1777" customFormat="1">
      <c r="A184" s="1895"/>
      <c r="C184" s="1896"/>
      <c r="E184" s="1895"/>
    </row>
    <row r="185" spans="1:5" s="1777" customFormat="1">
      <c r="A185" s="1895"/>
      <c r="C185" s="1896"/>
      <c r="E185" s="1895"/>
    </row>
    <row r="186" spans="1:5" s="1777" customFormat="1">
      <c r="A186" s="1895"/>
      <c r="C186" s="1896"/>
      <c r="E186" s="1895"/>
    </row>
    <row r="187" spans="1:5" s="1777" customFormat="1">
      <c r="A187" s="1895"/>
      <c r="C187" s="1896"/>
      <c r="E187" s="1895"/>
    </row>
    <row r="188" spans="1:5" s="1777" customFormat="1">
      <c r="A188" s="1895"/>
      <c r="C188" s="1896"/>
      <c r="E188" s="1895"/>
    </row>
    <row r="189" spans="1:5" s="1777" customFormat="1">
      <c r="A189" s="1895"/>
      <c r="C189" s="1896"/>
      <c r="E189" s="1895"/>
    </row>
    <row r="190" spans="1:5" s="1777" customFormat="1">
      <c r="A190" s="1895"/>
      <c r="C190" s="1896"/>
      <c r="E190" s="1895"/>
    </row>
    <row r="191" spans="1:5" s="1777" customFormat="1">
      <c r="A191" s="1895"/>
      <c r="C191" s="1896"/>
      <c r="E191" s="1895"/>
    </row>
    <row r="192" spans="1:5" s="1777" customFormat="1">
      <c r="A192" s="1895"/>
      <c r="C192" s="1896"/>
      <c r="E192" s="1895"/>
    </row>
    <row r="193" spans="1:5" s="1777" customFormat="1">
      <c r="A193" s="1895"/>
      <c r="C193" s="1896"/>
      <c r="E193" s="1895"/>
    </row>
    <row r="194" spans="1:5" s="1777" customFormat="1">
      <c r="A194" s="1895"/>
      <c r="C194" s="1896"/>
      <c r="E194" s="1895"/>
    </row>
    <row r="195" spans="1:5" s="1777" customFormat="1">
      <c r="A195" s="1895"/>
      <c r="C195" s="1896"/>
      <c r="E195" s="1895"/>
    </row>
    <row r="196" spans="1:5" s="1777" customFormat="1">
      <c r="A196" s="1895"/>
      <c r="C196" s="1896"/>
      <c r="E196" s="1895"/>
    </row>
    <row r="197" spans="1:5" s="1777" customFormat="1">
      <c r="A197" s="1895"/>
      <c r="C197" s="1896"/>
      <c r="E197" s="1895"/>
    </row>
    <row r="198" spans="1:5" s="1777" customFormat="1">
      <c r="A198" s="1895"/>
      <c r="C198" s="1896"/>
      <c r="E198" s="1895"/>
    </row>
    <row r="199" spans="1:5" s="1777" customFormat="1">
      <c r="A199" s="1895"/>
      <c r="C199" s="1896"/>
      <c r="E199" s="1895"/>
    </row>
    <row r="200" spans="1:5" s="1777" customFormat="1">
      <c r="A200" s="1895"/>
      <c r="C200" s="1896"/>
      <c r="E200" s="1895"/>
    </row>
    <row r="201" spans="1:5" s="1777" customFormat="1">
      <c r="A201" s="1895"/>
      <c r="C201" s="1896"/>
      <c r="E201" s="1895"/>
    </row>
    <row r="202" spans="1:5" s="1777" customFormat="1">
      <c r="A202" s="1895"/>
      <c r="C202" s="1896"/>
      <c r="E202" s="1895"/>
    </row>
    <row r="203" spans="1:5" s="1777" customFormat="1">
      <c r="A203" s="1895"/>
      <c r="C203" s="1896"/>
      <c r="E203" s="1895"/>
    </row>
    <row r="204" spans="1:5" s="1777" customFormat="1">
      <c r="A204" s="1895"/>
      <c r="C204" s="1896"/>
      <c r="E204" s="1895"/>
    </row>
    <row r="205" spans="1:5" s="1777" customFormat="1">
      <c r="A205" s="1895"/>
      <c r="C205" s="1896"/>
      <c r="E205" s="1895"/>
    </row>
    <row r="206" spans="1:5" s="1777" customFormat="1">
      <c r="A206" s="1895"/>
      <c r="C206" s="1896"/>
      <c r="E206" s="1895"/>
    </row>
    <row r="207" spans="1:5" s="1777" customFormat="1">
      <c r="A207" s="1895"/>
      <c r="C207" s="1896"/>
      <c r="E207" s="1895"/>
    </row>
    <row r="208" spans="1:5" s="1777" customFormat="1">
      <c r="A208" s="1895"/>
      <c r="C208" s="1896"/>
      <c r="E208" s="1895"/>
    </row>
    <row r="209" spans="1:5" s="1777" customFormat="1">
      <c r="A209" s="1895"/>
      <c r="C209" s="1896"/>
      <c r="E209" s="1895"/>
    </row>
    <row r="210" spans="1:5" s="1777" customFormat="1">
      <c r="A210" s="1895"/>
      <c r="C210" s="1896"/>
      <c r="E210" s="1895"/>
    </row>
    <row r="211" spans="1:5" s="1777" customFormat="1">
      <c r="A211" s="1895"/>
      <c r="C211" s="1896"/>
      <c r="E211" s="1895"/>
    </row>
    <row r="212" spans="1:5" s="1777" customFormat="1">
      <c r="A212" s="1895"/>
      <c r="C212" s="1896"/>
      <c r="E212" s="1895"/>
    </row>
    <row r="213" spans="1:5" s="1777" customFormat="1">
      <c r="A213" s="1895"/>
      <c r="C213" s="1896"/>
      <c r="E213" s="1895"/>
    </row>
    <row r="214" spans="1:5" s="1777" customFormat="1">
      <c r="A214" s="1895"/>
      <c r="C214" s="1896"/>
      <c r="E214" s="1895"/>
    </row>
    <row r="215" spans="1:5" s="1777" customFormat="1">
      <c r="A215" s="1895"/>
      <c r="C215" s="1896"/>
      <c r="E215" s="1895"/>
    </row>
    <row r="216" spans="1:5" s="1777" customFormat="1">
      <c r="A216" s="1895"/>
      <c r="C216" s="1896"/>
      <c r="E216" s="1895"/>
    </row>
    <row r="217" spans="1:5" s="1777" customFormat="1">
      <c r="A217" s="1895"/>
      <c r="C217" s="1896"/>
      <c r="E217" s="1895"/>
    </row>
    <row r="218" spans="1:5" s="1777" customFormat="1">
      <c r="A218" s="1895"/>
      <c r="C218" s="1896"/>
      <c r="E218" s="1895"/>
    </row>
    <row r="219" spans="1:5" s="1777" customFormat="1">
      <c r="A219" s="1895"/>
      <c r="C219" s="1896"/>
      <c r="E219" s="1895"/>
    </row>
    <row r="220" spans="1:5" s="1777" customFormat="1">
      <c r="A220" s="1895"/>
      <c r="C220" s="1896"/>
      <c r="E220" s="1895"/>
    </row>
    <row r="221" spans="1:5" s="1777" customFormat="1">
      <c r="A221" s="1895"/>
      <c r="C221" s="1896"/>
      <c r="E221" s="1895"/>
    </row>
    <row r="222" spans="1:5" s="1777" customFormat="1">
      <c r="A222" s="1895"/>
      <c r="C222" s="1896"/>
      <c r="E222" s="1895"/>
    </row>
    <row r="223" spans="1:5" s="1777" customFormat="1">
      <c r="A223" s="1895"/>
      <c r="C223" s="1896"/>
      <c r="E223" s="1895"/>
    </row>
    <row r="224" spans="1:5" s="1777" customFormat="1">
      <c r="A224" s="1895"/>
      <c r="C224" s="1896"/>
      <c r="E224" s="1895"/>
    </row>
    <row r="225" spans="1:5" s="1777" customFormat="1">
      <c r="A225" s="1895"/>
      <c r="C225" s="1896"/>
      <c r="E225" s="1895"/>
    </row>
    <row r="226" spans="1:5" s="1777" customFormat="1">
      <c r="A226" s="1895"/>
      <c r="C226" s="1896"/>
      <c r="E226" s="1895"/>
    </row>
    <row r="227" spans="1:5" s="1777" customFormat="1">
      <c r="A227" s="1895"/>
      <c r="C227" s="1896"/>
      <c r="E227" s="1895"/>
    </row>
    <row r="228" spans="1:5" s="1777" customFormat="1">
      <c r="A228" s="1895"/>
      <c r="C228" s="1896"/>
      <c r="E228" s="1895"/>
    </row>
    <row r="229" spans="1:5" s="1777" customFormat="1">
      <c r="A229" s="1895"/>
      <c r="C229" s="1896"/>
      <c r="E229" s="1895"/>
    </row>
    <row r="230" spans="1:5" s="1777" customFormat="1">
      <c r="A230" s="1895"/>
      <c r="C230" s="1896"/>
      <c r="E230" s="1895"/>
    </row>
    <row r="231" spans="1:5" s="1777" customFormat="1">
      <c r="A231" s="1895"/>
      <c r="C231" s="1896"/>
      <c r="E231" s="1895"/>
    </row>
    <row r="232" spans="1:5" s="1777" customFormat="1">
      <c r="A232" s="1895"/>
      <c r="C232" s="1896"/>
      <c r="E232" s="1895"/>
    </row>
    <row r="233" spans="1:5" s="1777" customFormat="1">
      <c r="A233" s="1895"/>
      <c r="C233" s="1896"/>
      <c r="E233" s="1895"/>
    </row>
    <row r="234" spans="1:5" s="1777" customFormat="1">
      <c r="A234" s="1895"/>
      <c r="C234" s="1896"/>
      <c r="E234" s="1895"/>
    </row>
    <row r="235" spans="1:5" s="1777" customFormat="1">
      <c r="A235" s="1895"/>
      <c r="C235" s="1896"/>
      <c r="E235" s="1895"/>
    </row>
    <row r="236" spans="1:5" s="1777" customFormat="1">
      <c r="A236" s="1895"/>
      <c r="C236" s="1896"/>
      <c r="E236" s="1895"/>
    </row>
    <row r="237" spans="1:5" s="1777" customFormat="1">
      <c r="A237" s="1895"/>
      <c r="C237" s="1896"/>
      <c r="E237" s="1895"/>
    </row>
    <row r="238" spans="1:5" s="1777" customFormat="1">
      <c r="A238" s="1895"/>
      <c r="C238" s="1896"/>
      <c r="E238" s="1895"/>
    </row>
    <row r="239" spans="1:5" s="1777" customFormat="1">
      <c r="A239" s="1895"/>
      <c r="C239" s="1896"/>
      <c r="E239" s="1895"/>
    </row>
    <row r="240" spans="1:5" s="1777" customFormat="1">
      <c r="A240" s="1895"/>
      <c r="C240" s="1896"/>
      <c r="E240" s="1895"/>
    </row>
    <row r="241" spans="1:5" s="1777" customFormat="1">
      <c r="A241" s="1895"/>
      <c r="C241" s="1896"/>
      <c r="E241" s="1895"/>
    </row>
    <row r="242" spans="1:5" s="1777" customFormat="1">
      <c r="A242" s="1895"/>
      <c r="C242" s="1896"/>
      <c r="E242" s="1895"/>
    </row>
    <row r="243" spans="1:5" s="1777" customFormat="1">
      <c r="A243" s="1895"/>
      <c r="C243" s="1896"/>
      <c r="E243" s="1895"/>
    </row>
    <row r="244" spans="1:5" s="1777" customFormat="1">
      <c r="A244" s="1895"/>
      <c r="C244" s="1896"/>
      <c r="E244" s="1895"/>
    </row>
    <row r="245" spans="1:5" s="1777" customFormat="1">
      <c r="A245" s="1895"/>
      <c r="C245" s="1896"/>
      <c r="E245" s="1895"/>
    </row>
    <row r="246" spans="1:5" s="1777" customFormat="1">
      <c r="A246" s="1895"/>
      <c r="C246" s="1896"/>
      <c r="E246" s="1895"/>
    </row>
    <row r="247" spans="1:5" s="1777" customFormat="1">
      <c r="A247" s="1895"/>
      <c r="C247" s="1896"/>
      <c r="E247" s="1895"/>
    </row>
    <row r="248" spans="1:5" s="1777" customFormat="1">
      <c r="A248" s="1895"/>
      <c r="C248" s="1896"/>
      <c r="E248" s="1895"/>
    </row>
    <row r="249" spans="1:5" s="1777" customFormat="1">
      <c r="A249" s="1895"/>
      <c r="C249" s="1896"/>
      <c r="E249" s="1895"/>
    </row>
    <row r="250" spans="1:5" s="1777" customFormat="1">
      <c r="A250" s="1895"/>
      <c r="C250" s="1896"/>
      <c r="E250" s="1895"/>
    </row>
    <row r="251" spans="1:5" s="1777" customFormat="1">
      <c r="A251" s="1895"/>
      <c r="C251" s="1896"/>
      <c r="E251" s="1895"/>
    </row>
    <row r="252" spans="1:5" s="1777" customFormat="1">
      <c r="A252" s="1895"/>
      <c r="C252" s="1896"/>
      <c r="E252" s="1895"/>
    </row>
    <row r="253" spans="1:5" s="1777" customFormat="1">
      <c r="A253" s="1895"/>
      <c r="C253" s="1896"/>
      <c r="E253" s="1895"/>
    </row>
    <row r="254" spans="1:5" s="1777" customFormat="1">
      <c r="A254" s="1895"/>
      <c r="C254" s="1896"/>
      <c r="E254" s="1895"/>
    </row>
    <row r="255" spans="1:5" s="1777" customFormat="1">
      <c r="A255" s="1895"/>
      <c r="C255" s="1896"/>
      <c r="E255" s="1895"/>
    </row>
    <row r="256" spans="1:5" s="1777" customFormat="1">
      <c r="A256" s="1895"/>
      <c r="C256" s="1896"/>
      <c r="E256" s="1895"/>
    </row>
    <row r="257" spans="1:5" s="1777" customFormat="1">
      <c r="A257" s="1895"/>
      <c r="C257" s="1896"/>
      <c r="E257" s="1895"/>
    </row>
    <row r="258" spans="1:5" s="1777" customFormat="1">
      <c r="A258" s="1895"/>
      <c r="C258" s="1896"/>
      <c r="E258" s="1895"/>
    </row>
    <row r="259" spans="1:5" s="1777" customFormat="1">
      <c r="A259" s="1895"/>
      <c r="C259" s="1896"/>
      <c r="E259" s="1895"/>
    </row>
    <row r="260" spans="1:5" s="1777" customFormat="1">
      <c r="A260" s="1895"/>
      <c r="C260" s="1896"/>
      <c r="E260" s="1895"/>
    </row>
    <row r="261" spans="1:5" s="1777" customFormat="1">
      <c r="A261" s="1895"/>
      <c r="C261" s="1896"/>
      <c r="E261" s="1895"/>
    </row>
    <row r="262" spans="1:5" s="1777" customFormat="1">
      <c r="A262" s="1895"/>
      <c r="C262" s="1896"/>
      <c r="E262" s="1895"/>
    </row>
    <row r="263" spans="1:5" s="1777" customFormat="1">
      <c r="A263" s="1895"/>
      <c r="C263" s="1896"/>
      <c r="E263" s="1895"/>
    </row>
    <row r="264" spans="1:5" s="1777" customFormat="1">
      <c r="A264" s="1895"/>
      <c r="C264" s="1896"/>
      <c r="E264" s="1895"/>
    </row>
    <row r="265" spans="1:5" s="1777" customFormat="1">
      <c r="A265" s="1895"/>
      <c r="C265" s="1896"/>
      <c r="E265" s="1895"/>
    </row>
    <row r="266" spans="1:5" s="1777" customFormat="1">
      <c r="A266" s="1895"/>
      <c r="C266" s="1896"/>
      <c r="E266" s="1895"/>
    </row>
    <row r="267" spans="1:5" s="1777" customFormat="1">
      <c r="A267" s="1895"/>
      <c r="C267" s="1896"/>
      <c r="E267" s="1895"/>
    </row>
    <row r="268" spans="1:5" s="1777" customFormat="1">
      <c r="A268" s="1895"/>
      <c r="C268" s="1896"/>
      <c r="E268" s="1895"/>
    </row>
    <row r="269" spans="1:5" s="1777" customFormat="1">
      <c r="A269" s="1895"/>
      <c r="C269" s="1896"/>
      <c r="E269" s="1895"/>
    </row>
    <row r="270" spans="1:5" s="1777" customFormat="1">
      <c r="A270" s="1895"/>
      <c r="C270" s="1896"/>
      <c r="E270" s="1895"/>
    </row>
    <row r="271" spans="1:5" s="1777" customFormat="1">
      <c r="A271" s="1895"/>
      <c r="C271" s="1896"/>
      <c r="E271" s="1895"/>
    </row>
    <row r="272" spans="1:5" s="1777" customFormat="1">
      <c r="A272" s="1895"/>
      <c r="C272" s="1896"/>
      <c r="E272" s="1895"/>
    </row>
    <row r="273" spans="1:5" s="1777" customFormat="1">
      <c r="A273" s="1895"/>
      <c r="C273" s="1896"/>
      <c r="E273" s="1895"/>
    </row>
    <row r="274" spans="1:5" s="1777" customFormat="1">
      <c r="A274" s="1895"/>
      <c r="C274" s="1896"/>
      <c r="E274" s="1895"/>
    </row>
    <row r="275" spans="1:5" s="1777" customFormat="1">
      <c r="A275" s="1895"/>
      <c r="C275" s="1896"/>
      <c r="E275" s="1895"/>
    </row>
    <row r="276" spans="1:5" s="1777" customFormat="1">
      <c r="A276" s="1895"/>
      <c r="C276" s="1896"/>
      <c r="E276" s="1895"/>
    </row>
    <row r="277" spans="1:5" s="1777" customFormat="1">
      <c r="A277" s="1895"/>
      <c r="C277" s="1896"/>
      <c r="E277" s="1895"/>
    </row>
    <row r="278" spans="1:5" s="1777" customFormat="1">
      <c r="A278" s="1895"/>
      <c r="C278" s="1896"/>
      <c r="E278" s="1895"/>
    </row>
    <row r="279" spans="1:5" s="1777" customFormat="1">
      <c r="A279" s="1895"/>
      <c r="C279" s="1896"/>
      <c r="E279" s="1895"/>
    </row>
    <row r="280" spans="1:5" s="1777" customFormat="1">
      <c r="A280" s="1895"/>
      <c r="C280" s="1896"/>
      <c r="E280" s="1895"/>
    </row>
    <row r="281" spans="1:5" s="1777" customFormat="1">
      <c r="A281" s="1895"/>
      <c r="C281" s="1896"/>
      <c r="E281" s="1895"/>
    </row>
    <row r="282" spans="1:5" s="1777" customFormat="1">
      <c r="A282" s="1895"/>
      <c r="C282" s="1896"/>
      <c r="E282" s="1895"/>
    </row>
    <row r="283" spans="1:5" s="1777" customFormat="1">
      <c r="A283" s="1895"/>
      <c r="C283" s="1896"/>
      <c r="E283" s="1895"/>
    </row>
    <row r="284" spans="1:5" s="1777" customFormat="1">
      <c r="A284" s="1895"/>
      <c r="C284" s="1896"/>
      <c r="E284" s="1895"/>
    </row>
    <row r="285" spans="1:5" s="1777" customFormat="1">
      <c r="A285" s="1895"/>
      <c r="C285" s="1896"/>
      <c r="E285" s="1895"/>
    </row>
    <row r="286" spans="1:5" s="1777" customFormat="1">
      <c r="A286" s="1895"/>
      <c r="C286" s="1896"/>
      <c r="E286" s="1895"/>
    </row>
    <row r="287" spans="1:5" s="1777" customFormat="1">
      <c r="A287" s="1895"/>
      <c r="C287" s="1896"/>
      <c r="E287" s="1895"/>
    </row>
    <row r="288" spans="1:5" s="1777" customFormat="1">
      <c r="A288" s="1895"/>
      <c r="C288" s="1896"/>
      <c r="E288" s="1895"/>
    </row>
    <row r="289" spans="1:5" s="1777" customFormat="1">
      <c r="A289" s="1895"/>
      <c r="C289" s="1896"/>
      <c r="E289" s="1895"/>
    </row>
    <row r="290" spans="1:5" s="1777" customFormat="1">
      <c r="A290" s="1895"/>
      <c r="C290" s="1896"/>
      <c r="E290" s="1895"/>
    </row>
    <row r="291" spans="1:5" s="1777" customFormat="1">
      <c r="A291" s="1895"/>
      <c r="C291" s="1896"/>
      <c r="E291" s="1895"/>
    </row>
    <row r="292" spans="1:5" s="1777" customFormat="1">
      <c r="A292" s="1895"/>
      <c r="C292" s="1896"/>
      <c r="E292" s="1895"/>
    </row>
    <row r="293" spans="1:5" s="1777" customFormat="1">
      <c r="A293" s="1895"/>
      <c r="C293" s="1896"/>
      <c r="E293" s="1895"/>
    </row>
    <row r="294" spans="1:5" s="1777" customFormat="1">
      <c r="A294" s="1895"/>
      <c r="C294" s="1896"/>
      <c r="E294" s="1895"/>
    </row>
    <row r="295" spans="1:5" s="1777" customFormat="1">
      <c r="A295" s="1895"/>
      <c r="C295" s="1896"/>
      <c r="E295" s="1895"/>
    </row>
    <row r="296" spans="1:5" s="1777" customFormat="1">
      <c r="A296" s="1895"/>
      <c r="C296" s="1896"/>
      <c r="E296" s="1895"/>
    </row>
    <row r="297" spans="1:5" s="1777" customFormat="1">
      <c r="A297" s="1895"/>
      <c r="C297" s="1896"/>
      <c r="E297" s="1895"/>
    </row>
    <row r="298" spans="1:5" s="1777" customFormat="1">
      <c r="A298" s="1895"/>
      <c r="C298" s="1896"/>
      <c r="E298" s="1895"/>
    </row>
    <row r="299" spans="1:5" s="1777" customFormat="1">
      <c r="A299" s="1895"/>
      <c r="C299" s="1896"/>
      <c r="E299" s="1895"/>
    </row>
    <row r="300" spans="1:5" s="1777" customFormat="1">
      <c r="A300" s="1895"/>
      <c r="C300" s="1896"/>
      <c r="E300" s="1895"/>
    </row>
    <row r="301" spans="1:5" s="1777" customFormat="1">
      <c r="A301" s="1895"/>
      <c r="C301" s="1896"/>
      <c r="E301" s="1895"/>
    </row>
    <row r="302" spans="1:5" s="1777" customFormat="1">
      <c r="A302" s="1895"/>
      <c r="C302" s="1896"/>
      <c r="E302" s="1895"/>
    </row>
    <row r="303" spans="1:5" s="1777" customFormat="1">
      <c r="A303" s="1895"/>
      <c r="C303" s="1896"/>
      <c r="E303" s="1895"/>
    </row>
    <row r="304" spans="1:5" s="1777" customFormat="1">
      <c r="A304" s="1895"/>
      <c r="C304" s="1896"/>
      <c r="E304" s="1895"/>
    </row>
    <row r="305" spans="1:5" s="1777" customFormat="1">
      <c r="A305" s="1895"/>
      <c r="C305" s="1896"/>
      <c r="E305" s="1895"/>
    </row>
    <row r="306" spans="1:5" s="1777" customFormat="1">
      <c r="A306" s="1895"/>
      <c r="C306" s="1896"/>
      <c r="E306" s="1895"/>
    </row>
    <row r="307" spans="1:5" s="1777" customFormat="1">
      <c r="A307" s="1895"/>
      <c r="C307" s="1896"/>
      <c r="E307" s="1895"/>
    </row>
    <row r="308" spans="1:5" s="1777" customFormat="1">
      <c r="A308" s="1895"/>
      <c r="C308" s="1896"/>
      <c r="E308" s="1895"/>
    </row>
    <row r="309" spans="1:5" s="1777" customFormat="1">
      <c r="A309" s="1895"/>
      <c r="C309" s="1896"/>
      <c r="E309" s="1895"/>
    </row>
    <row r="310" spans="1:5" s="1777" customFormat="1">
      <c r="A310" s="1895"/>
      <c r="C310" s="1896"/>
      <c r="E310" s="1895"/>
    </row>
    <row r="311" spans="1:5" s="1777" customFormat="1">
      <c r="A311" s="1895"/>
      <c r="C311" s="1896"/>
      <c r="E311" s="1895"/>
    </row>
    <row r="312" spans="1:5" s="1777" customFormat="1">
      <c r="A312" s="1895"/>
      <c r="C312" s="1896"/>
      <c r="E312" s="1895"/>
    </row>
    <row r="313" spans="1:5" s="1777" customFormat="1">
      <c r="A313" s="1895"/>
      <c r="C313" s="1896"/>
      <c r="E313" s="1895"/>
    </row>
    <row r="314" spans="1:5" s="1777" customFormat="1">
      <c r="A314" s="1895"/>
      <c r="C314" s="1896"/>
      <c r="E314" s="1895"/>
    </row>
    <row r="315" spans="1:5" s="1777" customFormat="1">
      <c r="A315" s="1895"/>
      <c r="C315" s="1896"/>
      <c r="E315" s="1895"/>
    </row>
    <row r="316" spans="1:5" s="1777" customFormat="1">
      <c r="A316" s="1895"/>
      <c r="C316" s="1896"/>
      <c r="E316" s="1895"/>
    </row>
    <row r="317" spans="1:5" s="1777" customFormat="1">
      <c r="A317" s="1895"/>
      <c r="C317" s="1896"/>
      <c r="E317" s="1895"/>
    </row>
    <row r="318" spans="1:5" s="1777" customFormat="1">
      <c r="A318" s="1895"/>
      <c r="C318" s="1896"/>
      <c r="E318" s="1895"/>
    </row>
    <row r="319" spans="1:5" s="1777" customFormat="1">
      <c r="A319" s="1895"/>
      <c r="C319" s="1896"/>
      <c r="E319" s="1895"/>
    </row>
    <row r="320" spans="1:5" s="1777" customFormat="1">
      <c r="A320" s="1895"/>
      <c r="C320" s="1896"/>
      <c r="E320" s="1895"/>
    </row>
    <row r="321" spans="1:5" s="1777" customFormat="1">
      <c r="A321" s="1895"/>
      <c r="C321" s="1896"/>
      <c r="E321" s="1895"/>
    </row>
    <row r="322" spans="1:5" s="1777" customFormat="1">
      <c r="A322" s="1895"/>
      <c r="C322" s="1896"/>
      <c r="E322" s="1895"/>
    </row>
    <row r="323" spans="1:5" s="1777" customFormat="1">
      <c r="A323" s="1895"/>
      <c r="C323" s="1896"/>
      <c r="E323" s="1895"/>
    </row>
    <row r="324" spans="1:5" s="1777" customFormat="1">
      <c r="A324" s="1895"/>
      <c r="C324" s="1896"/>
      <c r="E324" s="1895"/>
    </row>
    <row r="325" spans="1:5" s="1777" customFormat="1">
      <c r="A325" s="1895"/>
      <c r="C325" s="1896"/>
      <c r="E325" s="1895"/>
    </row>
    <row r="326" spans="1:5" s="1777" customFormat="1">
      <c r="A326" s="1895"/>
      <c r="C326" s="1896"/>
      <c r="E326" s="1895"/>
    </row>
    <row r="327" spans="1:5" s="1777" customFormat="1">
      <c r="A327" s="1895"/>
      <c r="C327" s="1896"/>
      <c r="E327" s="1895"/>
    </row>
    <row r="328" spans="1:5" s="1777" customFormat="1">
      <c r="A328" s="1895"/>
      <c r="C328" s="1896"/>
      <c r="E328" s="1895"/>
    </row>
    <row r="329" spans="1:5" s="1777" customFormat="1">
      <c r="A329" s="1895"/>
      <c r="C329" s="1896"/>
      <c r="E329" s="1895"/>
    </row>
    <row r="330" spans="1:5" s="1777" customFormat="1">
      <c r="A330" s="1895"/>
      <c r="C330" s="1896"/>
      <c r="E330" s="1895"/>
    </row>
    <row r="331" spans="1:5" s="1777" customFormat="1">
      <c r="A331" s="1895"/>
      <c r="C331" s="1896"/>
      <c r="E331" s="1895"/>
    </row>
    <row r="332" spans="1:5" s="1777" customFormat="1">
      <c r="A332" s="1895"/>
      <c r="C332" s="1896"/>
      <c r="E332" s="1895"/>
    </row>
    <row r="333" spans="1:5" s="1777" customFormat="1">
      <c r="A333" s="1895"/>
      <c r="C333" s="1896"/>
      <c r="E333" s="1895"/>
    </row>
    <row r="334" spans="1:5" s="1777" customFormat="1">
      <c r="A334" s="1895"/>
      <c r="C334" s="1896"/>
      <c r="E334" s="1895"/>
    </row>
    <row r="335" spans="1:5" s="1777" customFormat="1">
      <c r="A335" s="1895"/>
      <c r="C335" s="1896"/>
      <c r="E335" s="1895"/>
    </row>
    <row r="336" spans="1:5" s="1777" customFormat="1">
      <c r="A336" s="1895"/>
      <c r="C336" s="1896"/>
      <c r="E336" s="1895"/>
    </row>
    <row r="337" spans="1:5" s="1777" customFormat="1">
      <c r="A337" s="1895"/>
      <c r="C337" s="1896"/>
      <c r="E337" s="1895"/>
    </row>
    <row r="338" spans="1:5" s="1777" customFormat="1">
      <c r="A338" s="1895"/>
      <c r="C338" s="1896"/>
      <c r="E338" s="1895"/>
    </row>
    <row r="339" spans="1:5" s="1777" customFormat="1">
      <c r="A339" s="1895"/>
      <c r="C339" s="1896"/>
      <c r="E339" s="1895"/>
    </row>
    <row r="340" spans="1:5" s="1777" customFormat="1">
      <c r="A340" s="1895"/>
      <c r="C340" s="1896"/>
      <c r="E340" s="1895"/>
    </row>
    <row r="341" spans="1:5" s="1777" customFormat="1">
      <c r="A341" s="1895"/>
      <c r="C341" s="1896"/>
      <c r="E341" s="1895"/>
    </row>
    <row r="342" spans="1:5" s="1777" customFormat="1">
      <c r="A342" s="1895"/>
      <c r="C342" s="1896"/>
      <c r="E342" s="1895"/>
    </row>
    <row r="343" spans="1:5" s="1777" customFormat="1">
      <c r="A343" s="1895"/>
      <c r="C343" s="1896"/>
      <c r="E343" s="1895"/>
    </row>
    <row r="344" spans="1:5" s="1777" customFormat="1">
      <c r="A344" s="1895"/>
      <c r="C344" s="1896"/>
      <c r="E344" s="1895"/>
    </row>
    <row r="345" spans="1:5" s="1777" customFormat="1">
      <c r="A345" s="1895"/>
      <c r="C345" s="1896"/>
      <c r="E345" s="1895"/>
    </row>
    <row r="346" spans="1:5" s="1777" customFormat="1">
      <c r="A346" s="1895"/>
      <c r="C346" s="1896"/>
      <c r="E346" s="1895"/>
    </row>
    <row r="347" spans="1:5" s="1777" customFormat="1">
      <c r="A347" s="1895"/>
      <c r="C347" s="1896"/>
      <c r="E347" s="1895"/>
    </row>
    <row r="348" spans="1:5" s="1777" customFormat="1">
      <c r="A348" s="1895"/>
      <c r="C348" s="1896"/>
      <c r="E348" s="1895"/>
    </row>
    <row r="349" spans="1:5" s="1777" customFormat="1">
      <c r="A349" s="1895"/>
      <c r="C349" s="1896"/>
      <c r="E349" s="1895"/>
    </row>
    <row r="350" spans="1:5" s="1777" customFormat="1">
      <c r="A350" s="1895"/>
      <c r="C350" s="1896"/>
      <c r="E350" s="1895"/>
    </row>
    <row r="351" spans="1:5" s="1777" customFormat="1">
      <c r="A351" s="1895"/>
      <c r="C351" s="1896"/>
      <c r="E351" s="1895"/>
    </row>
    <row r="352" spans="1:5" s="1777" customFormat="1">
      <c r="A352" s="1895"/>
      <c r="C352" s="1896"/>
      <c r="E352" s="1895"/>
    </row>
    <row r="353" spans="1:5" s="1777" customFormat="1">
      <c r="A353" s="1895"/>
      <c r="C353" s="1896"/>
      <c r="E353" s="1895"/>
    </row>
    <row r="354" spans="1:5" s="1777" customFormat="1">
      <c r="A354" s="1895"/>
      <c r="C354" s="1896"/>
      <c r="E354" s="1895"/>
    </row>
    <row r="355" spans="1:5" s="1777" customFormat="1">
      <c r="A355" s="1895"/>
      <c r="C355" s="1896"/>
      <c r="E355" s="1895"/>
    </row>
    <row r="356" spans="1:5" s="1777" customFormat="1">
      <c r="A356" s="1895"/>
      <c r="C356" s="1896"/>
      <c r="E356" s="1895"/>
    </row>
    <row r="357" spans="1:5" s="1777" customFormat="1">
      <c r="A357" s="1895"/>
      <c r="C357" s="1896"/>
      <c r="E357" s="1895"/>
    </row>
    <row r="358" spans="1:5" s="1777" customFormat="1">
      <c r="A358" s="1895"/>
      <c r="C358" s="1896"/>
      <c r="E358" s="1895"/>
    </row>
    <row r="359" spans="1:5" s="1777" customFormat="1">
      <c r="A359" s="1895"/>
      <c r="C359" s="1896"/>
      <c r="E359" s="1895"/>
    </row>
    <row r="360" spans="1:5" s="1777" customFormat="1">
      <c r="A360" s="1895"/>
      <c r="C360" s="1896"/>
      <c r="E360" s="1895"/>
    </row>
    <row r="361" spans="1:5" s="1777" customFormat="1">
      <c r="A361" s="1895"/>
      <c r="C361" s="1896"/>
      <c r="E361" s="1895"/>
    </row>
    <row r="362" spans="1:5" s="1777" customFormat="1">
      <c r="A362" s="1895"/>
      <c r="C362" s="1896"/>
      <c r="E362" s="1895"/>
    </row>
    <row r="363" spans="1:5" s="1777" customFormat="1">
      <c r="A363" s="1895"/>
      <c r="C363" s="1896"/>
      <c r="E363" s="1895"/>
    </row>
    <row r="364" spans="1:5" s="1777" customFormat="1">
      <c r="A364" s="1895"/>
      <c r="C364" s="1896"/>
      <c r="E364" s="1895"/>
    </row>
    <row r="365" spans="1:5" s="1777" customFormat="1">
      <c r="A365" s="1895"/>
      <c r="C365" s="1896"/>
      <c r="E365" s="1895"/>
    </row>
    <row r="366" spans="1:5" s="1777" customFormat="1">
      <c r="A366" s="1895"/>
      <c r="C366" s="1896"/>
      <c r="E366" s="1895"/>
    </row>
    <row r="367" spans="1:5" s="1777" customFormat="1">
      <c r="A367" s="1895"/>
      <c r="C367" s="1896"/>
      <c r="E367" s="1895"/>
    </row>
    <row r="368" spans="1:5" s="1777" customFormat="1">
      <c r="A368" s="1895"/>
      <c r="C368" s="1896"/>
      <c r="E368" s="1895"/>
    </row>
    <row r="369" spans="1:5" s="1777" customFormat="1">
      <c r="A369" s="1895"/>
      <c r="C369" s="1896"/>
      <c r="E369" s="1895"/>
    </row>
    <row r="370" spans="1:5" s="1777" customFormat="1">
      <c r="A370" s="1895"/>
      <c r="C370" s="1896"/>
      <c r="E370" s="1895"/>
    </row>
    <row r="371" spans="1:5" s="1777" customFormat="1">
      <c r="A371" s="1895"/>
      <c r="C371" s="1896"/>
      <c r="E371" s="1895"/>
    </row>
    <row r="372" spans="1:5" s="1777" customFormat="1">
      <c r="A372" s="1895"/>
      <c r="C372" s="1896"/>
      <c r="E372" s="1895"/>
    </row>
    <row r="373" spans="1:5" s="1777" customFormat="1">
      <c r="A373" s="1895"/>
      <c r="C373" s="1896"/>
      <c r="E373" s="1895"/>
    </row>
    <row r="374" spans="1:5" s="1777" customFormat="1">
      <c r="A374" s="1895"/>
      <c r="C374" s="1896"/>
      <c r="E374" s="1895"/>
    </row>
    <row r="375" spans="1:5" s="1777" customFormat="1">
      <c r="A375" s="1895"/>
      <c r="C375" s="1896"/>
      <c r="E375" s="1895"/>
    </row>
    <row r="376" spans="1:5" s="1777" customFormat="1">
      <c r="A376" s="1895"/>
      <c r="C376" s="1896"/>
      <c r="E376" s="1895"/>
    </row>
    <row r="377" spans="1:5" s="1777" customFormat="1">
      <c r="A377" s="1895"/>
      <c r="C377" s="1896"/>
      <c r="E377" s="1895"/>
    </row>
    <row r="378" spans="1:5" s="1777" customFormat="1">
      <c r="A378" s="1895"/>
      <c r="C378" s="1896"/>
      <c r="E378" s="1895"/>
    </row>
    <row r="379" spans="1:5" s="1777" customFormat="1">
      <c r="A379" s="1895"/>
      <c r="C379" s="1896"/>
      <c r="E379" s="1895"/>
    </row>
    <row r="380" spans="1:5" s="1777" customFormat="1">
      <c r="A380" s="1895"/>
      <c r="C380" s="1896"/>
      <c r="E380" s="1895"/>
    </row>
    <row r="381" spans="1:5" s="1777" customFormat="1">
      <c r="A381" s="1895"/>
      <c r="C381" s="1896"/>
      <c r="E381" s="1895"/>
    </row>
    <row r="382" spans="1:5" s="1777" customFormat="1">
      <c r="A382" s="1895"/>
      <c r="C382" s="1896"/>
      <c r="E382" s="1895"/>
    </row>
    <row r="383" spans="1:5" s="1777" customFormat="1">
      <c r="A383" s="1895"/>
      <c r="C383" s="1896"/>
      <c r="E383" s="1895"/>
    </row>
    <row r="384" spans="1:5" s="1777" customFormat="1">
      <c r="A384" s="1895"/>
      <c r="C384" s="1896"/>
      <c r="E384" s="1895"/>
    </row>
    <row r="385" spans="1:5" s="1777" customFormat="1">
      <c r="A385" s="1895"/>
      <c r="C385" s="1896"/>
      <c r="E385" s="1895"/>
    </row>
    <row r="386" spans="1:5" s="1777" customFormat="1">
      <c r="A386" s="1895"/>
      <c r="C386" s="1896"/>
      <c r="E386" s="1895"/>
    </row>
    <row r="387" spans="1:5" s="1777" customFormat="1">
      <c r="A387" s="1895"/>
      <c r="C387" s="1896"/>
      <c r="E387" s="1895"/>
    </row>
    <row r="388" spans="1:5" s="1777" customFormat="1">
      <c r="A388" s="1895"/>
      <c r="C388" s="1896"/>
      <c r="E388" s="1895"/>
    </row>
    <row r="389" spans="1:5" s="1777" customFormat="1">
      <c r="A389" s="1895"/>
      <c r="C389" s="1896"/>
      <c r="E389" s="1895"/>
    </row>
    <row r="390" spans="1:5" s="1777" customFormat="1">
      <c r="A390" s="1895"/>
      <c r="C390" s="1896"/>
      <c r="E390" s="1895"/>
    </row>
    <row r="391" spans="1:5" s="1777" customFormat="1">
      <c r="A391" s="1895"/>
      <c r="C391" s="1896"/>
      <c r="E391" s="1895"/>
    </row>
    <row r="392" spans="1:5" s="1777" customFormat="1">
      <c r="A392" s="1895"/>
      <c r="C392" s="1896"/>
      <c r="E392" s="1895"/>
    </row>
    <row r="393" spans="1:5" s="1777" customFormat="1">
      <c r="A393" s="1895"/>
      <c r="C393" s="1896"/>
      <c r="E393" s="1895"/>
    </row>
    <row r="394" spans="1:5" s="1777" customFormat="1">
      <c r="A394" s="1895"/>
      <c r="C394" s="1896"/>
      <c r="E394" s="1895"/>
    </row>
    <row r="395" spans="1:5" s="1777" customFormat="1">
      <c r="A395" s="1895"/>
      <c r="C395" s="1896"/>
      <c r="E395" s="1895"/>
    </row>
    <row r="396" spans="1:5" s="1777" customFormat="1">
      <c r="A396" s="1895"/>
      <c r="C396" s="1896"/>
      <c r="E396" s="1895"/>
    </row>
    <row r="397" spans="1:5" s="1777" customFormat="1">
      <c r="A397" s="1895"/>
      <c r="C397" s="1896"/>
      <c r="E397" s="1895"/>
    </row>
    <row r="398" spans="1:5" s="1777" customFormat="1">
      <c r="A398" s="1895"/>
      <c r="C398" s="1896"/>
      <c r="E398" s="1895"/>
    </row>
    <row r="399" spans="1:5" s="1777" customFormat="1">
      <c r="A399" s="1895"/>
      <c r="C399" s="1896"/>
      <c r="E399" s="1895"/>
    </row>
    <row r="400" spans="1:5" s="1777" customFormat="1">
      <c r="A400" s="1895"/>
      <c r="C400" s="1896"/>
      <c r="E400" s="1895"/>
    </row>
    <row r="401" spans="1:5" s="1777" customFormat="1">
      <c r="A401" s="1895"/>
      <c r="C401" s="1896"/>
      <c r="E401" s="1895"/>
    </row>
    <row r="402" spans="1:5" s="1777" customFormat="1">
      <c r="A402" s="1895"/>
      <c r="C402" s="1896"/>
      <c r="E402" s="1895"/>
    </row>
    <row r="403" spans="1:5" s="1777" customFormat="1">
      <c r="A403" s="1895"/>
      <c r="C403" s="1896"/>
      <c r="E403" s="1895"/>
    </row>
    <row r="404" spans="1:5" s="1777" customFormat="1">
      <c r="A404" s="1895"/>
      <c r="C404" s="1896"/>
      <c r="E404" s="1895"/>
    </row>
    <row r="405" spans="1:5" s="1777" customFormat="1">
      <c r="A405" s="1895"/>
      <c r="C405" s="1896"/>
      <c r="E405" s="1895"/>
    </row>
    <row r="406" spans="1:5" s="1777" customFormat="1">
      <c r="A406" s="1895"/>
      <c r="C406" s="1896"/>
      <c r="E406" s="1895"/>
    </row>
    <row r="407" spans="1:5" s="1777" customFormat="1">
      <c r="A407" s="1895"/>
      <c r="C407" s="1896"/>
      <c r="E407" s="1895"/>
    </row>
    <row r="408" spans="1:5" s="1777" customFormat="1">
      <c r="A408" s="1895"/>
      <c r="C408" s="1896"/>
      <c r="E408" s="1895"/>
    </row>
    <row r="409" spans="1:5" s="1777" customFormat="1">
      <c r="A409" s="1895"/>
      <c r="C409" s="1896"/>
      <c r="E409" s="1895"/>
    </row>
    <row r="410" spans="1:5" s="1777" customFormat="1">
      <c r="A410" s="1895"/>
      <c r="C410" s="1896"/>
      <c r="E410" s="1895"/>
    </row>
    <row r="411" spans="1:5" s="1777" customFormat="1">
      <c r="A411" s="1895"/>
      <c r="C411" s="1896"/>
      <c r="E411" s="1895"/>
    </row>
    <row r="412" spans="1:5" s="1777" customFormat="1">
      <c r="A412" s="1895"/>
      <c r="C412" s="1896"/>
      <c r="E412" s="1895"/>
    </row>
    <row r="413" spans="1:5" s="1777" customFormat="1">
      <c r="A413" s="1895"/>
      <c r="C413" s="1896"/>
      <c r="E413" s="1895"/>
    </row>
    <row r="414" spans="1:5" s="1777" customFormat="1">
      <c r="A414" s="1895"/>
      <c r="C414" s="1896"/>
      <c r="E414" s="1895"/>
    </row>
    <row r="415" spans="1:5" s="1777" customFormat="1">
      <c r="A415" s="1895"/>
      <c r="C415" s="1896"/>
      <c r="E415" s="1895"/>
    </row>
    <row r="416" spans="1:5" s="1777" customFormat="1">
      <c r="A416" s="1895"/>
      <c r="C416" s="1896"/>
      <c r="E416" s="1895"/>
    </row>
    <row r="417" spans="1:5" s="1777" customFormat="1">
      <c r="A417" s="1895"/>
      <c r="C417" s="1896"/>
      <c r="E417" s="1895"/>
    </row>
    <row r="418" spans="1:5" s="1777" customFormat="1">
      <c r="A418" s="1895"/>
      <c r="C418" s="1896"/>
      <c r="E418" s="1895"/>
    </row>
    <row r="419" spans="1:5" s="1777" customFormat="1">
      <c r="A419" s="1895"/>
      <c r="C419" s="1896"/>
      <c r="E419" s="1895"/>
    </row>
    <row r="420" spans="1:5" s="1777" customFormat="1">
      <c r="A420" s="1895"/>
      <c r="C420" s="1896"/>
      <c r="E420" s="1895"/>
    </row>
    <row r="421" spans="1:5" s="1777" customFormat="1">
      <c r="A421" s="1895"/>
      <c r="C421" s="1896"/>
      <c r="E421" s="1895"/>
    </row>
    <row r="422" spans="1:5" s="1777" customFormat="1">
      <c r="A422" s="1895"/>
      <c r="C422" s="1896"/>
      <c r="E422" s="1895"/>
    </row>
    <row r="423" spans="1:5" s="1777" customFormat="1">
      <c r="A423" s="1895"/>
      <c r="C423" s="1896"/>
      <c r="E423" s="1895"/>
    </row>
    <row r="424" spans="1:5" s="1777" customFormat="1">
      <c r="A424" s="1895"/>
      <c r="C424" s="1896"/>
      <c r="E424" s="1895"/>
    </row>
    <row r="425" spans="1:5" s="1777" customFormat="1">
      <c r="A425" s="1895"/>
      <c r="C425" s="1896"/>
      <c r="E425" s="1895"/>
    </row>
    <row r="426" spans="1:5" s="1777" customFormat="1">
      <c r="A426" s="1895"/>
      <c r="C426" s="1896"/>
      <c r="E426" s="1895"/>
    </row>
    <row r="427" spans="1:5" s="1777" customFormat="1">
      <c r="A427" s="1895"/>
      <c r="C427" s="1896"/>
      <c r="E427" s="1895"/>
    </row>
    <row r="428" spans="1:5" s="1777" customFormat="1">
      <c r="A428" s="1895"/>
      <c r="C428" s="1896"/>
      <c r="E428" s="1895"/>
    </row>
    <row r="429" spans="1:5" s="1777" customFormat="1">
      <c r="A429" s="1895"/>
      <c r="C429" s="1896"/>
      <c r="E429" s="1895"/>
    </row>
    <row r="430" spans="1:5" s="1777" customFormat="1">
      <c r="A430" s="1895"/>
      <c r="C430" s="1896"/>
      <c r="E430" s="1895"/>
    </row>
    <row r="431" spans="1:5" s="1777" customFormat="1">
      <c r="A431" s="1895"/>
      <c r="C431" s="1896"/>
      <c r="E431" s="1895"/>
    </row>
    <row r="432" spans="1:5" s="1777" customFormat="1">
      <c r="A432" s="1895"/>
      <c r="C432" s="1896"/>
      <c r="E432" s="1895"/>
    </row>
    <row r="433" spans="1:5" s="1777" customFormat="1">
      <c r="A433" s="1895"/>
      <c r="C433" s="1896"/>
      <c r="E433" s="1895"/>
    </row>
    <row r="434" spans="1:5" s="1777" customFormat="1">
      <c r="A434" s="1895"/>
      <c r="C434" s="1896"/>
      <c r="E434" s="1895"/>
    </row>
    <row r="435" spans="1:5" s="1777" customFormat="1">
      <c r="A435" s="1895"/>
      <c r="C435" s="1896"/>
      <c r="E435" s="1895"/>
    </row>
    <row r="436" spans="1:5" s="1777" customFormat="1">
      <c r="A436" s="1895"/>
      <c r="C436" s="1896"/>
      <c r="E436" s="1895"/>
    </row>
    <row r="437" spans="1:5" s="1777" customFormat="1">
      <c r="A437" s="1895"/>
      <c r="C437" s="1896"/>
      <c r="E437" s="1895"/>
    </row>
    <row r="438" spans="1:5" s="1777" customFormat="1">
      <c r="A438" s="1895"/>
      <c r="C438" s="1896"/>
      <c r="E438" s="1895"/>
    </row>
    <row r="439" spans="1:5" s="1777" customFormat="1">
      <c r="A439" s="1895"/>
      <c r="C439" s="1896"/>
      <c r="E439" s="1895"/>
    </row>
    <row r="440" spans="1:5" s="1777" customFormat="1">
      <c r="A440" s="1895"/>
      <c r="C440" s="1896"/>
      <c r="E440" s="1895"/>
    </row>
    <row r="441" spans="1:5" s="1777" customFormat="1">
      <c r="A441" s="1895"/>
      <c r="C441" s="1896"/>
      <c r="E441" s="1895"/>
    </row>
    <row r="442" spans="1:5" s="1777" customFormat="1">
      <c r="A442" s="1895"/>
      <c r="C442" s="1896"/>
      <c r="E442" s="1895"/>
    </row>
    <row r="443" spans="1:5" s="1777" customFormat="1">
      <c r="A443" s="1895"/>
      <c r="C443" s="1896"/>
      <c r="E443" s="1895"/>
    </row>
    <row r="444" spans="1:5" s="1777" customFormat="1">
      <c r="A444" s="1895"/>
      <c r="C444" s="1896"/>
      <c r="E444" s="1895"/>
    </row>
    <row r="445" spans="1:5" s="1777" customFormat="1">
      <c r="A445" s="1895"/>
      <c r="C445" s="1896"/>
      <c r="E445" s="1895"/>
    </row>
    <row r="446" spans="1:5" s="1777" customFormat="1">
      <c r="A446" s="1895"/>
      <c r="C446" s="1896"/>
      <c r="E446" s="1895"/>
    </row>
    <row r="447" spans="1:5" s="1777" customFormat="1">
      <c r="A447" s="1895"/>
      <c r="C447" s="1896"/>
      <c r="E447" s="1895"/>
    </row>
    <row r="448" spans="1:5" s="1777" customFormat="1">
      <c r="A448" s="1895"/>
      <c r="C448" s="1896"/>
      <c r="E448" s="1895"/>
    </row>
    <row r="449" spans="1:5" s="1777" customFormat="1">
      <c r="A449" s="1895"/>
      <c r="C449" s="1896"/>
      <c r="E449" s="1895"/>
    </row>
    <row r="450" spans="1:5" s="1777" customFormat="1">
      <c r="A450" s="1895"/>
      <c r="C450" s="1896"/>
      <c r="E450" s="1895"/>
    </row>
    <row r="451" spans="1:5" s="1777" customFormat="1">
      <c r="A451" s="1895"/>
      <c r="C451" s="1896"/>
      <c r="E451" s="1895"/>
    </row>
    <row r="452" spans="1:5" s="1777" customFormat="1">
      <c r="A452" s="1895"/>
      <c r="C452" s="1896"/>
      <c r="E452" s="1895"/>
    </row>
    <row r="453" spans="1:5" s="1777" customFormat="1">
      <c r="A453" s="1895"/>
      <c r="C453" s="1896"/>
      <c r="E453" s="1895"/>
    </row>
    <row r="454" spans="1:5" s="1777" customFormat="1">
      <c r="A454" s="1895"/>
      <c r="C454" s="1896"/>
      <c r="E454" s="1895"/>
    </row>
    <row r="455" spans="1:5" s="1777" customFormat="1">
      <c r="A455" s="1895"/>
      <c r="C455" s="1896"/>
      <c r="E455" s="1895"/>
    </row>
    <row r="456" spans="1:5" s="1777" customFormat="1">
      <c r="A456" s="1895"/>
      <c r="C456" s="1896"/>
      <c r="E456" s="1895"/>
    </row>
    <row r="457" spans="1:5" s="1777" customFormat="1">
      <c r="A457" s="1895"/>
      <c r="C457" s="1896"/>
      <c r="E457" s="1895"/>
    </row>
    <row r="458" spans="1:5" s="1777" customFormat="1">
      <c r="A458" s="1895"/>
      <c r="C458" s="1896"/>
      <c r="E458" s="1895"/>
    </row>
    <row r="459" spans="1:5" s="1777" customFormat="1">
      <c r="A459" s="1895"/>
      <c r="C459" s="1896"/>
      <c r="E459" s="1895"/>
    </row>
    <row r="460" spans="1:5" s="1777" customFormat="1">
      <c r="A460" s="1895"/>
      <c r="C460" s="1896"/>
      <c r="E460" s="1895"/>
    </row>
    <row r="461" spans="1:5" s="1777" customFormat="1">
      <c r="A461" s="1895"/>
      <c r="C461" s="1896"/>
      <c r="E461" s="1895"/>
    </row>
    <row r="462" spans="1:5" s="1777" customFormat="1">
      <c r="A462" s="1895"/>
      <c r="C462" s="1896"/>
      <c r="E462" s="1895"/>
    </row>
    <row r="463" spans="1:5" s="1777" customFormat="1">
      <c r="A463" s="1895"/>
      <c r="C463" s="1896"/>
      <c r="E463" s="1895"/>
    </row>
    <row r="464" spans="1:5" s="1777" customFormat="1">
      <c r="A464" s="1895"/>
      <c r="C464" s="1896"/>
      <c r="E464" s="1895"/>
    </row>
    <row r="465" spans="1:5" s="1777" customFormat="1">
      <c r="A465" s="1895"/>
      <c r="C465" s="1896"/>
      <c r="E465" s="1895"/>
    </row>
    <row r="466" spans="1:5" s="1777" customFormat="1">
      <c r="A466" s="1895"/>
      <c r="C466" s="1896"/>
      <c r="E466" s="1895"/>
    </row>
    <row r="467" spans="1:5" s="1777" customFormat="1">
      <c r="A467" s="1895"/>
      <c r="C467" s="1896"/>
      <c r="E467" s="1895"/>
    </row>
    <row r="468" spans="1:5" s="1777" customFormat="1">
      <c r="A468" s="1895"/>
      <c r="C468" s="1896"/>
      <c r="E468" s="1895"/>
    </row>
    <row r="469" spans="1:5" s="1777" customFormat="1">
      <c r="A469" s="1895"/>
      <c r="C469" s="1896"/>
      <c r="E469" s="1895"/>
    </row>
    <row r="470" spans="1:5" s="1777" customFormat="1">
      <c r="A470" s="1895"/>
      <c r="C470" s="1896"/>
      <c r="E470" s="1895"/>
    </row>
    <row r="471" spans="1:5" s="1777" customFormat="1">
      <c r="A471" s="1895"/>
      <c r="C471" s="1896"/>
      <c r="E471" s="1895"/>
    </row>
    <row r="472" spans="1:5" s="1777" customFormat="1">
      <c r="A472" s="1895"/>
      <c r="C472" s="1896"/>
      <c r="E472" s="1895"/>
    </row>
    <row r="473" spans="1:5" s="1777" customFormat="1">
      <c r="A473" s="1895"/>
      <c r="C473" s="1896"/>
      <c r="E473" s="1895"/>
    </row>
    <row r="474" spans="1:5" s="1777" customFormat="1">
      <c r="A474" s="1895"/>
      <c r="C474" s="1896"/>
      <c r="E474" s="1895"/>
    </row>
    <row r="475" spans="1:5" s="1777" customFormat="1">
      <c r="A475" s="1895"/>
      <c r="C475" s="1896"/>
      <c r="E475" s="1895"/>
    </row>
    <row r="476" spans="1:5" s="1777" customFormat="1">
      <c r="A476" s="1895"/>
      <c r="C476" s="1896"/>
      <c r="E476" s="1895"/>
    </row>
    <row r="477" spans="1:5" s="1777" customFormat="1">
      <c r="A477" s="1895"/>
      <c r="C477" s="1896"/>
      <c r="E477" s="1895"/>
    </row>
    <row r="478" spans="1:5" s="1777" customFormat="1">
      <c r="A478" s="1895"/>
      <c r="C478" s="1896"/>
      <c r="E478" s="1895"/>
    </row>
    <row r="479" spans="1:5" s="1777" customFormat="1">
      <c r="A479" s="1895"/>
      <c r="C479" s="1896"/>
      <c r="E479" s="1895"/>
    </row>
    <row r="480" spans="1:5" s="1777" customFormat="1">
      <c r="A480" s="1895"/>
      <c r="C480" s="1896"/>
      <c r="E480" s="1895"/>
    </row>
    <row r="481" spans="1:5" s="1777" customFormat="1">
      <c r="A481" s="1895"/>
      <c r="C481" s="1896"/>
      <c r="E481" s="1895"/>
    </row>
    <row r="482" spans="1:5" s="1777" customFormat="1">
      <c r="A482" s="1895"/>
      <c r="C482" s="1896"/>
      <c r="E482" s="1895"/>
    </row>
    <row r="483" spans="1:5" s="1777" customFormat="1">
      <c r="A483" s="1895"/>
      <c r="C483" s="1896"/>
      <c r="E483" s="1895"/>
    </row>
    <row r="484" spans="1:5" s="1777" customFormat="1">
      <c r="A484" s="1895"/>
      <c r="C484" s="1896"/>
      <c r="E484" s="1895"/>
    </row>
    <row r="485" spans="1:5" s="1777" customFormat="1">
      <c r="A485" s="1895"/>
      <c r="C485" s="1896"/>
      <c r="E485" s="1895"/>
    </row>
    <row r="486" spans="1:5" s="1777" customFormat="1">
      <c r="A486" s="1895"/>
      <c r="C486" s="1896"/>
      <c r="E486" s="1895"/>
    </row>
    <row r="487" spans="1:5" s="1777" customFormat="1">
      <c r="A487" s="1895"/>
      <c r="C487" s="1896"/>
      <c r="E487" s="1895"/>
    </row>
    <row r="488" spans="1:5" s="1777" customFormat="1">
      <c r="A488" s="1895"/>
      <c r="C488" s="1896"/>
      <c r="E488" s="1895"/>
    </row>
    <row r="489" spans="1:5" s="1777" customFormat="1">
      <c r="A489" s="1895"/>
      <c r="C489" s="1896"/>
      <c r="E489" s="1895"/>
    </row>
    <row r="490" spans="1:5" s="1777" customFormat="1">
      <c r="A490" s="1895"/>
      <c r="C490" s="1896"/>
      <c r="E490" s="1895"/>
    </row>
  </sheetData>
  <sheetProtection password="CEE9" sheet="1" objects="1" scenarios="1" formatCells="0" formatColumns="0" formatRows="0"/>
  <phoneticPr fontId="231" type="noConversion"/>
  <dataValidations disablePrompts="1" count="2">
    <dataValidation type="list" allowBlank="1" showInputMessage="1" showErrorMessage="1" sqref="G20" xr:uid="{00000000-0002-0000-1200-000000000000}">
      <formula1>"已全部缴纳,已部分缴纳"</formula1>
    </dataValidation>
    <dataValidation type="list" allowBlank="1" showInputMessage="1" showErrorMessage="1" sqref="B1 C7:K7" xr:uid="{00000000-0002-0000-1200-000001000000}">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92D050"/>
    <pageSetUpPr fitToPage="1"/>
  </sheetPr>
  <dimension ref="A1:AC268"/>
  <sheetViews>
    <sheetView view="pageBreakPreview" topLeftCell="B27" zoomScale="70" zoomScaleNormal="60" zoomScaleSheetLayoutView="70" workbookViewId="0">
      <selection activeCell="E50" sqref="E50"/>
    </sheetView>
  </sheetViews>
  <sheetFormatPr defaultColWidth="9" defaultRowHeight="14.25"/>
  <cols>
    <col min="1" max="1" width="10.5" style="198" customWidth="1"/>
    <col min="2" max="2" width="15.75" style="198" customWidth="1"/>
    <col min="3" max="3" width="18.25" style="198" customWidth="1"/>
    <col min="4" max="4" width="12.25" style="198" customWidth="1"/>
    <col min="5" max="5" width="17.75" style="198" customWidth="1"/>
    <col min="6" max="6" width="12.25" style="198" customWidth="1"/>
    <col min="7" max="7" width="21.25" style="198" customWidth="1"/>
    <col min="8" max="8" width="12.25" style="198" customWidth="1"/>
    <col min="9" max="9" width="17.37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1946" t="s">
        <v>1041</v>
      </c>
      <c r="C1" s="1947" t="s">
        <v>1042</v>
      </c>
      <c r="D1" s="1948" t="s">
        <v>368</v>
      </c>
      <c r="E1" s="210"/>
      <c r="F1" s="206" t="s">
        <v>1043</v>
      </c>
      <c r="G1" s="207" t="s">
        <v>1044</v>
      </c>
      <c r="H1" s="205"/>
      <c r="I1" s="205"/>
      <c r="J1" s="205"/>
      <c r="K1" s="375"/>
      <c r="L1" s="376"/>
      <c r="M1" s="377"/>
      <c r="N1" s="377"/>
      <c r="O1" s="377"/>
      <c r="P1" s="1959"/>
      <c r="Q1" s="1959"/>
      <c r="R1" s="1959"/>
      <c r="S1" s="1959"/>
      <c r="T1" s="1959"/>
      <c r="U1" s="1959"/>
      <c r="V1" s="1959"/>
      <c r="W1" s="1959"/>
      <c r="X1" s="1959"/>
      <c r="Y1" s="1959"/>
      <c r="Z1" s="1959"/>
      <c r="AA1" s="1959"/>
      <c r="AB1" s="1959"/>
      <c r="AC1" s="1975"/>
    </row>
    <row r="2" spans="1:29" s="1945" customFormat="1" ht="28.5" customHeight="1">
      <c r="A2" s="208" t="s">
        <v>893</v>
      </c>
      <c r="B2" s="1949">
        <f>ROUND(B3*D3/10000,0)</f>
        <v>275044</v>
      </c>
      <c r="C2" s="210"/>
      <c r="D2" s="210"/>
      <c r="E2" s="210"/>
      <c r="F2" s="1950"/>
      <c r="G2" s="210"/>
      <c r="H2" s="210"/>
      <c r="I2" s="210"/>
      <c r="J2" s="210"/>
      <c r="K2" s="1960"/>
      <c r="L2" s="1961"/>
      <c r="M2" s="1962"/>
      <c r="N2" s="1962"/>
      <c r="O2" s="1962"/>
      <c r="P2" s="1963"/>
      <c r="Q2" s="1963"/>
      <c r="R2" s="1963"/>
      <c r="S2" s="1963"/>
      <c r="T2" s="1963"/>
      <c r="U2" s="1963"/>
      <c r="V2" s="1963"/>
      <c r="W2" s="1963"/>
      <c r="X2" s="1963"/>
      <c r="Y2" s="1963"/>
      <c r="Z2" s="1963"/>
      <c r="AA2" s="1963"/>
      <c r="AB2" s="1963"/>
      <c r="AC2" s="1976"/>
    </row>
    <row r="3" spans="1:29" s="1945" customFormat="1" ht="28.5" customHeight="1">
      <c r="A3" s="213" t="s">
        <v>1045</v>
      </c>
      <c r="B3" s="216">
        <f>C49</f>
        <v>43314</v>
      </c>
      <c r="C3" s="215" t="s">
        <v>1046</v>
      </c>
      <c r="D3" s="216">
        <f>SUMIF('数据-汇总表'!$C19:$C33,D1,'数据-汇总表'!$E19:$E33)</f>
        <v>63500</v>
      </c>
      <c r="E3" s="210"/>
      <c r="F3" s="1950"/>
      <c r="G3" s="210"/>
      <c r="H3" s="210"/>
      <c r="I3" s="210"/>
      <c r="J3" s="210"/>
      <c r="K3" s="1960"/>
      <c r="L3" s="1961"/>
      <c r="M3" s="1962"/>
      <c r="N3" s="1962"/>
      <c r="O3" s="1962"/>
      <c r="P3" s="1963"/>
      <c r="Q3" s="1963"/>
      <c r="R3" s="1963"/>
      <c r="S3" s="1963"/>
      <c r="T3" s="1963"/>
      <c r="U3" s="1963"/>
      <c r="V3" s="1963"/>
      <c r="W3" s="1963"/>
      <c r="X3" s="1963"/>
      <c r="Y3" s="1963"/>
      <c r="Z3" s="1963"/>
      <c r="AA3" s="1963"/>
      <c r="AB3" s="1963"/>
      <c r="AC3" s="928"/>
    </row>
    <row r="4" spans="1:29" ht="15">
      <c r="A4" s="217" t="s">
        <v>897</v>
      </c>
      <c r="B4" s="218"/>
      <c r="C4" s="3686" t="s">
        <v>898</v>
      </c>
      <c r="D4" s="3687"/>
      <c r="E4" s="3777" t="s">
        <v>899</v>
      </c>
      <c r="F4" s="3778"/>
      <c r="G4" s="3686" t="s">
        <v>900</v>
      </c>
      <c r="H4" s="3687"/>
      <c r="I4" s="3686" t="s">
        <v>901</v>
      </c>
      <c r="J4" s="3687"/>
      <c r="K4" s="1964" t="s">
        <v>902</v>
      </c>
      <c r="L4" s="382"/>
      <c r="M4" s="383"/>
      <c r="N4" s="383"/>
      <c r="O4" s="383"/>
      <c r="P4" s="3652" t="s">
        <v>903</v>
      </c>
      <c r="Q4" s="3653"/>
      <c r="R4" s="3658" t="s">
        <v>899</v>
      </c>
      <c r="S4" s="3659"/>
      <c r="T4" s="3658" t="s">
        <v>900</v>
      </c>
      <c r="U4" s="3659"/>
      <c r="V4" s="3664" t="s">
        <v>901</v>
      </c>
      <c r="W4" s="3664"/>
      <c r="X4" s="450"/>
      <c r="Y4" s="3658" t="s">
        <v>903</v>
      </c>
      <c r="Z4" s="3659"/>
      <c r="AA4" s="3649" t="s">
        <v>899</v>
      </c>
      <c r="AB4" s="3649" t="s">
        <v>900</v>
      </c>
      <c r="AC4" s="3649" t="s">
        <v>901</v>
      </c>
    </row>
    <row r="5" spans="1:29" ht="15">
      <c r="A5" s="219"/>
      <c r="B5" s="220"/>
      <c r="C5" s="3688" t="s">
        <v>904</v>
      </c>
      <c r="D5" s="3689"/>
      <c r="E5" s="3779" t="s">
        <v>2703</v>
      </c>
      <c r="F5" s="3780"/>
      <c r="G5" s="3781" t="s">
        <v>2704</v>
      </c>
      <c r="H5" s="3689"/>
      <c r="I5" s="3781" t="s">
        <v>2705</v>
      </c>
      <c r="J5" s="3689"/>
      <c r="K5" s="1965"/>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1965"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f>C7</f>
        <v>44484</v>
      </c>
      <c r="F7" s="228">
        <f>SUMIF(58:58,YEAR(E7)&amp;"-"&amp;MONTH(E7),59:59)</f>
        <v>100</v>
      </c>
      <c r="G7" s="229">
        <f>C7</f>
        <v>44484</v>
      </c>
      <c r="H7" s="226">
        <f>SUMIF(58:58,YEAR(G7)&amp;"-"&amp;MONTH(G7),59:59)</f>
        <v>100</v>
      </c>
      <c r="I7" s="229">
        <f>C7</f>
        <v>44484</v>
      </c>
      <c r="J7" s="226">
        <f>SUMIF(58:58,YEAR(I7)&amp;"-"&amp;MONTH(I7),59:59)</f>
        <v>100</v>
      </c>
      <c r="K7" s="1966"/>
      <c r="L7" s="385"/>
      <c r="M7" s="386"/>
      <c r="N7" s="386"/>
      <c r="O7" s="386"/>
      <c r="P7" s="3679" t="s">
        <v>911</v>
      </c>
      <c r="Q7" s="3685"/>
      <c r="R7" s="451" t="s">
        <v>912</v>
      </c>
      <c r="S7" s="452">
        <f t="shared" ref="S7:S15" si="0">F7</f>
        <v>100</v>
      </c>
      <c r="T7" s="451" t="s">
        <v>912</v>
      </c>
      <c r="U7" s="452">
        <f t="shared" ref="U7:U15" si="1">H7</f>
        <v>100</v>
      </c>
      <c r="V7" s="451" t="s">
        <v>912</v>
      </c>
      <c r="W7" s="452">
        <f t="shared" ref="W7:W15" si="2">J7</f>
        <v>100</v>
      </c>
      <c r="X7" s="453"/>
      <c r="Y7" s="3679" t="s">
        <v>911</v>
      </c>
      <c r="Z7" s="3680"/>
      <c r="AA7" s="470">
        <f>D7/F7</f>
        <v>1</v>
      </c>
      <c r="AB7" s="470">
        <f>D7/H7</f>
        <v>1</v>
      </c>
      <c r="AC7" s="470">
        <f>D7/J7</f>
        <v>1</v>
      </c>
    </row>
    <row r="8" spans="1:29" s="193" customFormat="1" ht="15">
      <c r="A8" s="230"/>
      <c r="B8" s="231" t="s">
        <v>913</v>
      </c>
      <c r="C8" s="232" t="s">
        <v>914</v>
      </c>
      <c r="D8" s="226">
        <v>100</v>
      </c>
      <c r="E8" s="1951" t="s">
        <v>1047</v>
      </c>
      <c r="F8" s="228">
        <f>SUMIF(61:61,E8,62:62)-SUMIF(61:61,C8,62:62)+100</f>
        <v>100</v>
      </c>
      <c r="G8" s="232" t="s">
        <v>1047</v>
      </c>
      <c r="H8" s="226">
        <f>SUMIF(61:61,G8,62:62)-SUMIF(61:61,C8,62:62)+100</f>
        <v>100</v>
      </c>
      <c r="I8" s="1951" t="s">
        <v>1047</v>
      </c>
      <c r="J8" s="226">
        <f>SUMIF(61:61,I8,62:62)-SUMIF(61:61,C8,62:62)+100</f>
        <v>100</v>
      </c>
      <c r="K8" s="1966"/>
      <c r="L8" s="385"/>
      <c r="M8" s="386"/>
      <c r="N8" s="386"/>
      <c r="O8" s="386"/>
      <c r="P8" s="3679" t="s">
        <v>915</v>
      </c>
      <c r="Q8" s="3680"/>
      <c r="R8" s="451" t="s">
        <v>912</v>
      </c>
      <c r="S8" s="452">
        <f t="shared" si="0"/>
        <v>100</v>
      </c>
      <c r="T8" s="451" t="s">
        <v>912</v>
      </c>
      <c r="U8" s="452">
        <f t="shared" si="1"/>
        <v>100</v>
      </c>
      <c r="V8" s="451" t="s">
        <v>912</v>
      </c>
      <c r="W8" s="452">
        <f t="shared" si="2"/>
        <v>100</v>
      </c>
      <c r="X8" s="453"/>
      <c r="Y8" s="3679" t="s">
        <v>915</v>
      </c>
      <c r="Z8" s="3680"/>
      <c r="AA8" s="470">
        <f t="shared" ref="AA8:AA46" si="3">D8/F8</f>
        <v>1</v>
      </c>
      <c r="AB8" s="470">
        <f t="shared" ref="AB8:AB46" si="4">D8/H8</f>
        <v>1</v>
      </c>
      <c r="AC8" s="470">
        <f t="shared" ref="AC8:AC46" si="5">D8/J8</f>
        <v>1</v>
      </c>
    </row>
    <row r="9" spans="1:29" s="193" customFormat="1" ht="15">
      <c r="A9" s="233"/>
      <c r="B9" s="234" t="s">
        <v>916</v>
      </c>
      <c r="C9" s="1952" t="s">
        <v>368</v>
      </c>
      <c r="D9" s="236">
        <v>100</v>
      </c>
      <c r="E9" s="504" t="s">
        <v>368</v>
      </c>
      <c r="F9" s="1953">
        <f>SUMIF(63:63,E9,64:64)-SUMIF(63:63,C9,64:64)+100</f>
        <v>100</v>
      </c>
      <c r="G9" s="237" t="s">
        <v>368</v>
      </c>
      <c r="H9" s="236">
        <f>SUMIF(63:63,G9,64:64)-SUMIF(63:63,C9,64:64)+100</f>
        <v>100</v>
      </c>
      <c r="I9" s="237" t="s">
        <v>368</v>
      </c>
      <c r="J9" s="236">
        <f>SUMIF(63:63,I9,64:64)-SUMIF(63:63,C9,64:64)+100</f>
        <v>100</v>
      </c>
      <c r="K9" s="1966"/>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t="s">
        <v>1048</v>
      </c>
      <c r="D10" s="240">
        <v>100</v>
      </c>
      <c r="E10" s="241" t="s">
        <v>1048</v>
      </c>
      <c r="F10" s="550">
        <f>SUMIF(65:65,E10,66:66)-SUMIF(65:65,C10,66:66)+100</f>
        <v>100</v>
      </c>
      <c r="G10" s="239" t="s">
        <v>1048</v>
      </c>
      <c r="H10" s="240">
        <f>SUMIF(65:65,G10,66:66)-SUMIF(65:65,C10,66:66)+100</f>
        <v>100</v>
      </c>
      <c r="I10" s="239" t="s">
        <v>1048</v>
      </c>
      <c r="J10" s="240">
        <f>SUMIF(65:65,I10,66:66)-SUMIF(65:65,C10,66:66)+100</f>
        <v>100</v>
      </c>
      <c r="K10" s="1967">
        <v>1</v>
      </c>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v>2.5</v>
      </c>
      <c r="D11" s="240">
        <v>100</v>
      </c>
      <c r="E11" s="539">
        <v>1.03</v>
      </c>
      <c r="F11" s="550">
        <f>LOOKUP(E11,68:68,69:69)-LOOKUP(C11,68:68,69:69)+100</f>
        <v>103</v>
      </c>
      <c r="G11" s="538">
        <v>1.68</v>
      </c>
      <c r="H11" s="240">
        <f>LOOKUP(G11,68:68,69:69)-LOOKUP(C11,68:68,69:69)+100</f>
        <v>103</v>
      </c>
      <c r="I11" s="538">
        <v>2</v>
      </c>
      <c r="J11" s="240">
        <f>LOOKUP(I11,68:68,69:69)-LOOKUP(C11,68:68,69:69)+100</f>
        <v>100</v>
      </c>
      <c r="K11" s="1967">
        <v>3</v>
      </c>
      <c r="L11" s="394"/>
      <c r="M11" s="383"/>
      <c r="N11" s="383"/>
      <c r="O11" s="395"/>
      <c r="P11" s="3666"/>
      <c r="Q11" s="454" t="str">
        <f t="shared" si="6"/>
        <v>容积率</v>
      </c>
      <c r="R11" s="451" t="s">
        <v>912</v>
      </c>
      <c r="S11" s="452">
        <f t="shared" si="0"/>
        <v>103</v>
      </c>
      <c r="T11" s="451" t="s">
        <v>912</v>
      </c>
      <c r="U11" s="452">
        <f t="shared" si="1"/>
        <v>103</v>
      </c>
      <c r="V11" s="451" t="s">
        <v>912</v>
      </c>
      <c r="W11" s="452">
        <f t="shared" si="2"/>
        <v>100</v>
      </c>
      <c r="X11" s="453"/>
      <c r="Y11" s="3635"/>
      <c r="Z11" s="471" t="str">
        <f t="shared" si="7"/>
        <v>容积率</v>
      </c>
      <c r="AA11" s="470">
        <f t="shared" si="3"/>
        <v>0.970873786407767</v>
      </c>
      <c r="AB11" s="470">
        <f t="shared" si="4"/>
        <v>0.970873786407767</v>
      </c>
      <c r="AC11" s="470">
        <f t="shared" si="5"/>
        <v>1</v>
      </c>
    </row>
    <row r="12" spans="1:29" s="193" customFormat="1" ht="15" hidden="1">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1968"/>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hidden="1">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1968"/>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hidden="1">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1968"/>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132">
      <c r="A15" s="251" t="s">
        <v>922</v>
      </c>
      <c r="B15" s="252" t="s">
        <v>225</v>
      </c>
      <c r="C15" s="604" t="str">
        <f>估价对象房地状况!C3</f>
        <v>估价对象位于海淀区温泉镇，估价对象周边有燕保温泉家园、北辰香麓、尚峰尚水尚居园等小区，居住社区成熟度一般。</v>
      </c>
      <c r="D15" s="254">
        <v>100</v>
      </c>
      <c r="E15" s="3389" t="s">
        <v>2739</v>
      </c>
      <c r="F15" s="256">
        <f>SUMIF(76:76,E16,77:77)-SUMIF(76:76,C16,77:77)+100</f>
        <v>100</v>
      </c>
      <c r="G15" s="3389" t="s">
        <v>2741</v>
      </c>
      <c r="H15" s="254">
        <f>SUMIF(76:76,G16,77:77)-SUMIF(76:76,C16,77:77)+100</f>
        <v>105</v>
      </c>
      <c r="I15" s="3389" t="s">
        <v>2746</v>
      </c>
      <c r="J15" s="254">
        <f>SUMIF(76:76,I16,77:77)-SUMIF(76:76,C16,77:77)+100</f>
        <v>105</v>
      </c>
      <c r="K15" s="1969">
        <v>5</v>
      </c>
      <c r="L15" s="396"/>
      <c r="M15" s="383"/>
      <c r="N15" s="383"/>
      <c r="O15" s="395"/>
      <c r="P15" s="3667" t="s">
        <v>923</v>
      </c>
      <c r="Q15" s="388" t="str">
        <f t="shared" si="6"/>
        <v>居住社区成熟度</v>
      </c>
      <c r="R15" s="455" t="s">
        <v>912</v>
      </c>
      <c r="S15" s="456">
        <f t="shared" si="0"/>
        <v>100</v>
      </c>
      <c r="T15" s="455" t="s">
        <v>912</v>
      </c>
      <c r="U15" s="456">
        <f t="shared" si="1"/>
        <v>105</v>
      </c>
      <c r="V15" s="455" t="s">
        <v>912</v>
      </c>
      <c r="W15" s="456">
        <f t="shared" si="2"/>
        <v>105</v>
      </c>
      <c r="X15" s="450"/>
      <c r="Y15" s="3667" t="s">
        <v>923</v>
      </c>
      <c r="Z15" s="449" t="str">
        <f t="shared" si="7"/>
        <v>居住社区成熟度</v>
      </c>
      <c r="AA15" s="461">
        <f t="shared" si="3"/>
        <v>1</v>
      </c>
      <c r="AB15" s="461">
        <f t="shared" si="4"/>
        <v>0.95238095238095233</v>
      </c>
      <c r="AC15" s="461">
        <f t="shared" si="5"/>
        <v>0.95238095238095233</v>
      </c>
    </row>
    <row r="16" spans="1:29" ht="15">
      <c r="A16" s="258"/>
      <c r="B16" s="259"/>
      <c r="C16" s="260" t="s">
        <v>1280</v>
      </c>
      <c r="D16" s="261"/>
      <c r="E16" s="543" t="s">
        <v>1280</v>
      </c>
      <c r="F16" s="262"/>
      <c r="G16" s="544" t="s">
        <v>1279</v>
      </c>
      <c r="H16" s="263"/>
      <c r="I16" s="543" t="s">
        <v>1279</v>
      </c>
      <c r="J16" s="261"/>
      <c r="K16" s="1970"/>
      <c r="L16" s="396"/>
      <c r="M16" s="383"/>
      <c r="N16" s="383"/>
      <c r="O16" s="395"/>
      <c r="P16" s="3668"/>
      <c r="Q16" s="388"/>
      <c r="R16" s="455"/>
      <c r="S16" s="456"/>
      <c r="T16" s="455"/>
      <c r="U16" s="456"/>
      <c r="V16" s="455"/>
      <c r="W16" s="456"/>
      <c r="X16" s="450"/>
      <c r="Y16" s="3668"/>
      <c r="Z16" s="449"/>
      <c r="AA16" s="461">
        <v>1</v>
      </c>
      <c r="AB16" s="461">
        <v>1</v>
      </c>
      <c r="AC16" s="461">
        <v>1</v>
      </c>
    </row>
    <row r="17" spans="1:29" ht="199.5">
      <c r="A17" s="258"/>
      <c r="B17" s="277" t="s">
        <v>229</v>
      </c>
      <c r="C17" s="265"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3390" t="s">
        <v>2733</v>
      </c>
      <c r="F17" s="274">
        <f>SUMIF(78:78,E18,79:79)-SUMIF(78:78,C18,79:79)+100</f>
        <v>103</v>
      </c>
      <c r="G17" s="3392" t="s">
        <v>2738</v>
      </c>
      <c r="H17" s="266">
        <f>SUMIF(78:78,G18,79:79)-SUMIF(78:78,C18,79:79)+100</f>
        <v>100</v>
      </c>
      <c r="I17" s="3392" t="s">
        <v>2747</v>
      </c>
      <c r="J17" s="266">
        <f>SUMIF(78:78,I18,79:79)-SUMIF(78:78,C18,79:79)+100</f>
        <v>103</v>
      </c>
      <c r="K17" s="1969">
        <v>3</v>
      </c>
      <c r="L17" s="396"/>
      <c r="M17" s="383"/>
      <c r="N17" s="383"/>
      <c r="O17" s="395"/>
      <c r="P17" s="3668"/>
      <c r="Q17" s="388" t="str">
        <f>B17</f>
        <v>交通便捷度</v>
      </c>
      <c r="R17" s="455" t="s">
        <v>912</v>
      </c>
      <c r="S17" s="456">
        <f>F17</f>
        <v>103</v>
      </c>
      <c r="T17" s="455" t="s">
        <v>912</v>
      </c>
      <c r="U17" s="456">
        <f>H17</f>
        <v>100</v>
      </c>
      <c r="V17" s="455" t="s">
        <v>912</v>
      </c>
      <c r="W17" s="456">
        <f>J17</f>
        <v>103</v>
      </c>
      <c r="X17" s="450"/>
      <c r="Y17" s="3668"/>
      <c r="Z17" s="449" t="str">
        <f>Q17</f>
        <v>交通便捷度</v>
      </c>
      <c r="AA17" s="461">
        <f t="shared" si="3"/>
        <v>0.970873786407767</v>
      </c>
      <c r="AB17" s="461">
        <f t="shared" si="4"/>
        <v>1</v>
      </c>
      <c r="AC17" s="461">
        <f t="shared" si="5"/>
        <v>0.970873786407767</v>
      </c>
    </row>
    <row r="18" spans="1:29" ht="15">
      <c r="A18" s="258"/>
      <c r="B18" s="278"/>
      <c r="C18" s="271" t="s">
        <v>1280</v>
      </c>
      <c r="D18" s="263"/>
      <c r="E18" s="541" t="s">
        <v>1279</v>
      </c>
      <c r="F18" s="274"/>
      <c r="G18" s="542" t="s">
        <v>1280</v>
      </c>
      <c r="H18" s="261"/>
      <c r="I18" s="541" t="s">
        <v>1279</v>
      </c>
      <c r="J18" s="261"/>
      <c r="K18" s="1970"/>
      <c r="L18" s="396"/>
      <c r="M18" s="383"/>
      <c r="N18" s="383"/>
      <c r="O18" s="395"/>
      <c r="P18" s="3668"/>
      <c r="Q18" s="388"/>
      <c r="R18" s="455"/>
      <c r="S18" s="456"/>
      <c r="T18" s="455"/>
      <c r="U18" s="456"/>
      <c r="V18" s="455"/>
      <c r="W18" s="456"/>
      <c r="X18" s="450"/>
      <c r="Y18" s="3668"/>
      <c r="Z18" s="449"/>
      <c r="AA18" s="461">
        <v>1</v>
      </c>
      <c r="AB18" s="461">
        <v>1</v>
      </c>
      <c r="AC18" s="461">
        <v>1</v>
      </c>
    </row>
    <row r="19" spans="1:29" ht="280.5">
      <c r="A19" s="258"/>
      <c r="B19" s="605" t="s">
        <v>231</v>
      </c>
      <c r="C19" s="265"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3391" t="s">
        <v>2734</v>
      </c>
      <c r="F19" s="268">
        <f>SUMIF(80:80,E20,81:81)-SUMIF(80:80,C20,81:81)+100</f>
        <v>98</v>
      </c>
      <c r="G19" s="3391" t="s">
        <v>2737</v>
      </c>
      <c r="H19" s="263">
        <f>SUMIF(80:80,G20,81:81)-SUMIF(80:80,C20,81:81)+100</f>
        <v>100</v>
      </c>
      <c r="I19" s="3391" t="s">
        <v>2748</v>
      </c>
      <c r="J19" s="263">
        <f>SUMIF(80:80,I20,81:81)-SUMIF(80:80,C20,81:81)+100</f>
        <v>100</v>
      </c>
      <c r="K19" s="1969">
        <v>2</v>
      </c>
      <c r="L19" s="396"/>
      <c r="M19" s="383"/>
      <c r="N19" s="383"/>
      <c r="O19" s="395"/>
      <c r="P19" s="3668"/>
      <c r="Q19" s="388" t="str">
        <f>B19</f>
        <v>公共配套设施</v>
      </c>
      <c r="R19" s="455" t="s">
        <v>912</v>
      </c>
      <c r="S19" s="456">
        <f>F19</f>
        <v>98</v>
      </c>
      <c r="T19" s="455" t="s">
        <v>912</v>
      </c>
      <c r="U19" s="456">
        <f>H19</f>
        <v>100</v>
      </c>
      <c r="V19" s="455" t="s">
        <v>912</v>
      </c>
      <c r="W19" s="456">
        <f>J19</f>
        <v>100</v>
      </c>
      <c r="X19" s="450"/>
      <c r="Y19" s="3668"/>
      <c r="Z19" s="449" t="str">
        <f>Q19</f>
        <v>公共配套设施</v>
      </c>
      <c r="AA19" s="461">
        <f t="shared" si="3"/>
        <v>1.0204081632653061</v>
      </c>
      <c r="AB19" s="461">
        <f t="shared" si="4"/>
        <v>1</v>
      </c>
      <c r="AC19" s="461">
        <f t="shared" si="5"/>
        <v>1</v>
      </c>
    </row>
    <row r="20" spans="1:29" ht="15">
      <c r="A20" s="258"/>
      <c r="B20" s="278"/>
      <c r="C20" s="260" t="s">
        <v>1279</v>
      </c>
      <c r="D20" s="261"/>
      <c r="E20" s="543" t="s">
        <v>1280</v>
      </c>
      <c r="F20" s="262"/>
      <c r="G20" s="544" t="s">
        <v>1279</v>
      </c>
      <c r="H20" s="261"/>
      <c r="I20" s="543" t="s">
        <v>1279</v>
      </c>
      <c r="J20" s="261"/>
      <c r="K20" s="1970"/>
      <c r="L20" s="396"/>
      <c r="M20" s="383"/>
      <c r="N20" s="383"/>
      <c r="O20" s="395"/>
      <c r="P20" s="3668"/>
      <c r="Q20" s="388"/>
      <c r="R20" s="455"/>
      <c r="S20" s="456"/>
      <c r="T20" s="455"/>
      <c r="U20" s="456"/>
      <c r="V20" s="455"/>
      <c r="W20" s="456"/>
      <c r="X20" s="450"/>
      <c r="Y20" s="3668"/>
      <c r="Z20" s="449"/>
      <c r="AA20" s="461">
        <v>1</v>
      </c>
      <c r="AB20" s="461">
        <v>1</v>
      </c>
      <c r="AC20" s="461">
        <v>1</v>
      </c>
    </row>
    <row r="21" spans="1:29" ht="28.5">
      <c r="A21" s="258"/>
      <c r="B21" s="606" t="s">
        <v>232</v>
      </c>
      <c r="C21" s="265" t="str">
        <f>估价对象房地状况!C8</f>
        <v>估价对象所在区域基础设施水平-七通</v>
      </c>
      <c r="D21" s="266">
        <v>100</v>
      </c>
      <c r="E21" s="269" t="s">
        <v>2732</v>
      </c>
      <c r="F21" s="268">
        <f>SUMIF(82:82,E22,83:83)-SUMIF(82:82,C22,83:83)+100</f>
        <v>100</v>
      </c>
      <c r="G21" s="269" t="s">
        <v>2732</v>
      </c>
      <c r="H21" s="266">
        <f>SUMIF(82:82,G22,83:83)-SUMIF(82:82,C22,83:83)+100</f>
        <v>100</v>
      </c>
      <c r="I21" s="267" t="s">
        <v>2732</v>
      </c>
      <c r="J21" s="266">
        <f>SUMIF(82:82,I22,83:83)-SUMIF(82:82,C22,83:83)+100</f>
        <v>100</v>
      </c>
      <c r="K21" s="1969">
        <v>2</v>
      </c>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545"/>
      <c r="C22" s="271" t="s">
        <v>247</v>
      </c>
      <c r="D22" s="261"/>
      <c r="E22" s="271" t="s">
        <v>247</v>
      </c>
      <c r="F22" s="262"/>
      <c r="G22" s="271" t="s">
        <v>247</v>
      </c>
      <c r="H22" s="261"/>
      <c r="I22" s="271" t="s">
        <v>247</v>
      </c>
      <c r="J22" s="261"/>
      <c r="K22" s="1971"/>
      <c r="L22" s="396"/>
      <c r="M22" s="383"/>
      <c r="N22" s="383"/>
      <c r="O22" s="395"/>
      <c r="P22" s="3668"/>
      <c r="Q22" s="388"/>
      <c r="R22" s="455"/>
      <c r="S22" s="456"/>
      <c r="T22" s="455"/>
      <c r="U22" s="456"/>
      <c r="V22" s="455"/>
      <c r="W22" s="456"/>
      <c r="X22" s="450"/>
      <c r="Y22" s="3668"/>
      <c r="Z22" s="449"/>
      <c r="AA22" s="461">
        <v>1</v>
      </c>
      <c r="AB22" s="461">
        <v>1</v>
      </c>
      <c r="AC22" s="461">
        <v>1</v>
      </c>
    </row>
    <row r="23" spans="1:29" ht="142.5">
      <c r="A23" s="258"/>
      <c r="B23" s="277" t="s">
        <v>1049</v>
      </c>
      <c r="C23" s="265"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3392" t="s">
        <v>2735</v>
      </c>
      <c r="F23" s="274">
        <f>SUMIF(84:84,E24,85:85)-SUMIF(84:84,C24,85:85)+100</f>
        <v>100</v>
      </c>
      <c r="G23" s="3392" t="s">
        <v>2740</v>
      </c>
      <c r="H23" s="263">
        <f>SUMIF(84:84,G24,85:85)-SUMIF(84:84,C24,85:85)+100</f>
        <v>99</v>
      </c>
      <c r="I23" s="3392" t="s">
        <v>2742</v>
      </c>
      <c r="J23" s="263">
        <f>SUMIF(84:84,I24,85:85)-SUMIF(84:84,C24,85:85)+100</f>
        <v>99</v>
      </c>
      <c r="K23" s="1969">
        <v>1</v>
      </c>
      <c r="L23" s="396"/>
      <c r="M23" s="383"/>
      <c r="N23" s="383"/>
      <c r="O23" s="395"/>
      <c r="P23" s="3668"/>
      <c r="Q23" s="388" t="str">
        <f>B23</f>
        <v>自然及人文环境</v>
      </c>
      <c r="R23" s="455" t="s">
        <v>912</v>
      </c>
      <c r="S23" s="456">
        <f>F23</f>
        <v>100</v>
      </c>
      <c r="T23" s="455" t="s">
        <v>912</v>
      </c>
      <c r="U23" s="456">
        <f>H23</f>
        <v>99</v>
      </c>
      <c r="V23" s="455" t="s">
        <v>912</v>
      </c>
      <c r="W23" s="456">
        <f>J23</f>
        <v>99</v>
      </c>
      <c r="X23" s="450"/>
      <c r="Y23" s="3668"/>
      <c r="Z23" s="449" t="str">
        <f>Q23</f>
        <v>自然及人文环境</v>
      </c>
      <c r="AA23" s="461">
        <f t="shared" si="3"/>
        <v>1</v>
      </c>
      <c r="AB23" s="461">
        <f t="shared" si="4"/>
        <v>1.0101010101010102</v>
      </c>
      <c r="AC23" s="461">
        <f t="shared" si="5"/>
        <v>1.0101010101010102</v>
      </c>
    </row>
    <row r="24" spans="1:29" ht="15">
      <c r="A24" s="258"/>
      <c r="B24" s="278"/>
      <c r="C24" s="260" t="s">
        <v>1279</v>
      </c>
      <c r="D24" s="261"/>
      <c r="E24" s="543" t="s">
        <v>1279</v>
      </c>
      <c r="F24" s="262"/>
      <c r="G24" s="544" t="s">
        <v>1280</v>
      </c>
      <c r="H24" s="261"/>
      <c r="I24" s="543" t="s">
        <v>1280</v>
      </c>
      <c r="J24" s="261"/>
      <c r="K24" s="1970"/>
      <c r="L24" s="396"/>
      <c r="M24" s="383"/>
      <c r="N24" s="383"/>
      <c r="O24" s="395"/>
      <c r="P24" s="3668"/>
      <c r="Q24" s="388"/>
      <c r="R24" s="455"/>
      <c r="S24" s="456"/>
      <c r="T24" s="455"/>
      <c r="U24" s="456"/>
      <c r="V24" s="455"/>
      <c r="W24" s="456"/>
      <c r="X24" s="450"/>
      <c r="Y24" s="3668"/>
      <c r="Z24" s="449"/>
      <c r="AA24" s="461">
        <v>1</v>
      </c>
      <c r="AB24" s="461">
        <v>1</v>
      </c>
      <c r="AC24" s="461">
        <v>1</v>
      </c>
    </row>
    <row r="25" spans="1:29" ht="15" hidden="1">
      <c r="A25" s="258"/>
      <c r="B25" s="551" t="s">
        <v>1050</v>
      </c>
      <c r="C25" s="297"/>
      <c r="D25" s="250">
        <v>100</v>
      </c>
      <c r="E25" s="1954"/>
      <c r="F25" s="280">
        <f>SUMIF(86:86,E25,87:87)-SUMIF(86:86,C25,87:87)+100</f>
        <v>100</v>
      </c>
      <c r="G25" s="584"/>
      <c r="H25" s="250">
        <f>SUMIF(86:86,G25,87:87)-SUMIF(86:86,C25,87:87)+100</f>
        <v>100</v>
      </c>
      <c r="I25" s="1954"/>
      <c r="J25" s="250">
        <f>SUMIF(86:86,I25,87:87)-SUMIF(86:86,C25,87:87)+100</f>
        <v>100</v>
      </c>
      <c r="K25" s="1967"/>
      <c r="L25" s="396"/>
      <c r="M25" s="383"/>
      <c r="N25" s="383"/>
      <c r="O25" s="395"/>
      <c r="P25" s="3668"/>
      <c r="Q25" s="388" t="str">
        <f t="shared" ref="Q25:Q46" si="11">B25</f>
        <v>楼层-1</v>
      </c>
      <c r="R25" s="455" t="s">
        <v>912</v>
      </c>
      <c r="S25" s="456">
        <f>F25</f>
        <v>100</v>
      </c>
      <c r="T25" s="455" t="s">
        <v>912</v>
      </c>
      <c r="U25" s="456">
        <f>H25</f>
        <v>100</v>
      </c>
      <c r="V25" s="455" t="s">
        <v>912</v>
      </c>
      <c r="W25" s="456">
        <f>J25</f>
        <v>100</v>
      </c>
      <c r="X25" s="450"/>
      <c r="Y25" s="3668"/>
      <c r="Z25" s="449" t="str">
        <f>Q25</f>
        <v>楼层-1</v>
      </c>
      <c r="AA25" s="461">
        <f t="shared" si="3"/>
        <v>1</v>
      </c>
      <c r="AB25" s="461">
        <f t="shared" si="4"/>
        <v>1</v>
      </c>
      <c r="AC25" s="461">
        <f t="shared" si="5"/>
        <v>1</v>
      </c>
    </row>
    <row r="26" spans="1:29" ht="15" hidden="1">
      <c r="A26" s="258"/>
      <c r="B26" s="292" t="s">
        <v>1051</v>
      </c>
      <c r="C26" s="297"/>
      <c r="D26" s="250">
        <v>100</v>
      </c>
      <c r="E26" s="1954"/>
      <c r="F26" s="280">
        <f>SUMIF(88:88,E26,89:89)-SUMIF(88:88,C26,89:89)+100</f>
        <v>100</v>
      </c>
      <c r="G26" s="584"/>
      <c r="H26" s="250">
        <f>SUMIF(88:88,G26,89:89)-SUMIF(88:88,C26,89:89)+100</f>
        <v>100</v>
      </c>
      <c r="I26" s="1954"/>
      <c r="J26" s="250">
        <f>SUMIF(88:88,I26,89:89)-SUMIF(88:88,C26,89:89)+100</f>
        <v>100</v>
      </c>
      <c r="K26" s="1967"/>
      <c r="L26" s="396"/>
      <c r="M26" s="383"/>
      <c r="N26" s="383"/>
      <c r="O26" s="395"/>
      <c r="P26" s="3668"/>
      <c r="Q26" s="388" t="str">
        <f t="shared" si="11"/>
        <v>朝向</v>
      </c>
      <c r="R26" s="455" t="s">
        <v>912</v>
      </c>
      <c r="S26" s="456">
        <f>F26</f>
        <v>100</v>
      </c>
      <c r="T26" s="455" t="s">
        <v>912</v>
      </c>
      <c r="U26" s="456">
        <f>H26</f>
        <v>100</v>
      </c>
      <c r="V26" s="455" t="s">
        <v>912</v>
      </c>
      <c r="W26" s="456">
        <f>J26</f>
        <v>100</v>
      </c>
      <c r="X26" s="450"/>
      <c r="Y26" s="3668"/>
      <c r="Z26" s="449" t="str">
        <f>Q26</f>
        <v>朝向</v>
      </c>
      <c r="AA26" s="461">
        <f t="shared" si="3"/>
        <v>1</v>
      </c>
      <c r="AB26" s="461">
        <f t="shared" si="4"/>
        <v>1</v>
      </c>
      <c r="AC26" s="461">
        <f t="shared" si="5"/>
        <v>1</v>
      </c>
    </row>
    <row r="27" spans="1:29" s="193" customFormat="1" ht="15">
      <c r="A27" s="282"/>
      <c r="B27" s="281" t="s">
        <v>1052</v>
      </c>
      <c r="C27" s="3382" t="s">
        <v>2706</v>
      </c>
      <c r="D27" s="547">
        <v>100</v>
      </c>
      <c r="E27" s="3393" t="s">
        <v>2736</v>
      </c>
      <c r="F27" s="548">
        <f>SUMIF(90:90,E27,91:91)-SUMIF(90:90,C27,91:91)+100</f>
        <v>102</v>
      </c>
      <c r="G27" s="3382" t="s">
        <v>2743</v>
      </c>
      <c r="H27" s="547">
        <f>SUMIF(90:90,G27,91:91)-SUMIF(90:90,C27,91:91)+100</f>
        <v>100</v>
      </c>
      <c r="I27" s="3393" t="s">
        <v>2745</v>
      </c>
      <c r="J27" s="547">
        <f>SUMIF(90:90,I27,91:91)-SUMIF(90:90,C27,91:91)+100</f>
        <v>98</v>
      </c>
      <c r="K27" s="1968"/>
      <c r="L27" s="385"/>
      <c r="M27" s="386"/>
      <c r="N27" s="386"/>
      <c r="O27" s="387"/>
      <c r="P27" s="3668"/>
      <c r="Q27" s="454" t="str">
        <f t="shared" si="11"/>
        <v>道路级别</v>
      </c>
      <c r="R27" s="451" t="s">
        <v>912</v>
      </c>
      <c r="S27" s="452">
        <f>F27</f>
        <v>102</v>
      </c>
      <c r="T27" s="451" t="s">
        <v>912</v>
      </c>
      <c r="U27" s="452">
        <f>H27</f>
        <v>100</v>
      </c>
      <c r="V27" s="451" t="s">
        <v>912</v>
      </c>
      <c r="W27" s="452">
        <f>J27</f>
        <v>98</v>
      </c>
      <c r="X27" s="453"/>
      <c r="Y27" s="3668"/>
      <c r="Z27" s="471" t="str">
        <f>Q27</f>
        <v>道路级别</v>
      </c>
      <c r="AA27" s="461">
        <f t="shared" si="3"/>
        <v>0.98039215686274506</v>
      </c>
      <c r="AB27" s="461">
        <f t="shared" si="4"/>
        <v>1</v>
      </c>
      <c r="AC27" s="461">
        <f t="shared" si="5"/>
        <v>1.0204081632653061</v>
      </c>
    </row>
    <row r="28" spans="1:29" ht="15" hidden="1">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1968"/>
      <c r="L28" s="396"/>
      <c r="M28" s="383"/>
      <c r="N28" s="383"/>
      <c r="O28" s="395"/>
      <c r="P28" s="3668"/>
      <c r="Q28" s="388">
        <f t="shared" si="11"/>
        <v>111</v>
      </c>
      <c r="R28" s="455" t="s">
        <v>912</v>
      </c>
      <c r="S28" s="456">
        <f t="shared" ref="S28:S46" si="12">F28</f>
        <v>100</v>
      </c>
      <c r="T28" s="455" t="s">
        <v>912</v>
      </c>
      <c r="U28" s="456">
        <f t="shared" ref="U28:U46" si="13">H28</f>
        <v>100</v>
      </c>
      <c r="V28" s="455" t="s">
        <v>912</v>
      </c>
      <c r="W28" s="456">
        <f t="shared" ref="W28:W46" si="14">J28</f>
        <v>100</v>
      </c>
      <c r="X28" s="450"/>
      <c r="Y28" s="3668"/>
      <c r="Z28" s="449">
        <f t="shared" ref="Z28:Z46" si="15">Q28</f>
        <v>111</v>
      </c>
      <c r="AA28" s="461">
        <f t="shared" si="3"/>
        <v>1</v>
      </c>
      <c r="AB28" s="461">
        <f t="shared" si="4"/>
        <v>1</v>
      </c>
      <c r="AC28" s="461">
        <f t="shared" si="5"/>
        <v>1</v>
      </c>
    </row>
    <row r="29" spans="1:29" ht="15" hidden="1">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1968"/>
      <c r="L29" s="396"/>
      <c r="M29" s="383"/>
      <c r="N29" s="383"/>
      <c r="O29" s="395"/>
      <c r="P29" s="3668"/>
      <c r="Q29" s="388">
        <f t="shared" si="11"/>
        <v>111</v>
      </c>
      <c r="R29" s="455" t="s">
        <v>912</v>
      </c>
      <c r="S29" s="456">
        <f t="shared" si="12"/>
        <v>100</v>
      </c>
      <c r="T29" s="455" t="s">
        <v>912</v>
      </c>
      <c r="U29" s="456">
        <f t="shared" si="13"/>
        <v>100</v>
      </c>
      <c r="V29" s="455" t="s">
        <v>912</v>
      </c>
      <c r="W29" s="456">
        <f t="shared" si="14"/>
        <v>100</v>
      </c>
      <c r="X29" s="450"/>
      <c r="Y29" s="3668"/>
      <c r="Z29" s="449">
        <f t="shared" si="15"/>
        <v>111</v>
      </c>
      <c r="AA29" s="461">
        <f t="shared" si="3"/>
        <v>1</v>
      </c>
      <c r="AB29" s="461">
        <f t="shared" si="4"/>
        <v>1</v>
      </c>
      <c r="AC29" s="461">
        <f t="shared" si="5"/>
        <v>1</v>
      </c>
    </row>
    <row r="30" spans="1:29" ht="15" hidden="1">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1968"/>
      <c r="L30" s="396"/>
      <c r="M30" s="383"/>
      <c r="N30" s="383"/>
      <c r="O30" s="395"/>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hidden="1">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1968"/>
      <c r="L31" s="396"/>
      <c r="M31" s="383"/>
      <c r="N31" s="383"/>
      <c r="O31" s="395"/>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286" t="s">
        <v>928</v>
      </c>
      <c r="B32" s="287" t="s">
        <v>1053</v>
      </c>
      <c r="C32" s="3387" t="s">
        <v>2730</v>
      </c>
      <c r="D32" s="289">
        <v>100</v>
      </c>
      <c r="E32" s="1957" t="s">
        <v>2717</v>
      </c>
      <c r="F32" s="280">
        <f>SUMIF(100:100,E32,101:101)-SUMIF(100:100,C32,101:101)+100</f>
        <v>102</v>
      </c>
      <c r="G32" s="1957" t="s">
        <v>2717</v>
      </c>
      <c r="H32" s="289">
        <f>SUMIF(100:100,G32,101:101)-SUMIF(100:100,C32,101:101)+100</f>
        <v>102</v>
      </c>
      <c r="I32" s="1957" t="s">
        <v>2717</v>
      </c>
      <c r="J32" s="250">
        <f>SUMIF(100:100,I32,101:101)-SUMIF(100:100,C32,101:101)+100</f>
        <v>102</v>
      </c>
      <c r="K32" s="1967">
        <v>2</v>
      </c>
      <c r="L32" s="396"/>
      <c r="M32" s="383"/>
      <c r="N32" s="383"/>
      <c r="O32" s="395"/>
      <c r="P32" s="3669" t="s">
        <v>927</v>
      </c>
      <c r="Q32" s="388" t="str">
        <f t="shared" si="11"/>
        <v>建筑类型</v>
      </c>
      <c r="R32" s="455" t="s">
        <v>912</v>
      </c>
      <c r="S32" s="456">
        <f t="shared" si="12"/>
        <v>102</v>
      </c>
      <c r="T32" s="455" t="s">
        <v>912</v>
      </c>
      <c r="U32" s="456">
        <f t="shared" si="13"/>
        <v>102</v>
      </c>
      <c r="V32" s="455" t="s">
        <v>912</v>
      </c>
      <c r="W32" s="456">
        <f t="shared" si="14"/>
        <v>102</v>
      </c>
      <c r="X32" s="450"/>
      <c r="Y32" s="3670" t="s">
        <v>927</v>
      </c>
      <c r="Z32" s="449" t="str">
        <f t="shared" si="15"/>
        <v>建筑类型</v>
      </c>
      <c r="AA32" s="461">
        <f t="shared" si="3"/>
        <v>0.98039215686274506</v>
      </c>
      <c r="AB32" s="461">
        <f t="shared" si="4"/>
        <v>0.98039215686274506</v>
      </c>
      <c r="AC32" s="461">
        <f t="shared" si="5"/>
        <v>0.98039215686274506</v>
      </c>
    </row>
    <row r="33" spans="1:29" s="195" customFormat="1" ht="15">
      <c r="A33" s="291"/>
      <c r="B33" s="292" t="s">
        <v>1054</v>
      </c>
      <c r="C33" s="245">
        <f>'数据-汇总表'!F19</f>
        <v>63500</v>
      </c>
      <c r="D33" s="240">
        <v>100</v>
      </c>
      <c r="E33" s="539">
        <v>368700</v>
      </c>
      <c r="F33" s="550">
        <f>LOOKUP(E33,103:103,104:104)-LOOKUP(C33,103:103,104:104)+100</f>
        <v>103</v>
      </c>
      <c r="G33" s="538">
        <v>139022</v>
      </c>
      <c r="H33" s="240">
        <f>LOOKUP(G33,103:103,104:104)-LOOKUP(C33,103:103,104:104)+100</f>
        <v>101</v>
      </c>
      <c r="I33" s="539">
        <v>422100</v>
      </c>
      <c r="J33" s="240">
        <f>LOOKUP(I33,103:103,104:104)-LOOKUP(C33,103:103,104:104)+100</f>
        <v>104</v>
      </c>
      <c r="K33" s="1968"/>
      <c r="L33" s="394"/>
      <c r="M33" s="400"/>
      <c r="N33" s="400"/>
      <c r="O33" s="401"/>
      <c r="P33" s="3670"/>
      <c r="Q33" s="457" t="str">
        <f t="shared" si="11"/>
        <v>项目建筑规模</v>
      </c>
      <c r="R33" s="458" t="s">
        <v>912</v>
      </c>
      <c r="S33" s="459">
        <f t="shared" si="12"/>
        <v>103</v>
      </c>
      <c r="T33" s="458" t="s">
        <v>912</v>
      </c>
      <c r="U33" s="459">
        <f t="shared" si="13"/>
        <v>101</v>
      </c>
      <c r="V33" s="458" t="s">
        <v>912</v>
      </c>
      <c r="W33" s="459">
        <f t="shared" si="14"/>
        <v>104</v>
      </c>
      <c r="X33" s="460"/>
      <c r="Y33" s="3670"/>
      <c r="Z33" s="472" t="str">
        <f t="shared" si="15"/>
        <v>项目建筑规模</v>
      </c>
      <c r="AA33" s="461">
        <f t="shared" si="3"/>
        <v>0.970873786407767</v>
      </c>
      <c r="AB33" s="461">
        <f t="shared" si="4"/>
        <v>0.99009900990099009</v>
      </c>
      <c r="AC33" s="461">
        <f t="shared" si="5"/>
        <v>0.96153846153846156</v>
      </c>
    </row>
    <row r="34" spans="1:29" ht="15">
      <c r="A34" s="296"/>
      <c r="B34" s="292" t="s">
        <v>1055</v>
      </c>
      <c r="C34" s="609" t="s">
        <v>2109</v>
      </c>
      <c r="D34" s="250">
        <v>100</v>
      </c>
      <c r="E34" s="609" t="s">
        <v>2109</v>
      </c>
      <c r="F34" s="280">
        <f>SUMIF(105:105,E34,106:106)-SUMIF(105:105,C34,106:106)+100</f>
        <v>100</v>
      </c>
      <c r="G34" s="609" t="s">
        <v>2109</v>
      </c>
      <c r="H34" s="250">
        <f>SUMIF(105:105,G34,106:106)-SUMIF(105:105,C34,106:106)+100</f>
        <v>100</v>
      </c>
      <c r="I34" s="609" t="s">
        <v>2109</v>
      </c>
      <c r="J34" s="250">
        <f>SUMIF(105:105,I34,106:106)-SUMIF(105:105,C34,106:106)+100</f>
        <v>100</v>
      </c>
      <c r="K34" s="1967">
        <v>1</v>
      </c>
      <c r="L34" s="396"/>
      <c r="M34" s="383"/>
      <c r="N34" s="383"/>
      <c r="O34" s="395"/>
      <c r="P34" s="3670"/>
      <c r="Q34" s="388" t="str">
        <f t="shared" si="11"/>
        <v>建筑结构</v>
      </c>
      <c r="R34" s="455" t="s">
        <v>912</v>
      </c>
      <c r="S34" s="456">
        <f t="shared" si="12"/>
        <v>100</v>
      </c>
      <c r="T34" s="455" t="s">
        <v>912</v>
      </c>
      <c r="U34" s="456">
        <f t="shared" si="13"/>
        <v>100</v>
      </c>
      <c r="V34" s="455" t="s">
        <v>912</v>
      </c>
      <c r="W34" s="456">
        <f t="shared" si="14"/>
        <v>100</v>
      </c>
      <c r="X34" s="450"/>
      <c r="Y34" s="3670"/>
      <c r="Z34" s="449" t="str">
        <f t="shared" si="15"/>
        <v>建筑结构</v>
      </c>
      <c r="AA34" s="461">
        <f t="shared" si="3"/>
        <v>1</v>
      </c>
      <c r="AB34" s="461">
        <f t="shared" si="4"/>
        <v>1</v>
      </c>
      <c r="AC34" s="461">
        <f t="shared" si="5"/>
        <v>1</v>
      </c>
    </row>
    <row r="35" spans="1:29" ht="15" hidden="1">
      <c r="A35" s="296"/>
      <c r="B35" s="292" t="s">
        <v>1056</v>
      </c>
      <c r="C35" s="584"/>
      <c r="D35" s="250">
        <v>100</v>
      </c>
      <c r="E35" s="584"/>
      <c r="F35" s="280">
        <f>SUMIF(107:107,E35,108:108)-SUMIF(107:107,C35,108:108)+100</f>
        <v>100</v>
      </c>
      <c r="G35" s="584"/>
      <c r="H35" s="250">
        <f>SUMIF(107:107,G35,108:108)-SUMIF(107:107,C35,108:108)+100</f>
        <v>100</v>
      </c>
      <c r="I35" s="584"/>
      <c r="J35" s="250">
        <f>SUMIF(107:107,I35,108:108)-SUMIF(107:107,C35,108:108)+100</f>
        <v>100</v>
      </c>
      <c r="K35" s="1967"/>
      <c r="L35" s="396"/>
      <c r="M35" s="383"/>
      <c r="N35" s="383"/>
      <c r="O35" s="395"/>
      <c r="P35" s="3670"/>
      <c r="Q35" s="388" t="str">
        <f t="shared" si="11"/>
        <v>建筑品质</v>
      </c>
      <c r="R35" s="455" t="s">
        <v>912</v>
      </c>
      <c r="S35" s="456">
        <f t="shared" si="12"/>
        <v>100</v>
      </c>
      <c r="T35" s="455" t="s">
        <v>912</v>
      </c>
      <c r="U35" s="456">
        <f t="shared" si="13"/>
        <v>100</v>
      </c>
      <c r="V35" s="455" t="s">
        <v>912</v>
      </c>
      <c r="W35" s="456">
        <f t="shared" si="14"/>
        <v>100</v>
      </c>
      <c r="X35" s="450"/>
      <c r="Y35" s="3670"/>
      <c r="Z35" s="449" t="str">
        <f t="shared" si="15"/>
        <v>建筑品质</v>
      </c>
      <c r="AA35" s="461">
        <f t="shared" si="3"/>
        <v>1</v>
      </c>
      <c r="AB35" s="461">
        <f t="shared" si="4"/>
        <v>1</v>
      </c>
      <c r="AC35" s="461">
        <f t="shared" si="5"/>
        <v>1</v>
      </c>
    </row>
    <row r="36" spans="1:29" ht="15">
      <c r="A36" s="296"/>
      <c r="B36" s="292" t="s">
        <v>1057</v>
      </c>
      <c r="C36" s="3386" t="s">
        <v>2721</v>
      </c>
      <c r="D36" s="250">
        <v>100</v>
      </c>
      <c r="E36" s="584" t="s">
        <v>2721</v>
      </c>
      <c r="F36" s="280">
        <f>SUMIF(109:109,E36,110:110)-SUMIF(109:109,C36,110:110)+100</f>
        <v>100</v>
      </c>
      <c r="G36" s="584" t="s">
        <v>2721</v>
      </c>
      <c r="H36" s="250">
        <f>SUMIF(109:109,G36,110:110)-SUMIF(109:109,C36,110:110)+100</f>
        <v>100</v>
      </c>
      <c r="I36" s="584" t="s">
        <v>2721</v>
      </c>
      <c r="J36" s="250">
        <f>SUMIF(109:109,I36,110:110)-SUMIF(109:109,C36,110:110)+100</f>
        <v>100</v>
      </c>
      <c r="K36" s="1967">
        <v>1</v>
      </c>
      <c r="L36" s="396"/>
      <c r="M36" s="383"/>
      <c r="N36" s="383"/>
      <c r="O36" s="395"/>
      <c r="P36" s="3670"/>
      <c r="Q36" s="388" t="str">
        <f t="shared" si="11"/>
        <v>公共部分装修</v>
      </c>
      <c r="R36" s="455" t="s">
        <v>912</v>
      </c>
      <c r="S36" s="456">
        <f t="shared" si="12"/>
        <v>100</v>
      </c>
      <c r="T36" s="455" t="s">
        <v>912</v>
      </c>
      <c r="U36" s="456">
        <f t="shared" si="13"/>
        <v>100</v>
      </c>
      <c r="V36" s="455" t="s">
        <v>912</v>
      </c>
      <c r="W36" s="456">
        <f t="shared" si="14"/>
        <v>100</v>
      </c>
      <c r="X36" s="450"/>
      <c r="Y36" s="3670"/>
      <c r="Z36" s="449" t="str">
        <f t="shared" si="15"/>
        <v>公共部分装修</v>
      </c>
      <c r="AA36" s="461">
        <f t="shared" si="3"/>
        <v>1</v>
      </c>
      <c r="AB36" s="461">
        <f t="shared" si="4"/>
        <v>1</v>
      </c>
      <c r="AC36" s="461">
        <f t="shared" si="5"/>
        <v>1</v>
      </c>
    </row>
    <row r="37" spans="1:29" s="193" customFormat="1" ht="15">
      <c r="A37" s="299"/>
      <c r="B37" s="292" t="s">
        <v>1058</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1967">
        <v>1</v>
      </c>
      <c r="L37" s="385"/>
      <c r="M37" s="386"/>
      <c r="N37" s="386"/>
      <c r="O37" s="387"/>
      <c r="P37" s="3670"/>
      <c r="Q37" s="454" t="str">
        <f t="shared" si="11"/>
        <v>成新度</v>
      </c>
      <c r="R37" s="451" t="s">
        <v>912</v>
      </c>
      <c r="S37" s="452">
        <f t="shared" si="12"/>
        <v>100</v>
      </c>
      <c r="T37" s="451" t="s">
        <v>912</v>
      </c>
      <c r="U37" s="452">
        <f t="shared" si="13"/>
        <v>100</v>
      </c>
      <c r="V37" s="451" t="s">
        <v>912</v>
      </c>
      <c r="W37" s="452">
        <f t="shared" si="14"/>
        <v>100</v>
      </c>
      <c r="X37" s="453"/>
      <c r="Y37" s="3670"/>
      <c r="Z37" s="471" t="str">
        <f t="shared" si="15"/>
        <v>成新度</v>
      </c>
      <c r="AA37" s="470">
        <f t="shared" si="3"/>
        <v>1</v>
      </c>
      <c r="AB37" s="470">
        <f t="shared" si="4"/>
        <v>1</v>
      </c>
      <c r="AC37" s="470">
        <f t="shared" si="5"/>
        <v>1</v>
      </c>
    </row>
    <row r="38" spans="1:29" ht="15" hidden="1">
      <c r="A38" s="296"/>
      <c r="B38" s="292" t="s">
        <v>1059</v>
      </c>
      <c r="C38" s="584" t="s">
        <v>2727</v>
      </c>
      <c r="D38" s="250">
        <v>100</v>
      </c>
      <c r="E38" s="1954" t="s">
        <v>2727</v>
      </c>
      <c r="F38" s="280">
        <f>SUMIF(114:114,E38,115:115)-SUMIF(114:114,C38,115:115)+100</f>
        <v>100</v>
      </c>
      <c r="G38" s="1954" t="s">
        <v>2727</v>
      </c>
      <c r="H38" s="250">
        <f>SUMIF(114:114,G38,115:115)-SUMIF(114:114,C38,115:115)+100</f>
        <v>100</v>
      </c>
      <c r="I38" s="1954" t="s">
        <v>2727</v>
      </c>
      <c r="J38" s="250">
        <f>SUMIF(114:114,I38,115:115)-SUMIF(114:114,C38,115:115)+100</f>
        <v>100</v>
      </c>
      <c r="K38" s="1967">
        <v>1</v>
      </c>
      <c r="L38" s="396"/>
      <c r="M38" s="383"/>
      <c r="N38" s="383"/>
      <c r="O38" s="395"/>
      <c r="P38" s="3670" t="s">
        <v>927</v>
      </c>
      <c r="Q38" s="388" t="str">
        <f t="shared" si="11"/>
        <v>物业管理</v>
      </c>
      <c r="R38" s="455" t="s">
        <v>912</v>
      </c>
      <c r="S38" s="456">
        <f t="shared" si="12"/>
        <v>100</v>
      </c>
      <c r="T38" s="455" t="s">
        <v>912</v>
      </c>
      <c r="U38" s="456">
        <f t="shared" si="13"/>
        <v>100</v>
      </c>
      <c r="V38" s="455" t="s">
        <v>912</v>
      </c>
      <c r="W38" s="456">
        <f t="shared" si="14"/>
        <v>100</v>
      </c>
      <c r="X38" s="450"/>
      <c r="Y38" s="3670" t="s">
        <v>927</v>
      </c>
      <c r="Z38" s="449" t="str">
        <f t="shared" si="15"/>
        <v>物业管理</v>
      </c>
      <c r="AA38" s="461">
        <f t="shared" si="3"/>
        <v>1</v>
      </c>
      <c r="AB38" s="461">
        <f t="shared" si="4"/>
        <v>1</v>
      </c>
      <c r="AC38" s="461">
        <f t="shared" si="5"/>
        <v>1</v>
      </c>
    </row>
    <row r="39" spans="1:29" ht="15" hidden="1">
      <c r="A39" s="296"/>
      <c r="B39" s="551" t="s">
        <v>1060</v>
      </c>
      <c r="C39" s="584" t="s">
        <v>247</v>
      </c>
      <c r="D39" s="250">
        <v>100</v>
      </c>
      <c r="E39" s="1954" t="s">
        <v>247</v>
      </c>
      <c r="F39" s="280">
        <f>SUMIF(116:116,E39,117:117)-SUMIF(116:116,C39,117:117)+100</f>
        <v>100</v>
      </c>
      <c r="G39" s="1954" t="s">
        <v>247</v>
      </c>
      <c r="H39" s="250">
        <f>SUMIF(116:116,G39,117:117)-SUMIF(116:116,C39,117:117)+100</f>
        <v>100</v>
      </c>
      <c r="I39" s="1954" t="s">
        <v>247</v>
      </c>
      <c r="J39" s="250">
        <f>SUMIF(116:116,I39,117:117)-SUMIF(116:116,C39,117:117)+100</f>
        <v>100</v>
      </c>
      <c r="K39" s="1967">
        <v>1</v>
      </c>
      <c r="L39" s="396"/>
      <c r="M39" s="383"/>
      <c r="N39" s="383"/>
      <c r="O39" s="395"/>
      <c r="P39" s="3670"/>
      <c r="Q39" s="388" t="str">
        <f t="shared" si="11"/>
        <v>市政基础设施</v>
      </c>
      <c r="R39" s="455" t="s">
        <v>912</v>
      </c>
      <c r="S39" s="456">
        <f t="shared" si="12"/>
        <v>100</v>
      </c>
      <c r="T39" s="455" t="s">
        <v>912</v>
      </c>
      <c r="U39" s="456">
        <f t="shared" si="13"/>
        <v>100</v>
      </c>
      <c r="V39" s="455" t="s">
        <v>912</v>
      </c>
      <c r="W39" s="456">
        <f t="shared" si="14"/>
        <v>100</v>
      </c>
      <c r="X39" s="450"/>
      <c r="Y39" s="3670"/>
      <c r="Z39" s="449" t="str">
        <f t="shared" si="15"/>
        <v>市政基础设施</v>
      </c>
      <c r="AA39" s="461">
        <f t="shared" si="3"/>
        <v>1</v>
      </c>
      <c r="AB39" s="461">
        <f t="shared" si="4"/>
        <v>1</v>
      </c>
      <c r="AC39" s="461">
        <f t="shared" si="5"/>
        <v>1</v>
      </c>
    </row>
    <row r="40" spans="1:29" ht="15" hidden="1">
      <c r="A40" s="296"/>
      <c r="B40" s="292" t="s">
        <v>1061</v>
      </c>
      <c r="C40" s="584"/>
      <c r="D40" s="250">
        <v>100</v>
      </c>
      <c r="E40" s="1954"/>
      <c r="F40" s="280">
        <f>SUMIF(118:118,E40,119:119)-SUMIF(118:118,C40,119:119)+100</f>
        <v>100</v>
      </c>
      <c r="G40" s="584"/>
      <c r="H40" s="250">
        <f>SUMIF(118:118,G40,119:119)-SUMIF(118:118,C40,119:119)+100</f>
        <v>100</v>
      </c>
      <c r="I40" s="1954"/>
      <c r="J40" s="250">
        <f>SUMIF(118:118,I40,119:119)-SUMIF(118:118,C40,119:119)+100</f>
        <v>100</v>
      </c>
      <c r="K40" s="1967"/>
      <c r="L40" s="396"/>
      <c r="M40" s="383"/>
      <c r="N40" s="383"/>
      <c r="O40" s="395"/>
      <c r="P40" s="3670"/>
      <c r="Q40" s="388" t="str">
        <f t="shared" si="11"/>
        <v>房型</v>
      </c>
      <c r="R40" s="455" t="s">
        <v>912</v>
      </c>
      <c r="S40" s="456">
        <f t="shared" si="12"/>
        <v>100</v>
      </c>
      <c r="T40" s="455" t="s">
        <v>912</v>
      </c>
      <c r="U40" s="456">
        <f t="shared" si="13"/>
        <v>100</v>
      </c>
      <c r="V40" s="455" t="s">
        <v>912</v>
      </c>
      <c r="W40" s="456">
        <f t="shared" si="14"/>
        <v>100</v>
      </c>
      <c r="X40" s="450"/>
      <c r="Y40" s="3670"/>
      <c r="Z40" s="449" t="str">
        <f t="shared" si="15"/>
        <v>房型</v>
      </c>
      <c r="AA40" s="461">
        <f t="shared" si="3"/>
        <v>1</v>
      </c>
      <c r="AB40" s="461">
        <f t="shared" si="4"/>
        <v>1</v>
      </c>
      <c r="AC40" s="461">
        <f t="shared" si="5"/>
        <v>1</v>
      </c>
    </row>
    <row r="41" spans="1:29" s="195" customFormat="1" ht="28.5" hidden="1">
      <c r="A41" s="291"/>
      <c r="B41" s="292" t="s">
        <v>1062</v>
      </c>
      <c r="C41" s="245"/>
      <c r="D41" s="240">
        <v>100</v>
      </c>
      <c r="E41" s="539"/>
      <c r="F41" s="550">
        <f>SUMIF(120:120,E41,121:121)-SUMIF(120:120,C41,121:121)+100</f>
        <v>100</v>
      </c>
      <c r="G41" s="538"/>
      <c r="H41" s="240">
        <f>SUMIF(120:120,G41,121:121)-SUMIF(120:120,C41,121:121)+100</f>
        <v>100</v>
      </c>
      <c r="I41" s="1677"/>
      <c r="J41" s="250">
        <f>SUMIF(120:120,I41,121:121)-SUMIF(120:120,C41,121:121)+100</f>
        <v>100</v>
      </c>
      <c r="K41" s="1968"/>
      <c r="L41" s="394"/>
      <c r="M41" s="400"/>
      <c r="N41" s="400"/>
      <c r="O41" s="401"/>
      <c r="P41" s="3670"/>
      <c r="Q41" s="457" t="str">
        <f t="shared" si="11"/>
        <v>单套/主力户型建筑面积</v>
      </c>
      <c r="R41" s="458" t="s">
        <v>912</v>
      </c>
      <c r="S41" s="459">
        <f t="shared" si="12"/>
        <v>100</v>
      </c>
      <c r="T41" s="458" t="s">
        <v>912</v>
      </c>
      <c r="U41" s="459">
        <f t="shared" si="13"/>
        <v>100</v>
      </c>
      <c r="V41" s="458" t="s">
        <v>912</v>
      </c>
      <c r="W41" s="459">
        <f t="shared" si="14"/>
        <v>100</v>
      </c>
      <c r="X41" s="460"/>
      <c r="Y41" s="3670"/>
      <c r="Z41" s="472" t="str">
        <f t="shared" si="15"/>
        <v>单套/主力户型建筑面积</v>
      </c>
      <c r="AA41" s="461">
        <f t="shared" si="3"/>
        <v>1</v>
      </c>
      <c r="AB41" s="461">
        <f t="shared" si="4"/>
        <v>1</v>
      </c>
      <c r="AC41" s="461">
        <f t="shared" si="5"/>
        <v>1</v>
      </c>
    </row>
    <row r="42" spans="1:29" ht="15">
      <c r="A42" s="296"/>
      <c r="B42" s="292" t="s">
        <v>1063</v>
      </c>
      <c r="C42" s="3386" t="s">
        <v>2725</v>
      </c>
      <c r="D42" s="250">
        <v>100</v>
      </c>
      <c r="E42" s="1954" t="s">
        <v>2721</v>
      </c>
      <c r="F42" s="280">
        <f>SUMIF(122:122,E42,123:123)-SUMIF(122:122,C42,123:123)+100</f>
        <v>115</v>
      </c>
      <c r="G42" s="1954" t="s">
        <v>2721</v>
      </c>
      <c r="H42" s="250">
        <f>SUMIF(122:122,G42,123:123)-SUMIF(122:122,C42,123:123)+100</f>
        <v>115</v>
      </c>
      <c r="I42" s="1954" t="s">
        <v>2721</v>
      </c>
      <c r="J42" s="250">
        <f>SUMIF(122:122,I42,123:123)-SUMIF(122:122,C42,123:123)+100</f>
        <v>115</v>
      </c>
      <c r="K42" s="1967">
        <v>5</v>
      </c>
      <c r="L42" s="396"/>
      <c r="M42" s="383"/>
      <c r="N42" s="383"/>
      <c r="O42" s="395"/>
      <c r="P42" s="3670"/>
      <c r="Q42" s="388" t="str">
        <f t="shared" si="11"/>
        <v>内部装修</v>
      </c>
      <c r="R42" s="455" t="s">
        <v>912</v>
      </c>
      <c r="S42" s="456">
        <f t="shared" si="12"/>
        <v>115</v>
      </c>
      <c r="T42" s="455" t="s">
        <v>912</v>
      </c>
      <c r="U42" s="456">
        <f t="shared" si="13"/>
        <v>115</v>
      </c>
      <c r="V42" s="455" t="s">
        <v>912</v>
      </c>
      <c r="W42" s="456">
        <f t="shared" si="14"/>
        <v>115</v>
      </c>
      <c r="X42" s="450"/>
      <c r="Y42" s="3670"/>
      <c r="Z42" s="449" t="str">
        <f t="shared" si="15"/>
        <v>内部装修</v>
      </c>
      <c r="AA42" s="461">
        <f t="shared" si="3"/>
        <v>0.86956521739130432</v>
      </c>
      <c r="AB42" s="461">
        <f t="shared" si="4"/>
        <v>0.86956521739130432</v>
      </c>
      <c r="AC42" s="461">
        <f t="shared" si="5"/>
        <v>0.86956521739130432</v>
      </c>
    </row>
    <row r="43" spans="1:29" ht="27">
      <c r="A43" s="296"/>
      <c r="B43" s="292" t="s">
        <v>235</v>
      </c>
      <c r="C43" s="584" t="s">
        <v>1279</v>
      </c>
      <c r="D43" s="250">
        <v>100</v>
      </c>
      <c r="E43" s="1954" t="s">
        <v>1279</v>
      </c>
      <c r="F43" s="280">
        <f>SUMIF(124:124,E43,125:125)-SUMIF(124:124,C43,125:125)+100</f>
        <v>100</v>
      </c>
      <c r="G43" s="584" t="s">
        <v>1279</v>
      </c>
      <c r="H43" s="250">
        <f>SUMIF(124:124,G43,125:125)-SUMIF(124:124,C43,125:125)+100</f>
        <v>100</v>
      </c>
      <c r="I43" s="584" t="s">
        <v>1279</v>
      </c>
      <c r="J43" s="250">
        <f>SUMIF(124:124,I43,125:125)-SUMIF(124:124,C43,125:125)+100</f>
        <v>100</v>
      </c>
      <c r="K43" s="1967"/>
      <c r="L43" s="396"/>
      <c r="M43" s="383"/>
      <c r="N43" s="383"/>
      <c r="O43" s="395"/>
      <c r="P43" s="3670"/>
      <c r="Q43" s="388" t="str">
        <f t="shared" si="11"/>
        <v>内部装修维护情况</v>
      </c>
      <c r="R43" s="455" t="s">
        <v>912</v>
      </c>
      <c r="S43" s="456">
        <f t="shared" si="12"/>
        <v>100</v>
      </c>
      <c r="T43" s="455" t="s">
        <v>912</v>
      </c>
      <c r="U43" s="456">
        <f t="shared" si="13"/>
        <v>100</v>
      </c>
      <c r="V43" s="455" t="s">
        <v>912</v>
      </c>
      <c r="W43" s="456">
        <f t="shared" si="14"/>
        <v>100</v>
      </c>
      <c r="X43" s="450"/>
      <c r="Y43" s="3670"/>
      <c r="Z43" s="449" t="str">
        <f t="shared" si="15"/>
        <v>内部装修维护情况</v>
      </c>
      <c r="AA43" s="461">
        <f t="shared" si="3"/>
        <v>1</v>
      </c>
      <c r="AB43" s="461">
        <f t="shared" si="4"/>
        <v>1</v>
      </c>
      <c r="AC43" s="461">
        <f t="shared" si="5"/>
        <v>1</v>
      </c>
    </row>
    <row r="44" spans="1:29" s="193" customFormat="1" ht="15" hidden="1">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1968"/>
      <c r="L44" s="385"/>
      <c r="M44" s="386"/>
      <c r="N44" s="386"/>
      <c r="O44" s="387"/>
      <c r="P44" s="3670"/>
      <c r="Q44" s="454">
        <f t="shared" si="11"/>
        <v>111</v>
      </c>
      <c r="R44" s="451" t="s">
        <v>912</v>
      </c>
      <c r="S44" s="452">
        <f t="shared" si="12"/>
        <v>100</v>
      </c>
      <c r="T44" s="451" t="s">
        <v>912</v>
      </c>
      <c r="U44" s="452">
        <f t="shared" si="13"/>
        <v>100</v>
      </c>
      <c r="V44" s="451" t="s">
        <v>912</v>
      </c>
      <c r="W44" s="452">
        <f t="shared" si="14"/>
        <v>100</v>
      </c>
      <c r="X44" s="453"/>
      <c r="Y44" s="3670"/>
      <c r="Z44" s="471">
        <f t="shared" si="15"/>
        <v>111</v>
      </c>
      <c r="AA44" s="470">
        <f t="shared" si="3"/>
        <v>1</v>
      </c>
      <c r="AB44" s="470">
        <f t="shared" si="4"/>
        <v>1</v>
      </c>
      <c r="AC44" s="470">
        <f t="shared" si="5"/>
        <v>1</v>
      </c>
    </row>
    <row r="45" spans="1:29" ht="15" hidden="1">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1968"/>
      <c r="L45" s="396"/>
      <c r="M45" s="383"/>
      <c r="N45" s="383"/>
      <c r="O45" s="395"/>
      <c r="P45" s="3670"/>
      <c r="Q45" s="388">
        <f t="shared" si="11"/>
        <v>111</v>
      </c>
      <c r="R45" s="455" t="s">
        <v>912</v>
      </c>
      <c r="S45" s="456">
        <f t="shared" si="12"/>
        <v>100</v>
      </c>
      <c r="T45" s="455" t="s">
        <v>912</v>
      </c>
      <c r="U45" s="456">
        <f t="shared" si="13"/>
        <v>100</v>
      </c>
      <c r="V45" s="455" t="s">
        <v>912</v>
      </c>
      <c r="W45" s="456">
        <f t="shared" si="14"/>
        <v>100</v>
      </c>
      <c r="X45" s="450"/>
      <c r="Y45" s="3670"/>
      <c r="Z45" s="449">
        <f t="shared" si="15"/>
        <v>111</v>
      </c>
      <c r="AA45" s="461">
        <f t="shared" si="3"/>
        <v>1</v>
      </c>
      <c r="AB45" s="461">
        <f t="shared" si="4"/>
        <v>1</v>
      </c>
      <c r="AC45" s="461">
        <f t="shared" si="5"/>
        <v>1</v>
      </c>
    </row>
    <row r="46" spans="1:29" ht="15" hidden="1">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1968"/>
      <c r="L46" s="396"/>
      <c r="M46" s="383"/>
      <c r="N46" s="383"/>
      <c r="O46" s="395"/>
      <c r="P46" s="3774"/>
      <c r="Q46" s="388">
        <f t="shared" si="11"/>
        <v>111</v>
      </c>
      <c r="R46" s="455" t="s">
        <v>912</v>
      </c>
      <c r="S46" s="456">
        <f t="shared" si="12"/>
        <v>100</v>
      </c>
      <c r="T46" s="455" t="s">
        <v>912</v>
      </c>
      <c r="U46" s="456">
        <f t="shared" si="13"/>
        <v>100</v>
      </c>
      <c r="V46" s="455" t="s">
        <v>912</v>
      </c>
      <c r="W46" s="456">
        <f t="shared" si="14"/>
        <v>100</v>
      </c>
      <c r="X46" s="450"/>
      <c r="Y46" s="3774"/>
      <c r="Z46" s="449">
        <f t="shared" si="15"/>
        <v>111</v>
      </c>
      <c r="AA46" s="461">
        <f t="shared" si="3"/>
        <v>1</v>
      </c>
      <c r="AB46" s="461">
        <f t="shared" si="4"/>
        <v>1</v>
      </c>
      <c r="AC46" s="461">
        <f t="shared" si="5"/>
        <v>1</v>
      </c>
    </row>
    <row r="47" spans="1:29" ht="15">
      <c r="A47" s="306" t="s">
        <v>1064</v>
      </c>
      <c r="B47" s="307"/>
      <c r="C47" s="308" t="s">
        <v>138</v>
      </c>
      <c r="D47" s="309"/>
      <c r="E47" s="310">
        <v>55093</v>
      </c>
      <c r="F47" s="311"/>
      <c r="G47" s="312">
        <v>53873</v>
      </c>
      <c r="H47" s="313"/>
      <c r="I47" s="310">
        <v>56927</v>
      </c>
      <c r="J47" s="313"/>
      <c r="K47" s="1972"/>
      <c r="L47" s="403"/>
      <c r="M47" s="334"/>
      <c r="N47" s="383"/>
      <c r="O47" s="334"/>
      <c r="P47" s="3666" t="str">
        <f>A47</f>
        <v>成交单价（元/平方米）</v>
      </c>
      <c r="Q47" s="3666"/>
      <c r="R47" s="3772">
        <f>E47</f>
        <v>55093</v>
      </c>
      <c r="S47" s="3772"/>
      <c r="T47" s="3772">
        <f>G47</f>
        <v>53873</v>
      </c>
      <c r="U47" s="3772"/>
      <c r="V47" s="3772">
        <f>I47</f>
        <v>56927</v>
      </c>
      <c r="W47" s="3772"/>
      <c r="X47" s="336"/>
      <c r="Y47" s="473"/>
      <c r="Z47" s="336"/>
      <c r="AA47" s="336"/>
      <c r="AB47" s="336"/>
      <c r="AC47" s="336"/>
    </row>
    <row r="48" spans="1:29" ht="15">
      <c r="A48" s="314" t="s">
        <v>936</v>
      </c>
      <c r="B48" s="315"/>
      <c r="C48" s="316">
        <f>R49</f>
        <v>43314</v>
      </c>
      <c r="D48" s="317" t="s">
        <v>937</v>
      </c>
      <c r="E48" s="318">
        <f>R48</f>
        <v>42999</v>
      </c>
      <c r="F48" s="319"/>
      <c r="G48" s="316">
        <f>T48</f>
        <v>42471</v>
      </c>
      <c r="H48" s="319"/>
      <c r="I48" s="318">
        <f>V48</f>
        <v>44473</v>
      </c>
      <c r="J48" s="319"/>
      <c r="K48" s="404">
        <f>F48+H48+J48</f>
        <v>0</v>
      </c>
      <c r="L48" s="403"/>
      <c r="M48" s="334"/>
      <c r="N48" s="334"/>
      <c r="O48" s="334"/>
      <c r="P48" s="3666" t="str">
        <f>A48</f>
        <v>比较价格（元/平方米）</v>
      </c>
      <c r="Q48" s="3666"/>
      <c r="R48" s="3772">
        <f>IF(F1="售价",ROUND(PRODUCT(R47,AA7:AA46),0),ROUND(PRODUCT(R47,AA7:AA46),1))</f>
        <v>42999</v>
      </c>
      <c r="S48" s="3772"/>
      <c r="T48" s="3772">
        <f>IF(F1="售价",ROUND(PRODUCT(T47,AB7:AB46),0),ROUND(PRODUCT(T47,AB7:AB46),1))</f>
        <v>42471</v>
      </c>
      <c r="U48" s="3772"/>
      <c r="V48" s="3772">
        <f>IF(F1="售价",ROUND(PRODUCT(V47,AC7:AC46),0),ROUND(PRODUCT(V47,AC7:AC46),1))</f>
        <v>44473</v>
      </c>
      <c r="W48" s="3772"/>
      <c r="X48" s="336"/>
      <c r="Y48" s="336"/>
      <c r="Z48" s="336"/>
      <c r="AA48" s="336"/>
      <c r="AB48" s="336"/>
      <c r="AC48" s="336"/>
    </row>
    <row r="49" spans="1:29" ht="15">
      <c r="A49" s="320" t="s">
        <v>938</v>
      </c>
      <c r="B49" s="321"/>
      <c r="C49" s="322">
        <f>R49</f>
        <v>43314</v>
      </c>
      <c r="D49" s="322"/>
      <c r="E49" s="322"/>
      <c r="F49" s="322"/>
      <c r="G49" s="322"/>
      <c r="H49" s="322"/>
      <c r="I49" s="322"/>
      <c r="J49" s="322"/>
      <c r="K49" s="1973"/>
      <c r="L49" s="403"/>
      <c r="M49" s="334"/>
      <c r="N49" s="334"/>
      <c r="O49" s="334"/>
      <c r="P49" s="3676" t="str">
        <f>A49</f>
        <v>估价对象XX用房的比较价格（楼面单价，元/平方米）</v>
      </c>
      <c r="Q49" s="3677"/>
      <c r="R49" s="3773">
        <f>IF(F1="售价",ROUND(IF(D48="简单平均",AVERAGE(R48:V48),R48*F48+T48*H48+V48*J48),0),ROUND(IF(D48="简单平均",AVERAGE(R48:V48),R48*F48+T48*H48+V48*J48),1))</f>
        <v>43314</v>
      </c>
      <c r="S49" s="3773"/>
      <c r="T49" s="3773"/>
      <c r="U49" s="3773"/>
      <c r="V49" s="3773"/>
      <c r="W49" s="3773"/>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939</v>
      </c>
      <c r="D52" s="326"/>
      <c r="E52" s="327">
        <f>IF(E47&lt;E48,E48/E47-1,E47/E48-1)</f>
        <v>0.28126235493848695</v>
      </c>
      <c r="F52" s="328" t="str">
        <f>IF(OR(E52&gt;=0.3,E52&lt;=-0.3),"超过30%","")</f>
        <v/>
      </c>
      <c r="G52" s="327">
        <f>IF(G47&lt;G48,G48/G47-1,G47/G48-1)</f>
        <v>0.26846554119281385</v>
      </c>
      <c r="H52" s="328" t="str">
        <f>IF(OR(G52&gt;=0.3,G52&lt;=-0.3),"超过30%","")</f>
        <v/>
      </c>
      <c r="I52" s="327">
        <f>IF(I47&lt;I48,I48/I47-1,I47/I48-1)</f>
        <v>0.28003507746273026</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940</v>
      </c>
      <c r="D53" s="329"/>
      <c r="E53" s="327">
        <f>IF(E48&lt;G48,G48/E48-1,E48/G48-1)</f>
        <v>1.2432012432012529E-2</v>
      </c>
      <c r="F53" s="328" t="str">
        <f>IF(OR(E53&gt;=0.2,E53&lt;=-0.2),"超过20%","")</f>
        <v/>
      </c>
      <c r="G53" s="327">
        <f>IF(G48&lt;I48,I48/G48-1,G48/I48-1)</f>
        <v>4.7138047138047146E-2</v>
      </c>
      <c r="H53" s="328" t="str">
        <f>IF(OR(G53&gt;=0.2,G53&lt;=-0.2),"超过20%","")</f>
        <v/>
      </c>
      <c r="I53" s="327">
        <f>IF(I48&lt;E48,E48/I48-1,I48/E48-1)</f>
        <v>3.4279866973650597E-2</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941</v>
      </c>
      <c r="D54" s="329"/>
      <c r="E54" s="327">
        <f>IF(E47&lt;G47,G47/E47-1,E47/G47-1)</f>
        <v>2.264585228221927E-2</v>
      </c>
      <c r="F54" s="328" t="str">
        <f>IF(OR(E54&gt;=0.3,E54&lt;=-0.3),"超过30%","")</f>
        <v/>
      </c>
      <c r="G54" s="327">
        <f>IF(G47&lt;I47,I47/G47-1,G47/I47-1)</f>
        <v>5.6688879401555425E-2</v>
      </c>
      <c r="H54" s="328" t="str">
        <f>IF(OR(G54&gt;=0.3,G54&lt;=-0.3),"超过30%","")</f>
        <v/>
      </c>
      <c r="I54" s="327">
        <f>IF(I47&lt;E47,E47/I47-1,I47/E47-1)</f>
        <v>3.328916559272499E-2</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963</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910</v>
      </c>
      <c r="B58" s="340"/>
      <c r="C58" s="342" t="str">
        <f>YEAR(C7)&amp;"-"&amp;MONTH(C7)</f>
        <v>2021-10</v>
      </c>
      <c r="D58" s="342">
        <f>EDATE(C58,-1)</f>
        <v>44440</v>
      </c>
      <c r="E58" s="342">
        <f t="shared" ref="E58:O58" si="16">EDATE(D58,-1)</f>
        <v>44409</v>
      </c>
      <c r="F58" s="342">
        <f t="shared" si="16"/>
        <v>44378</v>
      </c>
      <c r="G58" s="342">
        <f t="shared" si="16"/>
        <v>44348</v>
      </c>
      <c r="H58" s="342">
        <f t="shared" si="16"/>
        <v>44317</v>
      </c>
      <c r="I58" s="342">
        <f t="shared" si="16"/>
        <v>44287</v>
      </c>
      <c r="J58" s="342">
        <f t="shared" si="16"/>
        <v>44256</v>
      </c>
      <c r="K58" s="342">
        <f t="shared" si="16"/>
        <v>44228</v>
      </c>
      <c r="L58" s="342">
        <f t="shared" si="16"/>
        <v>44197</v>
      </c>
      <c r="M58" s="342">
        <f t="shared" si="16"/>
        <v>44166</v>
      </c>
      <c r="N58" s="342">
        <f t="shared" si="16"/>
        <v>44136</v>
      </c>
      <c r="O58" s="342">
        <f t="shared" si="16"/>
        <v>44105</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1065</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913</v>
      </c>
      <c r="B61" s="344"/>
      <c r="C61" s="352" t="s">
        <v>914</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967</v>
      </c>
      <c r="B63" s="355" t="s">
        <v>968</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1958"/>
      <c r="F64" s="1958"/>
      <c r="G64" s="1958"/>
      <c r="H64" s="1958"/>
      <c r="I64" s="1958"/>
      <c r="J64" s="1958"/>
      <c r="K64" s="1958"/>
      <c r="L64" s="1958"/>
      <c r="M64" s="1974"/>
      <c r="N64" s="432"/>
      <c r="O64" s="432"/>
      <c r="P64" s="430"/>
      <c r="Q64" s="419"/>
      <c r="R64" s="334"/>
      <c r="S64" s="334"/>
      <c r="T64" s="334"/>
      <c r="U64" s="334"/>
      <c r="V64" s="334"/>
      <c r="W64" s="334"/>
      <c r="X64" s="334"/>
      <c r="Y64" s="334"/>
      <c r="Z64" s="334"/>
      <c r="AA64" s="334"/>
      <c r="AB64" s="334"/>
      <c r="AC64" s="334"/>
    </row>
    <row r="65" spans="1:29" ht="27">
      <c r="A65" s="358"/>
      <c r="B65" s="361" t="s">
        <v>969</v>
      </c>
      <c r="C65" s="362" t="s">
        <v>1066</v>
      </c>
      <c r="D65" s="362" t="s">
        <v>1067</v>
      </c>
      <c r="E65" s="362" t="s">
        <v>1068</v>
      </c>
      <c r="F65" s="362" t="s">
        <v>1069</v>
      </c>
      <c r="G65" s="362" t="s">
        <v>1070</v>
      </c>
      <c r="H65" s="362" t="s">
        <v>1071</v>
      </c>
      <c r="I65" s="362" t="s">
        <v>1072</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99</v>
      </c>
      <c r="E66" s="364">
        <f t="shared" si="17"/>
        <v>98</v>
      </c>
      <c r="F66" s="364">
        <f t="shared" si="17"/>
        <v>97</v>
      </c>
      <c r="G66" s="364">
        <f t="shared" si="17"/>
        <v>96</v>
      </c>
      <c r="H66" s="364">
        <f t="shared" si="17"/>
        <v>95</v>
      </c>
      <c r="I66" s="364">
        <f t="shared" si="17"/>
        <v>94</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970</v>
      </c>
      <c r="C67" s="552" t="str">
        <f>C68&amp;"（含）"&amp;"-"&amp;D68</f>
        <v>0（含）-1</v>
      </c>
      <c r="D67" s="552" t="str">
        <f t="shared" ref="D67:L67" si="18">D68&amp;"（含）"&amp;"-"&amp;E68</f>
        <v>1（含）-2</v>
      </c>
      <c r="E67" s="552" t="str">
        <f t="shared" si="18"/>
        <v>2（含）-3</v>
      </c>
      <c r="F67" s="552" t="str">
        <f t="shared" si="18"/>
        <v>3（含）-</v>
      </c>
      <c r="G67" s="552" t="str">
        <f t="shared" si="18"/>
        <v>（含）-</v>
      </c>
      <c r="H67" s="552" t="str">
        <f t="shared" si="18"/>
        <v>（含）-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v>3</v>
      </c>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97</v>
      </c>
      <c r="E69" s="364">
        <f t="shared" si="19"/>
        <v>94</v>
      </c>
      <c r="F69" s="364">
        <f t="shared" si="19"/>
        <v>91</v>
      </c>
      <c r="G69" s="364">
        <f t="shared" si="19"/>
        <v>88</v>
      </c>
      <c r="H69" s="364">
        <f t="shared" si="19"/>
        <v>85</v>
      </c>
      <c r="I69" s="364">
        <f t="shared" si="19"/>
        <v>82</v>
      </c>
      <c r="J69" s="364">
        <f t="shared" si="19"/>
        <v>79</v>
      </c>
      <c r="K69" s="364">
        <f t="shared" si="19"/>
        <v>76</v>
      </c>
      <c r="L69" s="364">
        <f t="shared" si="19"/>
        <v>73</v>
      </c>
      <c r="M69" s="436">
        <f t="shared" si="19"/>
        <v>70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971</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95</v>
      </c>
      <c r="E77" s="364">
        <f>D77-$K15</f>
        <v>90</v>
      </c>
      <c r="F77" s="364">
        <f>E77-$K15</f>
        <v>85</v>
      </c>
      <c r="G77" s="364">
        <f>F77-$K15</f>
        <v>80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97</v>
      </c>
      <c r="E79" s="364">
        <f>D79-$K17</f>
        <v>94</v>
      </c>
      <c r="F79" s="364">
        <f>E79-$K17</f>
        <v>91</v>
      </c>
      <c r="G79" s="364">
        <f>F79-$K17</f>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98</v>
      </c>
      <c r="E81" s="364">
        <f>D81-$K19</f>
        <v>96</v>
      </c>
      <c r="F81" s="364">
        <f>E81-$K19</f>
        <v>94</v>
      </c>
      <c r="G81" s="364">
        <f>F81-$K19</f>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98</v>
      </c>
      <c r="E83" s="364">
        <f>D83-$K21</f>
        <v>96</v>
      </c>
      <c r="F83" s="364">
        <f>E83-$K21</f>
        <v>94</v>
      </c>
      <c r="G83" s="364">
        <f>F83-$K21</f>
        <v>92</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1049</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99</v>
      </c>
      <c r="E85" s="364">
        <f>D85-$K23</f>
        <v>98</v>
      </c>
      <c r="F85" s="364">
        <f>E85-$K23</f>
        <v>97</v>
      </c>
      <c r="G85" s="364">
        <f>F85-$K23</f>
        <v>96</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1050</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1051</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27.75">
      <c r="A90" s="368"/>
      <c r="B90" s="361" t="str">
        <f>B27</f>
        <v>道路级别</v>
      </c>
      <c r="C90" s="3383" t="s">
        <v>2706</v>
      </c>
      <c r="D90" s="3393" t="s">
        <v>2736</v>
      </c>
      <c r="E90" s="2141" t="s">
        <v>2744</v>
      </c>
      <c r="F90" s="3383" t="s">
        <v>2745</v>
      </c>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v>100</v>
      </c>
      <c r="D91" s="367">
        <v>102</v>
      </c>
      <c r="E91" s="367">
        <v>100</v>
      </c>
      <c r="F91" s="367">
        <v>98</v>
      </c>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976</v>
      </c>
      <c r="B100" s="355" t="s">
        <v>1053</v>
      </c>
      <c r="C100" s="3384" t="s">
        <v>2716</v>
      </c>
      <c r="D100" s="3384" t="s">
        <v>2718</v>
      </c>
      <c r="E100" s="3384" t="s">
        <v>2731</v>
      </c>
      <c r="F100" s="3384" t="s">
        <v>2719</v>
      </c>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98</v>
      </c>
      <c r="E101" s="364">
        <f t="shared" si="22"/>
        <v>96</v>
      </c>
      <c r="F101" s="364">
        <f t="shared" si="22"/>
        <v>94</v>
      </c>
      <c r="G101" s="364">
        <f t="shared" si="22"/>
        <v>92</v>
      </c>
      <c r="H101" s="364">
        <f t="shared" si="22"/>
        <v>90</v>
      </c>
      <c r="I101" s="364">
        <f t="shared" si="22"/>
        <v>88</v>
      </c>
      <c r="J101" s="364">
        <f t="shared" si="22"/>
        <v>86</v>
      </c>
      <c r="K101" s="364">
        <f t="shared" si="22"/>
        <v>84</v>
      </c>
      <c r="L101" s="364">
        <f t="shared" si="22"/>
        <v>82</v>
      </c>
      <c r="M101" s="364">
        <f t="shared" si="22"/>
        <v>80</v>
      </c>
      <c r="N101" s="432"/>
      <c r="O101" s="432"/>
      <c r="P101" s="430"/>
      <c r="Q101" s="419"/>
      <c r="R101" s="334"/>
      <c r="S101" s="334"/>
      <c r="T101" s="334"/>
      <c r="U101" s="334"/>
      <c r="V101" s="334"/>
      <c r="W101" s="334"/>
      <c r="X101" s="334"/>
      <c r="Y101" s="334"/>
      <c r="Z101" s="334"/>
      <c r="AA101" s="334"/>
      <c r="AB101" s="334"/>
      <c r="AC101" s="334"/>
    </row>
    <row r="102" spans="1:29" ht="28.5">
      <c r="A102" s="358"/>
      <c r="B102" s="361" t="s">
        <v>1054</v>
      </c>
      <c r="C102" s="374" t="str">
        <f>C103&amp;"(含)"&amp;"-"&amp;D103</f>
        <v>0(含)-100000</v>
      </c>
      <c r="D102" s="374" t="str">
        <f t="shared" ref="D102:L102" si="23">D103&amp;"(含)"&amp;"-"&amp;E103</f>
        <v>100000(含)-200000</v>
      </c>
      <c r="E102" s="374" t="str">
        <f t="shared" si="23"/>
        <v>200000(含)-300000</v>
      </c>
      <c r="F102" s="374" t="str">
        <f t="shared" si="23"/>
        <v>300000(含)-400000</v>
      </c>
      <c r="G102" s="374" t="str">
        <f t="shared" si="23"/>
        <v>400000(含)-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100000</v>
      </c>
      <c r="E103" s="482">
        <v>200000</v>
      </c>
      <c r="F103" s="482">
        <v>300000</v>
      </c>
      <c r="G103" s="482">
        <v>400000</v>
      </c>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v>104</v>
      </c>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1055</v>
      </c>
      <c r="C105" s="3383" t="s">
        <v>2720</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99</v>
      </c>
      <c r="E106" s="364">
        <f t="shared" si="24"/>
        <v>98</v>
      </c>
      <c r="F106" s="364">
        <f t="shared" si="24"/>
        <v>97</v>
      </c>
      <c r="G106" s="364">
        <f t="shared" si="24"/>
        <v>96</v>
      </c>
      <c r="H106" s="364">
        <f t="shared" si="24"/>
        <v>95</v>
      </c>
      <c r="I106" s="364">
        <f t="shared" si="24"/>
        <v>94</v>
      </c>
      <c r="J106" s="364">
        <f t="shared" si="24"/>
        <v>93</v>
      </c>
      <c r="K106" s="364">
        <f t="shared" si="24"/>
        <v>92</v>
      </c>
      <c r="L106" s="364">
        <f t="shared" si="24"/>
        <v>91</v>
      </c>
      <c r="M106" s="364">
        <f t="shared" si="24"/>
        <v>90</v>
      </c>
      <c r="N106" s="432"/>
      <c r="O106" s="432"/>
      <c r="P106" s="430"/>
      <c r="Q106" s="419"/>
      <c r="R106" s="334"/>
      <c r="S106" s="334"/>
      <c r="T106" s="334"/>
      <c r="U106" s="334"/>
      <c r="V106" s="334"/>
      <c r="W106" s="334"/>
      <c r="X106" s="334"/>
      <c r="Y106" s="334"/>
      <c r="Z106" s="334"/>
      <c r="AA106" s="334"/>
      <c r="AB106" s="334"/>
      <c r="AC106" s="334"/>
    </row>
    <row r="107" spans="1:29">
      <c r="A107" s="481"/>
      <c r="B107" s="361" t="s">
        <v>1056</v>
      </c>
      <c r="C107" s="477"/>
      <c r="D107" s="477"/>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2"/>
      <c r="O108" s="432"/>
      <c r="P108" s="430"/>
      <c r="Q108" s="419"/>
      <c r="R108" s="334"/>
      <c r="S108" s="334"/>
      <c r="T108" s="334"/>
      <c r="U108" s="334"/>
      <c r="V108" s="334"/>
      <c r="W108" s="334"/>
      <c r="X108" s="334"/>
      <c r="Y108" s="334"/>
      <c r="Z108" s="334"/>
      <c r="AA108" s="334"/>
      <c r="AB108" s="334"/>
      <c r="AC108" s="334"/>
    </row>
    <row r="109" spans="1:29">
      <c r="A109" s="481"/>
      <c r="B109" s="361" t="s">
        <v>1057</v>
      </c>
      <c r="C109" s="3383" t="s">
        <v>2722</v>
      </c>
      <c r="D109" s="3383" t="s">
        <v>2723</v>
      </c>
      <c r="E109" s="3383" t="s">
        <v>2724</v>
      </c>
      <c r="F109" s="3385" t="s">
        <v>2726</v>
      </c>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99</v>
      </c>
      <c r="E110" s="364">
        <f t="shared" si="26"/>
        <v>98</v>
      </c>
      <c r="F110" s="364">
        <f t="shared" si="26"/>
        <v>97</v>
      </c>
      <c r="G110" s="364">
        <f t="shared" si="26"/>
        <v>96</v>
      </c>
      <c r="H110" s="364">
        <f t="shared" si="26"/>
        <v>95</v>
      </c>
      <c r="I110" s="364">
        <f t="shared" si="26"/>
        <v>94</v>
      </c>
      <c r="J110" s="364">
        <f t="shared" si="26"/>
        <v>93</v>
      </c>
      <c r="K110" s="364">
        <f t="shared" si="26"/>
        <v>92</v>
      </c>
      <c r="L110" s="364">
        <f t="shared" si="26"/>
        <v>91</v>
      </c>
      <c r="M110" s="364">
        <f t="shared" si="26"/>
        <v>90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1058</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1754"/>
      <c r="K111" s="1754"/>
      <c r="L111" s="1767"/>
      <c r="M111" s="1768"/>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1977"/>
      <c r="K112" s="1977"/>
      <c r="L112" s="1978"/>
      <c r="M112" s="197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101</v>
      </c>
      <c r="E113" s="364">
        <f>D113+$K37</f>
        <v>102</v>
      </c>
      <c r="F113" s="364">
        <f>E113+$K37</f>
        <v>103</v>
      </c>
      <c r="G113" s="364">
        <f>F113+$K37</f>
        <v>104</v>
      </c>
      <c r="H113" s="364">
        <f>G113+$K37</f>
        <v>105</v>
      </c>
      <c r="I113" s="480"/>
      <c r="J113" s="1755"/>
      <c r="K113" s="1755"/>
      <c r="L113" s="1755"/>
      <c r="M113" s="1769"/>
      <c r="N113" s="442"/>
      <c r="O113" s="442"/>
      <c r="P113" s="443"/>
      <c r="Q113" s="464"/>
      <c r="R113" s="465"/>
      <c r="S113" s="465"/>
      <c r="T113" s="465"/>
      <c r="U113" s="465"/>
      <c r="V113" s="465"/>
      <c r="W113" s="465"/>
      <c r="X113" s="465"/>
      <c r="Y113" s="465"/>
      <c r="Z113" s="465"/>
      <c r="AA113" s="465"/>
      <c r="AB113" s="465"/>
      <c r="AC113" s="465"/>
    </row>
    <row r="114" spans="1:29">
      <c r="A114" s="481"/>
      <c r="B114" s="361" t="s">
        <v>1059</v>
      </c>
      <c r="C114" s="3383" t="s">
        <v>2728</v>
      </c>
      <c r="D114" s="3383" t="s">
        <v>2729</v>
      </c>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99</v>
      </c>
      <c r="E115" s="364">
        <f t="shared" si="27"/>
        <v>98</v>
      </c>
      <c r="F115" s="364">
        <f t="shared" si="27"/>
        <v>97</v>
      </c>
      <c r="G115" s="364">
        <f t="shared" si="27"/>
        <v>96</v>
      </c>
      <c r="H115" s="364">
        <f t="shared" si="27"/>
        <v>95</v>
      </c>
      <c r="I115" s="364">
        <f t="shared" si="27"/>
        <v>94</v>
      </c>
      <c r="J115" s="364">
        <f t="shared" si="27"/>
        <v>93</v>
      </c>
      <c r="K115" s="364">
        <f t="shared" si="27"/>
        <v>92</v>
      </c>
      <c r="L115" s="364">
        <f t="shared" si="27"/>
        <v>91</v>
      </c>
      <c r="M115" s="364">
        <f t="shared" si="27"/>
        <v>90</v>
      </c>
      <c r="N115" s="432"/>
      <c r="O115" s="432"/>
      <c r="P115" s="430"/>
      <c r="Q115" s="419"/>
      <c r="R115" s="334"/>
      <c r="S115" s="334"/>
      <c r="T115" s="334"/>
      <c r="U115" s="334"/>
      <c r="V115" s="334"/>
      <c r="W115" s="334"/>
      <c r="X115" s="334"/>
      <c r="Y115" s="334"/>
      <c r="Z115" s="334"/>
      <c r="AA115" s="334"/>
      <c r="AB115" s="334"/>
      <c r="AC115" s="334"/>
    </row>
    <row r="116" spans="1:29">
      <c r="A116" s="481"/>
      <c r="B116" s="373" t="s">
        <v>1060</v>
      </c>
      <c r="C116" s="369" t="s">
        <v>247</v>
      </c>
      <c r="D116" s="369" t="s">
        <v>259</v>
      </c>
      <c r="E116" s="369" t="s">
        <v>270</v>
      </c>
      <c r="F116" s="369" t="s">
        <v>280</v>
      </c>
      <c r="G116" s="369" t="s">
        <v>288</v>
      </c>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99</v>
      </c>
      <c r="E117" s="364">
        <f>D117-$K39</f>
        <v>98</v>
      </c>
      <c r="F117" s="364">
        <f>E117-$K39</f>
        <v>97</v>
      </c>
      <c r="G117" s="364">
        <f>F117-$K39</f>
        <v>96</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1061</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1062</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1063</v>
      </c>
      <c r="C122" s="3383" t="s">
        <v>2722</v>
      </c>
      <c r="D122" s="3383" t="s">
        <v>2723</v>
      </c>
      <c r="E122" s="3383" t="s">
        <v>2724</v>
      </c>
      <c r="F122" s="3385" t="s">
        <v>2726</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95</v>
      </c>
      <c r="E123" s="364">
        <f t="shared" si="29"/>
        <v>90</v>
      </c>
      <c r="F123" s="364">
        <f t="shared" si="29"/>
        <v>85</v>
      </c>
      <c r="G123" s="364">
        <f t="shared" si="29"/>
        <v>80</v>
      </c>
      <c r="H123" s="364">
        <f t="shared" si="29"/>
        <v>75</v>
      </c>
      <c r="I123" s="364">
        <f t="shared" si="29"/>
        <v>70</v>
      </c>
      <c r="J123" s="364">
        <f t="shared" si="29"/>
        <v>65</v>
      </c>
      <c r="K123" s="364">
        <f t="shared" si="29"/>
        <v>60</v>
      </c>
      <c r="L123" s="364">
        <f t="shared" si="29"/>
        <v>55</v>
      </c>
      <c r="M123" s="364">
        <f t="shared" si="29"/>
        <v>50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1980" t="s">
        <v>1073</v>
      </c>
      <c r="C136" s="1981"/>
      <c r="D136" s="1981"/>
      <c r="E136" s="1981"/>
      <c r="F136" s="1981"/>
      <c r="G136" s="1981"/>
      <c r="H136" s="1981"/>
      <c r="I136" s="1981"/>
      <c r="J136" s="1981"/>
      <c r="K136" s="2012"/>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1982" t="s">
        <v>1074</v>
      </c>
      <c r="C137" s="1983"/>
      <c r="D137" s="1983"/>
      <c r="E137" s="1983"/>
      <c r="F137" s="1983"/>
      <c r="G137" s="1984"/>
      <c r="H137" s="1985"/>
      <c r="I137" s="2013" t="s">
        <v>1075</v>
      </c>
      <c r="J137" s="1983"/>
      <c r="K137" s="2014"/>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1986"/>
      <c r="C138" s="1987" t="s">
        <v>1076</v>
      </c>
      <c r="D138" s="1987" t="s">
        <v>1077</v>
      </c>
      <c r="E138" s="1988" t="s">
        <v>1078</v>
      </c>
      <c r="F138" s="1989" t="s">
        <v>1079</v>
      </c>
      <c r="G138" s="1987" t="s">
        <v>1077</v>
      </c>
      <c r="H138" s="1990" t="s">
        <v>1078</v>
      </c>
      <c r="I138" s="2015"/>
      <c r="J138" s="1987" t="s">
        <v>1080</v>
      </c>
      <c r="K138" s="1990" t="s">
        <v>1081</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1991">
        <v>6</v>
      </c>
      <c r="C139" s="1992">
        <v>96</v>
      </c>
      <c r="D139" s="1993" t="s">
        <v>1082</v>
      </c>
      <c r="E139" s="1994">
        <v>100</v>
      </c>
      <c r="F139" s="1995">
        <v>102.5</v>
      </c>
      <c r="G139" s="1993" t="s">
        <v>1082</v>
      </c>
      <c r="H139" s="1996">
        <v>105</v>
      </c>
      <c r="I139" s="2016" t="s">
        <v>1083</v>
      </c>
      <c r="J139" s="1992">
        <v>20</v>
      </c>
      <c r="K139" s="2017">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1997">
        <v>5</v>
      </c>
      <c r="C140" s="1998">
        <v>100</v>
      </c>
      <c r="D140" s="1999"/>
      <c r="E140" s="2000"/>
      <c r="F140" s="2001">
        <v>102</v>
      </c>
      <c r="G140" s="1999"/>
      <c r="H140" s="2002"/>
      <c r="I140" s="2018" t="s">
        <v>1084</v>
      </c>
      <c r="J140" s="913">
        <f>ROUNDUP((J139-1)/2,0)</f>
        <v>10</v>
      </c>
      <c r="K140" s="934">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1997">
        <v>4</v>
      </c>
      <c r="C141" s="1998">
        <v>102</v>
      </c>
      <c r="D141" s="1999"/>
      <c r="E141" s="2000"/>
      <c r="F141" s="2001">
        <v>101.5</v>
      </c>
      <c r="G141" s="1999"/>
      <c r="H141" s="2002"/>
      <c r="I141" s="2018" t="s">
        <v>1085</v>
      </c>
      <c r="J141" s="913">
        <v>1</v>
      </c>
      <c r="K141" s="2019">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1997">
        <v>3</v>
      </c>
      <c r="C142" s="1998">
        <v>103</v>
      </c>
      <c r="D142" s="1999"/>
      <c r="E142" s="2000"/>
      <c r="F142" s="2001">
        <v>101</v>
      </c>
      <c r="G142" s="1999"/>
      <c r="H142" s="2002"/>
      <c r="I142" s="2018" t="s">
        <v>1086</v>
      </c>
      <c r="J142" s="913">
        <f>J139</f>
        <v>20</v>
      </c>
      <c r="K142" s="2020">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1997">
        <v>2</v>
      </c>
      <c r="C143" s="1998">
        <v>100</v>
      </c>
      <c r="D143" s="1999"/>
      <c r="E143" s="2000"/>
      <c r="F143" s="2001">
        <v>100.5</v>
      </c>
      <c r="G143" s="1999"/>
      <c r="H143" s="2002"/>
      <c r="I143" s="2018" t="s">
        <v>1087</v>
      </c>
      <c r="J143" s="1998">
        <v>15</v>
      </c>
      <c r="K143" s="2019">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1997">
        <v>1</v>
      </c>
      <c r="C144" s="1998">
        <v>98</v>
      </c>
      <c r="D144" s="2003" t="s">
        <v>1088</v>
      </c>
      <c r="E144" s="2000">
        <v>102</v>
      </c>
      <c r="F144" s="2004">
        <v>100</v>
      </c>
      <c r="G144" s="2003" t="s">
        <v>1088</v>
      </c>
      <c r="H144" s="2002">
        <v>105</v>
      </c>
      <c r="I144" s="2018" t="s">
        <v>1087</v>
      </c>
      <c r="J144" s="1998">
        <v>18</v>
      </c>
      <c r="K144" s="2019">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2005" t="s">
        <v>1089</v>
      </c>
      <c r="C145" s="2006">
        <f>ROUND(MAX(C139:C144)/MIN(C139:C144)-1,3)</f>
        <v>7.2999999999999995E-2</v>
      </c>
      <c r="D145" s="2007"/>
      <c r="E145" s="2007"/>
      <c r="F145" s="2008" t="s">
        <v>1090</v>
      </c>
      <c r="G145" s="2009"/>
      <c r="H145" s="2010"/>
      <c r="I145" s="2021" t="s">
        <v>1087</v>
      </c>
      <c r="J145" s="2022">
        <v>8</v>
      </c>
      <c r="K145" s="2023">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2011" t="s">
        <v>1091</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2011" t="s">
        <v>1092</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2">
    <dataValidation type="list" allowBlank="1" showInputMessage="1" showErrorMessage="1" sqref="C10 E10 G10 I10" xr:uid="{00000000-0002-0000-1300-000000000000}">
      <formula1>土地年限区间</formula1>
    </dataValidation>
    <dataValidation type="list" allowBlank="1" showInputMessage="1" showErrorMessage="1" sqref="D1" xr:uid="{00000000-0002-0000-1300-000001000000}">
      <formula1>项目类型</formula1>
    </dataValidation>
    <dataValidation type="list" allowBlank="1" showInputMessage="1" showErrorMessage="1" sqref="F1" xr:uid="{00000000-0002-0000-1300-000002000000}">
      <formula1>"售价,租金"</formula1>
    </dataValidation>
    <dataValidation type="list" allowBlank="1" showInputMessage="1" showErrorMessage="1" sqref="C8 E8 G8 I8" xr:uid="{00000000-0002-0000-1300-000003000000}">
      <formula1>住宅交易情况</formula1>
    </dataValidation>
    <dataValidation type="list" allowBlank="1" showInputMessage="1" showErrorMessage="1" sqref="C39 E39 G39 I39" xr:uid="{00000000-0002-0000-1300-000004000000}">
      <formula1>住宅基础设施水平</formula1>
    </dataValidation>
    <dataValidation type="list" allowBlank="1" showInputMessage="1" showErrorMessage="1" sqref="C20 E20 G20 I20" xr:uid="{00000000-0002-0000-1300-000005000000}">
      <formula1>公共配套设施</formula1>
    </dataValidation>
    <dataValidation type="list" allowBlank="1" showInputMessage="1" showErrorMessage="1" sqref="C16 E16 G16 I16" xr:uid="{00000000-0002-0000-1300-000006000000}">
      <formula1>居住社区成熟度</formula1>
    </dataValidation>
    <dataValidation type="list" allowBlank="1" showInputMessage="1" showErrorMessage="1" sqref="E9 G9 I9" xr:uid="{00000000-0002-0000-1300-000007000000}">
      <formula1>住宅用途</formula1>
    </dataValidation>
    <dataValidation type="list" allowBlank="1" showInputMessage="1" showErrorMessage="1" sqref="C18 E18 G18 I18" xr:uid="{00000000-0002-0000-1300-000008000000}">
      <formula1>交通便捷度</formula1>
    </dataValidation>
    <dataValidation type="list" allowBlank="1" showInputMessage="1" showErrorMessage="1" sqref="C36 E36 G36 I36" xr:uid="{00000000-0002-0000-1300-000009000000}">
      <formula1>住宅公共部分装修</formula1>
    </dataValidation>
    <dataValidation type="list" allowBlank="1" showInputMessage="1" showErrorMessage="1" sqref="C22 E22 G22 I22" xr:uid="{00000000-0002-0000-1300-00000A000000}">
      <formula1>基础设施水平</formula1>
    </dataValidation>
    <dataValidation type="list" allowBlank="1" showInputMessage="1" showErrorMessage="1" sqref="C24 E24 G24 I24" xr:uid="{00000000-0002-0000-1300-00000B000000}">
      <formula1>环境</formula1>
    </dataValidation>
    <dataValidation type="list" allowBlank="1" showInputMessage="1" showErrorMessage="1" sqref="C25 E25 G25 I25" xr:uid="{00000000-0002-0000-1300-00000C000000}">
      <formula1>住宅楼层</formula1>
    </dataValidation>
    <dataValidation type="list" allowBlank="1" showInputMessage="1" showErrorMessage="1" sqref="C26 E26 G26 I26" xr:uid="{00000000-0002-0000-1300-00000D000000}">
      <formula1>住宅朝向</formula1>
    </dataValidation>
    <dataValidation type="list" allowBlank="1" showInputMessage="1" showErrorMessage="1" sqref="C32 E32 G32 I32" xr:uid="{00000000-0002-0000-1300-00000E000000}">
      <formula1>住宅建筑类型</formula1>
    </dataValidation>
    <dataValidation type="list" allowBlank="1" showInputMessage="1" showErrorMessage="1" sqref="C34 E34 G34 I34" xr:uid="{00000000-0002-0000-1300-00000F000000}">
      <formula1>住宅建筑结构</formula1>
    </dataValidation>
    <dataValidation type="list" allowBlank="1" showInputMessage="1" showErrorMessage="1" sqref="C35 E35 G35 I35" xr:uid="{00000000-0002-0000-1300-000010000000}">
      <formula1>住宅建筑品质</formula1>
    </dataValidation>
    <dataValidation type="list" allowBlank="1" showInputMessage="1" showErrorMessage="1" sqref="C38 E38 G38 I38" xr:uid="{00000000-0002-0000-1300-000011000000}">
      <formula1>住宅物业管理</formula1>
    </dataValidation>
    <dataValidation type="list" allowBlank="1" showInputMessage="1" showErrorMessage="1" sqref="C40 E40 G40 I40" xr:uid="{00000000-0002-0000-1300-000012000000}">
      <formula1>住宅房型</formula1>
    </dataValidation>
    <dataValidation type="list" allowBlank="1" showInputMessage="1" showErrorMessage="1" sqref="C42 E42 G42 I42" xr:uid="{00000000-0002-0000-1300-000013000000}">
      <formula1>住宅内部装修</formula1>
    </dataValidation>
    <dataValidation type="list" allowBlank="1" showInputMessage="1" showErrorMessage="1" sqref="C43 E43 G43 I43" xr:uid="{00000000-0002-0000-1300-000014000000}">
      <formula1>内部装修维护情况</formula1>
    </dataValidation>
    <dataValidation type="list" allowBlank="1" showInputMessage="1" showErrorMessage="1" sqref="D48" xr:uid="{00000000-0002-0000-1300-000015000000}">
      <formula1>"简单平均,加权平均"</formula1>
    </dataValidation>
  </dataValidations>
  <pageMargins left="0.70866141732283505" right="0.70866141732283505" top="1.0629921259842501" bottom="0.94488188976377996" header="0.31496062992126" footer="0.31496062992126"/>
  <pageSetup paperSize="9" scale="47"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228"/>
  <sheetViews>
    <sheetView view="pageBreakPreview" topLeftCell="A13" zoomScale="90" zoomScaleNormal="80" workbookViewId="0">
      <selection activeCell="F35" sqref="F35"/>
    </sheetView>
  </sheetViews>
  <sheetFormatPr defaultColWidth="6.625" defaultRowHeight="12.75"/>
  <cols>
    <col min="1" max="1" width="10.125" style="1784" customWidth="1"/>
    <col min="2" max="2" width="25.75" style="1785" customWidth="1"/>
    <col min="3" max="3" width="10.375" style="1786" customWidth="1"/>
    <col min="4" max="4" width="12" style="1785" customWidth="1"/>
    <col min="5" max="5" width="9.5" style="1784" customWidth="1"/>
    <col min="6" max="6" width="10.125" style="1785" customWidth="1"/>
    <col min="7" max="7" width="9.5" style="1785" customWidth="1"/>
    <col min="8" max="8" width="10" style="1785" customWidth="1"/>
    <col min="9" max="11" width="9.5" style="1785" customWidth="1"/>
    <col min="12" max="12" width="9" style="1777" customWidth="1"/>
    <col min="13" max="13" width="10.5" style="1777" customWidth="1"/>
    <col min="14" max="26" width="9" style="1777" customWidth="1"/>
    <col min="27" max="254" width="9" style="1785" customWidth="1"/>
    <col min="255" max="16384" width="6.625" style="1785"/>
  </cols>
  <sheetData>
    <row r="1" spans="1:41" s="155" customFormat="1" ht="20.25">
      <c r="A1" s="623" t="s">
        <v>977</v>
      </c>
      <c r="B1" s="1787"/>
      <c r="C1" s="1788"/>
      <c r="D1" s="1788"/>
      <c r="E1" s="1788"/>
      <c r="F1" s="1788"/>
      <c r="G1" s="1788"/>
      <c r="H1" s="1788"/>
      <c r="I1" s="1788"/>
      <c r="J1" s="1788"/>
      <c r="K1" s="1918">
        <f>MATCH(B1,'数据-取费表'!A6:A16,0)+5</f>
        <v>7</v>
      </c>
      <c r="L1" s="1919"/>
      <c r="M1" s="1919"/>
      <c r="N1" s="1919"/>
      <c r="O1" s="1919"/>
      <c r="P1" s="1919"/>
      <c r="Q1" s="1919"/>
      <c r="R1" s="1919"/>
      <c r="S1" s="1919"/>
      <c r="T1" s="1919"/>
      <c r="U1" s="1919"/>
      <c r="V1" s="1919"/>
      <c r="W1" s="1919"/>
      <c r="X1" s="1919"/>
      <c r="Y1" s="1919"/>
      <c r="Z1" s="1919"/>
    </row>
    <row r="2" spans="1:41" s="155" customFormat="1" ht="18" customHeight="1">
      <c r="A2" s="208" t="s">
        <v>893</v>
      </c>
      <c r="B2" s="1789">
        <f ca="1">C43</f>
        <v>0</v>
      </c>
      <c r="C2" s="1788"/>
      <c r="D2" s="1788"/>
      <c r="E2" s="1788"/>
      <c r="F2" s="1788"/>
      <c r="G2" s="1788"/>
      <c r="H2" s="1788"/>
      <c r="I2" s="1788"/>
      <c r="J2" s="1788"/>
      <c r="K2" s="1788"/>
      <c r="L2" s="1919"/>
      <c r="M2" s="1919"/>
      <c r="N2" s="1919"/>
      <c r="O2" s="1919"/>
      <c r="P2" s="1919"/>
      <c r="Q2" s="1919"/>
      <c r="R2" s="1919"/>
      <c r="S2" s="1919"/>
      <c r="T2" s="1919"/>
      <c r="U2" s="1919"/>
      <c r="V2" s="1919"/>
      <c r="W2" s="1919"/>
      <c r="X2" s="1919"/>
      <c r="Y2" s="1919"/>
      <c r="Z2" s="1919"/>
    </row>
    <row r="3" spans="1:41" s="155" customFormat="1" ht="18" customHeight="1">
      <c r="A3" s="629" t="s">
        <v>894</v>
      </c>
      <c r="B3" s="627">
        <f ca="1">ROUND(B2*10000/IF(B1="",'数据-汇总表'!E3,INDIRECT("'数据-取费表'!K"&amp;$K$1)),0)</f>
        <v>0</v>
      </c>
      <c r="C3" s="1788"/>
      <c r="D3" s="1788"/>
      <c r="E3" s="1788"/>
      <c r="F3" s="1788"/>
      <c r="G3" s="1788"/>
      <c r="H3" s="1788"/>
      <c r="I3" s="1788"/>
      <c r="J3" s="1788"/>
      <c r="K3" s="1788"/>
      <c r="L3" s="1919"/>
      <c r="M3" s="1919"/>
      <c r="N3" s="1919"/>
      <c r="O3" s="1919"/>
      <c r="P3" s="1919"/>
      <c r="Q3" s="1919"/>
      <c r="R3" s="1919"/>
      <c r="S3" s="1919"/>
      <c r="T3" s="1919"/>
      <c r="U3" s="1919"/>
      <c r="V3" s="1919"/>
      <c r="W3" s="1919"/>
      <c r="X3" s="1919"/>
      <c r="Y3" s="1919"/>
      <c r="Z3" s="1919"/>
    </row>
    <row r="4" spans="1:41" s="155" customFormat="1" ht="18" customHeight="1">
      <c r="A4" s="630" t="s">
        <v>978</v>
      </c>
      <c r="B4" s="631">
        <f ca="1">ROUND(B2*10000/IF(B1="",'数据-汇总表'!D3,INDIRECT("'数据-取费表'!R"&amp;$K$1)),0)</f>
        <v>0</v>
      </c>
      <c r="C4" s="469"/>
      <c r="D4" s="1788"/>
      <c r="E4" s="1788"/>
      <c r="F4" s="1788"/>
      <c r="G4" s="1788"/>
      <c r="H4" s="1788"/>
      <c r="I4" s="1788"/>
      <c r="J4" s="1788"/>
      <c r="K4" s="1788"/>
      <c r="L4" s="1919"/>
      <c r="M4" s="1919"/>
      <c r="N4" s="1919"/>
      <c r="O4" s="1919"/>
      <c r="P4" s="1919"/>
      <c r="Q4" s="1919"/>
      <c r="R4" s="1919"/>
      <c r="S4" s="1919"/>
      <c r="T4" s="1919"/>
      <c r="U4" s="1919"/>
      <c r="V4" s="1919"/>
      <c r="W4" s="1919"/>
      <c r="X4" s="1919"/>
      <c r="Y4" s="1919"/>
      <c r="Z4" s="1919"/>
    </row>
    <row r="5" spans="1:41" s="155" customFormat="1" ht="18" customHeight="1">
      <c r="A5" s="633"/>
      <c r="B5" s="634">
        <f ca="1">ROUND(B2/(IF(B1="",'数据-汇总表'!D3,INDIRECT("'数据-取费表'!R"&amp;$K$1))/666.67),0)</f>
        <v>0</v>
      </c>
      <c r="C5" s="635" t="s">
        <v>896</v>
      </c>
      <c r="D5" s="1788"/>
      <c r="E5" s="1788"/>
      <c r="F5" s="1788"/>
      <c r="G5" s="1788"/>
      <c r="H5" s="1788"/>
      <c r="I5" s="1788"/>
      <c r="J5" s="1788"/>
      <c r="K5" s="1788"/>
      <c r="L5" s="1919"/>
      <c r="M5" s="1919"/>
      <c r="N5" s="1919"/>
      <c r="O5" s="1919"/>
      <c r="P5" s="1919"/>
      <c r="Q5" s="1919"/>
      <c r="R5" s="1919"/>
      <c r="S5" s="1919"/>
      <c r="T5" s="1919"/>
      <c r="U5" s="1919"/>
      <c r="V5" s="1919"/>
      <c r="W5" s="1919"/>
      <c r="X5" s="1919"/>
      <c r="Y5" s="1919"/>
      <c r="Z5" s="1919"/>
    </row>
    <row r="6" spans="1:41" s="1775" customFormat="1" ht="16.5" customHeight="1">
      <c r="A6" s="1790" t="s">
        <v>1093</v>
      </c>
      <c r="B6" s="1791"/>
      <c r="C6" s="1792">
        <f>SUM(C10:K10)</f>
        <v>0</v>
      </c>
      <c r="D6" s="1793"/>
      <c r="E6" s="1793"/>
      <c r="F6" s="1793"/>
      <c r="G6" s="1793"/>
      <c r="H6" s="1793"/>
      <c r="I6" s="1793"/>
      <c r="J6" s="1793"/>
      <c r="K6" s="1920"/>
      <c r="L6" s="1921"/>
      <c r="M6" s="1921"/>
      <c r="N6" s="1921"/>
      <c r="O6" s="1921"/>
      <c r="P6" s="1921"/>
      <c r="Q6" s="1921"/>
      <c r="R6" s="1921"/>
      <c r="S6" s="1921"/>
      <c r="T6" s="1921"/>
      <c r="U6" s="1921"/>
      <c r="V6" s="1921"/>
      <c r="W6" s="1921"/>
      <c r="X6" s="1921"/>
      <c r="Y6" s="1921"/>
      <c r="Z6" s="1921"/>
    </row>
    <row r="7" spans="1:41" s="1776" customFormat="1" ht="15">
      <c r="A7" s="1794" t="s">
        <v>980</v>
      </c>
      <c r="B7" s="1795" t="s">
        <v>981</v>
      </c>
      <c r="C7" s="1796"/>
      <c r="D7" s="1796"/>
      <c r="E7" s="1796"/>
      <c r="F7" s="1796"/>
      <c r="G7" s="1796"/>
      <c r="H7" s="1796"/>
      <c r="I7" s="1796"/>
      <c r="J7" s="1796"/>
      <c r="K7" s="1922"/>
      <c r="AA7" s="1944"/>
      <c r="AB7" s="1944"/>
      <c r="AC7" s="1944"/>
      <c r="AD7" s="1944"/>
      <c r="AE7" s="1944"/>
      <c r="AF7" s="1944"/>
      <c r="AG7" s="1944"/>
      <c r="AH7" s="1944"/>
      <c r="AI7" s="1944"/>
      <c r="AJ7" s="1944"/>
      <c r="AK7" s="1944"/>
      <c r="AL7" s="1944"/>
      <c r="AM7" s="1944"/>
      <c r="AN7" s="1944"/>
      <c r="AO7" s="1944"/>
    </row>
    <row r="8" spans="1:41" s="1777" customFormat="1" ht="13.5" customHeight="1">
      <c r="A8" s="1797" t="s">
        <v>829</v>
      </c>
      <c r="B8" s="1798" t="s">
        <v>982</v>
      </c>
      <c r="C8" s="1799"/>
      <c r="D8" s="1799"/>
      <c r="E8" s="1799"/>
      <c r="F8" s="1799"/>
      <c r="G8" s="1799"/>
      <c r="H8" s="1799"/>
      <c r="I8" s="1799"/>
      <c r="J8" s="1799"/>
      <c r="K8" s="1923"/>
      <c r="AA8" s="1785"/>
      <c r="AB8" s="1785"/>
      <c r="AC8" s="1785"/>
      <c r="AD8" s="1785"/>
      <c r="AE8" s="1785"/>
      <c r="AF8" s="1785"/>
      <c r="AG8" s="1785"/>
      <c r="AH8" s="1785"/>
      <c r="AI8" s="1785"/>
      <c r="AJ8" s="1785"/>
      <c r="AK8" s="1785"/>
      <c r="AL8" s="1785"/>
      <c r="AM8" s="1785"/>
      <c r="AN8" s="1785"/>
      <c r="AO8" s="1785"/>
    </row>
    <row r="9" spans="1:41" s="1777" customFormat="1" ht="13.5" customHeight="1">
      <c r="A9" s="1797" t="s">
        <v>831</v>
      </c>
      <c r="B9" s="1798" t="s">
        <v>440</v>
      </c>
      <c r="C9" s="1800">
        <f>SUMIF('数据-汇总表'!$C19:$C33,'剩余法-现房'!C7,'数据-汇总表'!$E19:$E33)</f>
        <v>0</v>
      </c>
      <c r="D9" s="1800">
        <f>SUMIF('数据-汇总表'!$C19:$C33,'剩余法-现房'!D7,'数据-汇总表'!$E19:$E33)</f>
        <v>0</v>
      </c>
      <c r="E9" s="1800">
        <f>SUMIF('数据-汇总表'!$C19:$C33,'剩余法-现房'!E7,'数据-汇总表'!$E19:$E33)</f>
        <v>0</v>
      </c>
      <c r="F9" s="1800">
        <f>SUMIF('数据-汇总表'!$C19:$C33,'剩余法-现房'!F7,'数据-汇总表'!$E19:$E33)</f>
        <v>0</v>
      </c>
      <c r="G9" s="1800">
        <f>SUMIF('数据-汇总表'!$C19:$C33,'剩余法-现房'!G7,'数据-汇总表'!$E19:$E33)</f>
        <v>0</v>
      </c>
      <c r="H9" s="1800">
        <f>SUMIF('数据-汇总表'!$C19:$C33,'剩余法-现房'!H7,'数据-汇总表'!$E19:$E33)</f>
        <v>0</v>
      </c>
      <c r="I9" s="1800">
        <f>SUMIF('数据-汇总表'!$C19:$C33,'剩余法-现房'!I7,'数据-汇总表'!$E19:$E33)</f>
        <v>0</v>
      </c>
      <c r="J9" s="1800">
        <f>SUMIF('数据-汇总表'!$C19:$C33,'剩余法-现房'!J7,'数据-汇总表'!$E19:$E33)</f>
        <v>0</v>
      </c>
      <c r="K9" s="1924">
        <f>SUMIF('数据-汇总表'!$C19:$C33,'剩余法-现房'!K7,'数据-汇总表'!$E19:$E33)</f>
        <v>0</v>
      </c>
      <c r="AA9" s="1785"/>
      <c r="AB9" s="1785"/>
      <c r="AC9" s="1785"/>
      <c r="AD9" s="1785"/>
      <c r="AE9" s="1785"/>
      <c r="AF9" s="1785"/>
      <c r="AG9" s="1785"/>
      <c r="AH9" s="1785"/>
      <c r="AI9" s="1785"/>
      <c r="AJ9" s="1785"/>
      <c r="AK9" s="1785"/>
      <c r="AL9" s="1785"/>
      <c r="AM9" s="1785"/>
      <c r="AN9" s="1785"/>
      <c r="AO9" s="1785"/>
    </row>
    <row r="10" spans="1:41" s="1777" customFormat="1" ht="13.5" customHeight="1">
      <c r="A10" s="1801" t="s">
        <v>983</v>
      </c>
      <c r="B10" s="1802" t="s">
        <v>984</v>
      </c>
      <c r="C10" s="1803">
        <f>C8*C9/10000</f>
        <v>0</v>
      </c>
      <c r="D10" s="1803"/>
      <c r="E10" s="1803"/>
      <c r="F10" s="1804"/>
      <c r="G10" s="1804"/>
      <c r="H10" s="1804"/>
      <c r="I10" s="1804"/>
      <c r="J10" s="1804"/>
      <c r="K10" s="1925"/>
      <c r="AA10" s="1785"/>
      <c r="AB10" s="1785"/>
      <c r="AC10" s="1785"/>
      <c r="AD10" s="1785"/>
      <c r="AE10" s="1785"/>
      <c r="AF10" s="1785"/>
      <c r="AG10" s="1785"/>
      <c r="AH10" s="1785"/>
      <c r="AI10" s="1785"/>
      <c r="AJ10" s="1785"/>
      <c r="AK10" s="1785"/>
      <c r="AL10" s="1785"/>
      <c r="AM10" s="1785"/>
      <c r="AN10" s="1785"/>
      <c r="AO10" s="1785"/>
    </row>
    <row r="11" spans="1:41" s="1775" customFormat="1" ht="16.5" customHeight="1">
      <c r="A11" s="1805" t="s">
        <v>1094</v>
      </c>
      <c r="B11" s="1806"/>
      <c r="C11" s="1806"/>
      <c r="D11" s="1806"/>
      <c r="E11" s="1806"/>
      <c r="F11" s="1806"/>
      <c r="G11" s="1806"/>
      <c r="H11" s="1806"/>
      <c r="I11" s="1806"/>
      <c r="J11" s="1806"/>
      <c r="K11" s="1926"/>
      <c r="L11" s="1921"/>
      <c r="M11" s="1921"/>
      <c r="N11" s="1921"/>
      <c r="O11" s="1921"/>
      <c r="P11" s="1921"/>
      <c r="Q11" s="1921"/>
      <c r="R11" s="1921"/>
      <c r="S11" s="1921"/>
      <c r="T11" s="1921"/>
      <c r="U11" s="1921"/>
      <c r="V11" s="1921"/>
      <c r="W11" s="1921"/>
      <c r="X11" s="1921"/>
      <c r="Y11" s="1921"/>
      <c r="Z11" s="1921"/>
    </row>
    <row r="12" spans="1:41" s="843" customFormat="1" ht="13.5" customHeight="1">
      <c r="A12" s="1794" t="s">
        <v>980</v>
      </c>
      <c r="B12" s="1807" t="s">
        <v>981</v>
      </c>
      <c r="C12" s="1808" t="s">
        <v>986</v>
      </c>
      <c r="D12" s="1809" t="s">
        <v>987</v>
      </c>
      <c r="E12" s="1809" t="s">
        <v>988</v>
      </c>
      <c r="F12" s="1809" t="s">
        <v>989</v>
      </c>
      <c r="G12" s="1807"/>
      <c r="H12" s="1810"/>
      <c r="I12" s="1810"/>
      <c r="J12" s="1810"/>
      <c r="K12" s="1927"/>
      <c r="L12" s="1928"/>
      <c r="M12" s="1928"/>
      <c r="N12" s="1928"/>
      <c r="O12" s="1928"/>
      <c r="P12" s="1928"/>
      <c r="Q12" s="1928"/>
      <c r="R12" s="1928"/>
      <c r="S12" s="1928"/>
      <c r="T12" s="1928"/>
      <c r="U12" s="1928"/>
      <c r="V12" s="1928"/>
      <c r="W12" s="1928"/>
      <c r="X12" s="1928"/>
      <c r="Y12" s="1928"/>
      <c r="Z12" s="1928"/>
    </row>
    <row r="13" spans="1:41" s="1778" customFormat="1" ht="13.5" customHeight="1">
      <c r="A13" s="1811" t="s">
        <v>853</v>
      </c>
      <c r="B13" s="1812" t="s">
        <v>990</v>
      </c>
      <c r="C13" s="1813">
        <f ca="1">IF(B1="",'数据-取费表'!M16,INDIRECT("'数据-取费表'!M"&amp;$K$1)+INDIRECT("'数据-取费表'!t"&amp;$K$1))</f>
        <v>25400</v>
      </c>
      <c r="D13" s="1814"/>
      <c r="E13" s="78" t="e">
        <f ca="1">C13*10000/C9</f>
        <v>#DIV/0!</v>
      </c>
      <c r="F13" s="1815"/>
      <c r="G13" s="1807"/>
      <c r="H13" s="1810"/>
      <c r="I13" s="1810"/>
      <c r="J13" s="1810"/>
      <c r="K13" s="1927"/>
      <c r="L13" s="1779"/>
      <c r="M13" s="1779"/>
      <c r="N13" s="1779"/>
      <c r="O13" s="1779"/>
      <c r="P13" s="1779"/>
      <c r="Q13" s="1779"/>
      <c r="R13" s="1779"/>
      <c r="S13" s="1779"/>
      <c r="T13" s="1779"/>
      <c r="U13" s="1779"/>
      <c r="V13" s="1779"/>
      <c r="W13" s="1779"/>
      <c r="X13" s="1779"/>
      <c r="Y13" s="1779"/>
      <c r="Z13" s="1779"/>
    </row>
    <row r="14" spans="1:41" s="1778" customFormat="1" ht="13.5" customHeight="1">
      <c r="A14" s="1811" t="s">
        <v>991</v>
      </c>
      <c r="B14" s="1812" t="s">
        <v>992</v>
      </c>
      <c r="C14" s="121">
        <f ca="1">ROUND(C13*F14,0)</f>
        <v>1016</v>
      </c>
      <c r="D14" s="1814"/>
      <c r="E14" s="78" t="e">
        <f ca="1">C14*10000/C9</f>
        <v>#DIV/0!</v>
      </c>
      <c r="F14" s="1816">
        <f>'数据-取费表'!B33</f>
        <v>0.04</v>
      </c>
      <c r="G14" s="1807" t="s">
        <v>993</v>
      </c>
      <c r="H14" s="1810"/>
      <c r="I14" s="1810"/>
      <c r="J14" s="1810"/>
      <c r="K14" s="1927"/>
      <c r="L14" s="1779"/>
      <c r="M14" s="1779"/>
      <c r="N14" s="1779"/>
      <c r="O14" s="1779"/>
      <c r="P14" s="1779"/>
      <c r="Q14" s="1779"/>
      <c r="R14" s="1779"/>
      <c r="S14" s="1779"/>
      <c r="T14" s="1779"/>
      <c r="U14" s="1779"/>
      <c r="V14" s="1779"/>
      <c r="W14" s="1779"/>
      <c r="X14" s="1779"/>
      <c r="Y14" s="1779"/>
      <c r="Z14" s="1779"/>
    </row>
    <row r="15" spans="1:41" s="1778" customFormat="1" ht="13.5" customHeight="1">
      <c r="A15" s="1811" t="s">
        <v>994</v>
      </c>
      <c r="B15" s="1812" t="s">
        <v>995</v>
      </c>
      <c r="C15" s="121">
        <f ca="1">ROUND(IF(B1="",SUMIF('数据-取费表'!C:C,"住宅",'数据-取费表'!M:M)*F15,IF(INDIRECT("'数据-取费表'!c"&amp;$K$1)="住宅",INDIRECT("'数据-取费表'!M"&amp;$K$1)*F15,0)),0)</f>
        <v>2540</v>
      </c>
      <c r="D15" s="1814"/>
      <c r="E15" s="78"/>
      <c r="F15" s="1816">
        <f>'数据-取费表'!B34</f>
        <v>0.1</v>
      </c>
      <c r="G15" s="1807" t="s">
        <v>993</v>
      </c>
      <c r="H15" s="1810"/>
      <c r="I15" s="1810"/>
      <c r="J15" s="1810"/>
      <c r="K15" s="1927"/>
      <c r="L15" s="1779"/>
      <c r="M15" s="1779"/>
      <c r="N15" s="1779"/>
      <c r="O15" s="1779"/>
      <c r="P15" s="1779"/>
      <c r="Q15" s="1779"/>
      <c r="R15" s="1779"/>
      <c r="S15" s="1779"/>
      <c r="T15" s="1779"/>
      <c r="U15" s="1779"/>
      <c r="V15" s="1779"/>
      <c r="W15" s="1779"/>
      <c r="X15" s="1779"/>
      <c r="Y15" s="1779"/>
      <c r="Z15" s="1779"/>
    </row>
    <row r="16" spans="1:41" s="1779" customFormat="1" ht="13.5" customHeight="1">
      <c r="A16" s="1811" t="s">
        <v>997</v>
      </c>
      <c r="B16" s="1812" t="s">
        <v>998</v>
      </c>
      <c r="C16" s="121">
        <f ca="1">ROUND(D16*E16/10000,0)</f>
        <v>1270</v>
      </c>
      <c r="D16" s="1814">
        <f ca="1">IF(B1="",'数据-汇总表'!E3,INDIRECT("'数据-取费表'!K"&amp;$K$1)+INDIRECT("'数据-取费表'!S"&amp;$K$1))</f>
        <v>63500</v>
      </c>
      <c r="E16" s="121">
        <f>'数据-取费表'!B35</f>
        <v>200</v>
      </c>
      <c r="F16" s="1816"/>
      <c r="G16" s="1807"/>
      <c r="H16" s="1810"/>
      <c r="I16" s="1810"/>
      <c r="J16" s="1810"/>
      <c r="K16" s="1927"/>
      <c r="AA16" s="1778"/>
      <c r="AB16" s="1778"/>
      <c r="AC16" s="1778"/>
      <c r="AD16" s="1778"/>
      <c r="AE16" s="1778"/>
      <c r="AF16" s="1778"/>
      <c r="AG16" s="1778"/>
      <c r="AH16" s="1778"/>
      <c r="AI16" s="1778"/>
      <c r="AJ16" s="1778"/>
      <c r="AK16" s="1778"/>
      <c r="AL16" s="1778"/>
      <c r="AM16" s="1778"/>
      <c r="AN16" s="1778"/>
      <c r="AO16" s="1778"/>
    </row>
    <row r="17" spans="1:26" s="1778" customFormat="1" ht="13.5" customHeight="1">
      <c r="A17" s="1811" t="s">
        <v>999</v>
      </c>
      <c r="B17" s="1812" t="s">
        <v>1000</v>
      </c>
      <c r="C17" s="1817">
        <f ca="1">ROUND(C13*F17,0)</f>
        <v>381</v>
      </c>
      <c r="D17" s="1818"/>
      <c r="E17" s="1817"/>
      <c r="F17" s="1819">
        <f>'数据-取费表'!B36</f>
        <v>1.4999999999999999E-2</v>
      </c>
      <c r="G17" s="1807" t="s">
        <v>993</v>
      </c>
      <c r="H17" s="1820"/>
      <c r="I17" s="1820"/>
      <c r="J17" s="1820"/>
      <c r="K17" s="1929"/>
      <c r="L17" s="1779"/>
      <c r="M17" s="1779"/>
      <c r="N17" s="1779"/>
      <c r="O17" s="1779"/>
      <c r="P17" s="1779"/>
      <c r="Q17" s="1779"/>
      <c r="R17" s="1779"/>
      <c r="S17" s="1779"/>
      <c r="T17" s="1779"/>
      <c r="U17" s="1779"/>
      <c r="V17" s="1779"/>
      <c r="W17" s="1779"/>
      <c r="X17" s="1779"/>
      <c r="Y17" s="1779"/>
      <c r="Z17" s="1779"/>
    </row>
    <row r="18" spans="1:26" s="1780" customFormat="1" ht="13.5" customHeight="1">
      <c r="A18" s="1821" t="s">
        <v>1002</v>
      </c>
      <c r="B18" s="1822" t="s">
        <v>1003</v>
      </c>
      <c r="C18" s="1823">
        <f ca="1">SUM(C13:C17)</f>
        <v>30607</v>
      </c>
      <c r="D18" s="1824"/>
      <c r="E18" s="1825"/>
      <c r="F18" s="1825"/>
      <c r="G18" s="1826" t="s">
        <v>1095</v>
      </c>
      <c r="H18" s="1810"/>
      <c r="I18" s="1810"/>
      <c r="J18" s="1810"/>
      <c r="K18" s="1927"/>
      <c r="L18" s="1930"/>
      <c r="M18" s="1930"/>
      <c r="N18" s="1930"/>
      <c r="O18" s="1930"/>
      <c r="P18" s="1930"/>
      <c r="Q18" s="1930"/>
      <c r="R18" s="1930"/>
      <c r="S18" s="1930"/>
      <c r="T18" s="1930"/>
      <c r="U18" s="1930"/>
      <c r="V18" s="1930"/>
      <c r="W18" s="1930"/>
      <c r="X18" s="1930"/>
      <c r="Y18" s="1930"/>
      <c r="Z18" s="1930"/>
    </row>
    <row r="19" spans="1:26" s="1780" customFormat="1" ht="13.5" customHeight="1">
      <c r="A19" s="1821" t="s">
        <v>1005</v>
      </c>
      <c r="B19" s="1822" t="s">
        <v>1096</v>
      </c>
      <c r="C19" s="1823">
        <f ca="1">ROUND(C18*F19,0)</f>
        <v>612</v>
      </c>
      <c r="D19" s="1825"/>
      <c r="E19" s="1825"/>
      <c r="F19" s="1827">
        <f>'数据-取费表'!B37</f>
        <v>0.02</v>
      </c>
      <c r="G19" s="1807" t="s">
        <v>1097</v>
      </c>
      <c r="H19" s="1810"/>
      <c r="I19" s="1810"/>
      <c r="J19" s="1810"/>
      <c r="K19" s="1927"/>
      <c r="L19" s="1931"/>
      <c r="M19" s="1931"/>
      <c r="N19" s="1931"/>
      <c r="O19" s="1930"/>
      <c r="P19" s="1930"/>
      <c r="Q19" s="1930"/>
      <c r="R19" s="1930"/>
      <c r="S19" s="1930"/>
      <c r="T19" s="1930"/>
      <c r="U19" s="1930"/>
      <c r="V19" s="1930"/>
      <c r="W19" s="1930"/>
      <c r="X19" s="1930"/>
      <c r="Y19" s="1930"/>
      <c r="Z19" s="1930"/>
    </row>
    <row r="20" spans="1:26" s="1780" customFormat="1" ht="13.5" customHeight="1">
      <c r="A20" s="1821" t="s">
        <v>1008</v>
      </c>
      <c r="B20" s="1822" t="s">
        <v>1098</v>
      </c>
      <c r="C20" s="1828">
        <f>ROUND(C10*F20,0)</f>
        <v>0</v>
      </c>
      <c r="D20" s="1829" t="s">
        <v>1099</v>
      </c>
      <c r="E20" s="1830"/>
      <c r="F20" s="1831">
        <f>'数据-取费表'!B38</f>
        <v>0.02</v>
      </c>
      <c r="G20" s="1832" t="s">
        <v>1100</v>
      </c>
      <c r="H20" s="1810"/>
      <c r="I20" s="1810"/>
      <c r="J20" s="1810"/>
      <c r="K20" s="1927"/>
      <c r="L20" s="1931"/>
      <c r="M20" s="1931"/>
      <c r="N20" s="1931"/>
      <c r="O20" s="1930"/>
      <c r="P20" s="1930"/>
      <c r="Q20" s="1930"/>
      <c r="R20" s="1930"/>
      <c r="S20" s="1930"/>
      <c r="T20" s="1930"/>
      <c r="U20" s="1930"/>
      <c r="V20" s="1930"/>
      <c r="W20" s="1930"/>
      <c r="X20" s="1930"/>
      <c r="Y20" s="1930"/>
      <c r="Z20" s="1930"/>
    </row>
    <row r="21" spans="1:26" s="1781" customFormat="1" ht="13.5" customHeight="1">
      <c r="A21" s="1821" t="s">
        <v>1013</v>
      </c>
      <c r="B21" s="1824" t="s">
        <v>1101</v>
      </c>
      <c r="C21" s="1833">
        <f ca="1">C22</f>
        <v>1106</v>
      </c>
      <c r="D21" s="1834">
        <f ca="1">C23</f>
        <v>6.9999999999999999E-4</v>
      </c>
      <c r="E21" s="1829" t="s">
        <v>1102</v>
      </c>
      <c r="F21" s="1835">
        <f ca="1">'数据-取费表'!B40</f>
        <v>4.7500000000000001E-2</v>
      </c>
      <c r="G21" s="1826" t="str">
        <f>IF('数据-取费表'!B22&lt;=1,"单利计息。","复利计息。")&amp;"建造成本、管理费用及销售费用产生的利息。"</f>
        <v>复利计息。建造成本、管理费用及销售费用产生的利息。</v>
      </c>
      <c r="H21" s="1810"/>
      <c r="I21" s="1810"/>
      <c r="J21" s="1810"/>
      <c r="K21" s="1927"/>
      <c r="L21" s="1932" t="s">
        <v>1103</v>
      </c>
      <c r="M21" s="1933"/>
      <c r="N21" s="1933"/>
      <c r="O21" s="1933"/>
      <c r="P21" s="1933"/>
      <c r="Q21" s="1931"/>
      <c r="R21" s="1931"/>
      <c r="S21" s="1931"/>
      <c r="T21" s="1931"/>
      <c r="U21" s="1931"/>
      <c r="V21" s="1931"/>
      <c r="W21" s="1931"/>
      <c r="X21" s="1931"/>
      <c r="Y21" s="1931"/>
      <c r="Z21" s="1931"/>
    </row>
    <row r="22" spans="1:26" s="1782" customFormat="1" ht="13.5" customHeight="1">
      <c r="A22" s="1811" t="s">
        <v>853</v>
      </c>
      <c r="B22" s="1836" t="s">
        <v>1104</v>
      </c>
      <c r="C22" s="1837">
        <f ca="1">ROUND(IF('数据-取费表'!B22&lt;=1,(C18+C19)*F21*'数据-取费表'!B20/2,(C18+C19)*(POWER((1+F21),'数据-取费表'!B20/2)-1)),0)</f>
        <v>1106</v>
      </c>
      <c r="D22" s="1838"/>
      <c r="E22" s="1839"/>
      <c r="F22" s="1840"/>
      <c r="G22" s="1841" t="str">
        <f>IF('数据-取费表'!B22&lt;=1,"((1)+(2))×年利率×建设期÷2","((1)+(2))×((1+年利率)^(建设期÷2)-1)")</f>
        <v>((1)+(2))×((1+年利率)^(建设期÷2)-1)</v>
      </c>
      <c r="H22" s="1820"/>
      <c r="I22" s="1820"/>
      <c r="J22" s="1820"/>
      <c r="K22" s="1929"/>
      <c r="L22" s="1934"/>
      <c r="M22" s="1934"/>
      <c r="N22" s="1934"/>
      <c r="O22" s="1934"/>
      <c r="P22" s="1934"/>
      <c r="Q22" s="1934"/>
      <c r="R22" s="1934"/>
      <c r="S22" s="1934"/>
      <c r="T22" s="1934"/>
      <c r="U22" s="1934"/>
      <c r="V22" s="1934"/>
      <c r="W22" s="1934"/>
      <c r="X22" s="1934"/>
      <c r="Y22" s="1934"/>
      <c r="Z22" s="1934"/>
    </row>
    <row r="23" spans="1:26" s="1782" customFormat="1" ht="13.5" customHeight="1">
      <c r="A23" s="1842" t="s">
        <v>991</v>
      </c>
      <c r="B23" s="1843" t="s">
        <v>1105</v>
      </c>
      <c r="C23" s="1844">
        <f ca="1">ROUND(IF('数据-取费表'!B22&lt;=1,F20*F21*'数据-取费表'!B20/2,F20*(POWER((1+F21),'数据-取费表'!B20/2)-1)),4)</f>
        <v>6.9999999999999999E-4</v>
      </c>
      <c r="D23" s="1845"/>
      <c r="E23" s="1846"/>
      <c r="F23" s="1847"/>
      <c r="G23" s="1848" t="str">
        <f>IF('数据-取费表'!B22&lt;=1,"销售费用率×年利率×建设期÷2","销售费用率×((1+年利率)^(建设期÷2)-1)")</f>
        <v>销售费用率×((1+年利率)^(建设期÷2)-1)</v>
      </c>
      <c r="H23" s="1849"/>
      <c r="I23" s="1849"/>
      <c r="J23" s="1849"/>
      <c r="K23" s="1935"/>
      <c r="L23" s="1934"/>
      <c r="M23" s="1934"/>
      <c r="N23" s="1934"/>
      <c r="O23" s="1934"/>
      <c r="P23" s="1934"/>
      <c r="Q23" s="1934"/>
      <c r="R23" s="1934"/>
      <c r="S23" s="1934"/>
      <c r="T23" s="1934"/>
      <c r="U23" s="1934"/>
      <c r="V23" s="1934"/>
      <c r="W23" s="1934"/>
      <c r="X23" s="1934"/>
      <c r="Y23" s="1934"/>
      <c r="Z23" s="1934"/>
    </row>
    <row r="24" spans="1:26" s="1782" customFormat="1" ht="13.5" customHeight="1">
      <c r="A24" s="1821" t="s">
        <v>1016</v>
      </c>
      <c r="B24" s="1850" t="s">
        <v>1034</v>
      </c>
      <c r="C24" s="1851">
        <f ca="1">C25</f>
        <v>7805</v>
      </c>
      <c r="D24" s="1852">
        <f ca="1">C26</f>
        <v>5.0000000000000001E-3</v>
      </c>
      <c r="E24" s="1829" t="s">
        <v>1102</v>
      </c>
      <c r="F24" s="1751">
        <f ca="1">IF(B1="",'数据-取费表'!Q16,INDIRECT("'数据-取费表'!q"&amp;$K$1))</f>
        <v>0.25</v>
      </c>
      <c r="G24" s="1807"/>
      <c r="H24" s="1810"/>
      <c r="I24" s="1810"/>
      <c r="J24" s="1810"/>
      <c r="K24" s="1927"/>
      <c r="L24" s="1934"/>
      <c r="M24" s="1934"/>
      <c r="N24" s="1934"/>
      <c r="O24" s="1934"/>
      <c r="P24" s="1934"/>
      <c r="Q24" s="1934"/>
      <c r="R24" s="1934"/>
      <c r="S24" s="1934"/>
      <c r="T24" s="1934"/>
      <c r="U24" s="1934"/>
      <c r="V24" s="1934"/>
      <c r="W24" s="1934"/>
      <c r="X24" s="1934"/>
      <c r="Y24" s="1934"/>
      <c r="Z24" s="1934"/>
    </row>
    <row r="25" spans="1:26" s="1782" customFormat="1" ht="13.5" customHeight="1">
      <c r="A25" s="1811" t="s">
        <v>853</v>
      </c>
      <c r="B25" s="1836" t="s">
        <v>1106</v>
      </c>
      <c r="C25" s="184">
        <f ca="1">ROUND((C18+C19)*F24,0)</f>
        <v>7805</v>
      </c>
      <c r="D25" s="1838"/>
      <c r="E25" s="1839"/>
      <c r="F25" s="1853"/>
      <c r="G25" s="1854" t="s">
        <v>1107</v>
      </c>
      <c r="H25" s="1820"/>
      <c r="I25" s="1820"/>
      <c r="J25" s="1820"/>
      <c r="K25" s="1929"/>
      <c r="L25" s="1934"/>
      <c r="M25" s="1934"/>
      <c r="N25" s="1934"/>
      <c r="O25" s="1934"/>
      <c r="P25" s="1934"/>
      <c r="Q25" s="1934"/>
      <c r="R25" s="1934"/>
      <c r="S25" s="1934"/>
      <c r="T25" s="1934"/>
      <c r="U25" s="1934"/>
      <c r="V25" s="1934"/>
      <c r="W25" s="1934"/>
      <c r="X25" s="1934"/>
      <c r="Y25" s="1934"/>
      <c r="Z25" s="1934"/>
    </row>
    <row r="26" spans="1:26" s="1782" customFormat="1" ht="13.5" customHeight="1">
      <c r="A26" s="1842" t="s">
        <v>991</v>
      </c>
      <c r="B26" s="1843" t="s">
        <v>1108</v>
      </c>
      <c r="C26" s="1855">
        <f ca="1">ROUND(F20*F24,4)</f>
        <v>5.0000000000000001E-3</v>
      </c>
      <c r="D26" s="1845"/>
      <c r="E26" s="1856"/>
      <c r="F26" s="1857"/>
      <c r="G26" s="1858" t="s">
        <v>1109</v>
      </c>
      <c r="H26" s="1849"/>
      <c r="I26" s="1849"/>
      <c r="J26" s="1849"/>
      <c r="K26" s="1935"/>
      <c r="L26" s="1934"/>
      <c r="M26" s="1934"/>
      <c r="N26" s="1934"/>
      <c r="O26" s="1934"/>
      <c r="P26" s="1934"/>
      <c r="Q26" s="1934"/>
      <c r="R26" s="1934"/>
      <c r="S26" s="1934"/>
      <c r="T26" s="1934"/>
      <c r="U26" s="1934"/>
      <c r="V26" s="1934"/>
      <c r="W26" s="1934"/>
      <c r="X26" s="1934"/>
      <c r="Y26" s="1934"/>
      <c r="Z26" s="1934"/>
    </row>
    <row r="27" spans="1:26" s="1782" customFormat="1" ht="13.5" customHeight="1">
      <c r="A27" s="1859" t="s">
        <v>887</v>
      </c>
      <c r="B27" s="1860" t="s">
        <v>1028</v>
      </c>
      <c r="C27" s="1861">
        <f>ROUND(F27/(1+'数据-取费表'!C42),4)</f>
        <v>2.9000000000000001E-2</v>
      </c>
      <c r="D27" s="1862" t="s">
        <v>1102</v>
      </c>
      <c r="E27" s="1862"/>
      <c r="F27" s="1863">
        <f>'数据-取费表'!B48+'数据-取费表'!B49</f>
        <v>3.0499999999999999E-2</v>
      </c>
      <c r="G27" s="1864" t="s">
        <v>1110</v>
      </c>
      <c r="H27" s="1865"/>
      <c r="I27" s="1865"/>
      <c r="J27" s="1865"/>
      <c r="K27" s="1936"/>
      <c r="L27" s="1934"/>
      <c r="M27" s="1934"/>
      <c r="N27" s="1934"/>
      <c r="O27" s="1934"/>
      <c r="P27" s="1934"/>
      <c r="Q27" s="1934"/>
      <c r="R27" s="1934"/>
      <c r="S27" s="1934"/>
      <c r="T27" s="1934"/>
      <c r="U27" s="1934"/>
      <c r="V27" s="1934"/>
      <c r="W27" s="1934"/>
      <c r="X27" s="1934"/>
      <c r="Y27" s="1934"/>
      <c r="Z27" s="1934"/>
    </row>
    <row r="28" spans="1:26" s="1781" customFormat="1" ht="13.5" customHeight="1">
      <c r="A28" s="1859" t="s">
        <v>1111</v>
      </c>
      <c r="B28" s="1866" t="s">
        <v>1112</v>
      </c>
      <c r="C28" s="1867">
        <f ca="1">ROUND((C18+C19+C21+C24)/(1-C20-D21-D24-C27),0)</f>
        <v>41573</v>
      </c>
      <c r="D28" s="1868"/>
      <c r="E28" s="1829"/>
      <c r="F28" s="1869"/>
      <c r="G28" s="1870" t="s">
        <v>1113</v>
      </c>
      <c r="H28" s="1865"/>
      <c r="I28" s="1865"/>
      <c r="J28" s="1865"/>
      <c r="K28" s="1936"/>
      <c r="L28" s="1931"/>
      <c r="M28" s="1931"/>
      <c r="N28" s="1931"/>
      <c r="O28" s="1931"/>
      <c r="P28" s="1931"/>
      <c r="Q28" s="1931"/>
      <c r="R28" s="1931"/>
      <c r="S28" s="1931"/>
      <c r="T28" s="1931"/>
      <c r="U28" s="1931"/>
      <c r="V28" s="1931"/>
      <c r="W28" s="1931"/>
      <c r="X28" s="1931"/>
      <c r="Y28" s="1931"/>
      <c r="Z28" s="1931"/>
    </row>
    <row r="29" spans="1:26" s="1781" customFormat="1" ht="13.5" customHeight="1">
      <c r="A29" s="1871" t="s">
        <v>1114</v>
      </c>
      <c r="B29" s="1872" t="s">
        <v>1115</v>
      </c>
      <c r="C29" s="1873">
        <f ca="1">IF(B1="",'数据-取费表'!N16,INDIRECT("'数据-取费表'!N"&amp;$K$1))</f>
        <v>0</v>
      </c>
      <c r="D29" s="1874"/>
      <c r="E29" s="1875"/>
      <c r="F29" s="1876"/>
      <c r="G29" s="1807"/>
      <c r="H29" s="1810"/>
      <c r="I29" s="1810"/>
      <c r="J29" s="1810"/>
      <c r="K29" s="1927"/>
      <c r="L29" s="1931"/>
      <c r="M29" s="1931"/>
      <c r="N29" s="1931"/>
      <c r="O29" s="1931"/>
      <c r="P29" s="1931"/>
      <c r="Q29" s="1931"/>
      <c r="R29" s="1931"/>
      <c r="S29" s="1931"/>
      <c r="T29" s="1931"/>
      <c r="U29" s="1931"/>
      <c r="V29" s="1931"/>
      <c r="W29" s="1931"/>
      <c r="X29" s="1931"/>
      <c r="Y29" s="1931"/>
      <c r="Z29" s="1931"/>
    </row>
    <row r="30" spans="1:26" s="1781" customFormat="1" ht="13.5" customHeight="1">
      <c r="A30" s="1877">
        <v>2</v>
      </c>
      <c r="B30" s="1866" t="s">
        <v>1116</v>
      </c>
      <c r="C30" s="1878">
        <f ca="1">ROUND(C28*C29,0)</f>
        <v>0</v>
      </c>
      <c r="D30" s="1879"/>
      <c r="E30" s="1880"/>
      <c r="F30" s="1881"/>
      <c r="G30" s="1882" t="s">
        <v>1117</v>
      </c>
      <c r="H30" s="1883"/>
      <c r="I30" s="1883"/>
      <c r="J30" s="1865"/>
      <c r="K30" s="1936"/>
      <c r="L30" s="1931"/>
      <c r="M30" s="1931"/>
      <c r="N30" s="1931"/>
      <c r="O30" s="1931"/>
      <c r="P30" s="1931"/>
      <c r="Q30" s="1931"/>
      <c r="R30" s="1931"/>
      <c r="S30" s="1931"/>
      <c r="T30" s="1931"/>
      <c r="U30" s="1931"/>
      <c r="V30" s="1931"/>
      <c r="W30" s="1931"/>
      <c r="X30" s="1931"/>
      <c r="Y30" s="1931"/>
      <c r="Z30" s="1931"/>
    </row>
    <row r="31" spans="1:26" s="1783" customFormat="1" ht="13.5" customHeight="1">
      <c r="A31" s="1884" t="s">
        <v>1118</v>
      </c>
      <c r="B31" s="1885"/>
      <c r="C31" s="1886">
        <f>ROUND(C6*F31/(1+'数据-取费表'!C42),0)</f>
        <v>0</v>
      </c>
      <c r="D31" s="1887"/>
      <c r="E31" s="1887"/>
      <c r="F31" s="1888">
        <f>'数据-取费表'!B41</f>
        <v>5.6000000000000001E-2</v>
      </c>
      <c r="G31" s="1889" t="s">
        <v>1119</v>
      </c>
      <c r="H31" s="1890"/>
      <c r="I31" s="1890"/>
      <c r="J31" s="1937"/>
      <c r="K31" s="1938"/>
      <c r="L31" s="1939"/>
      <c r="M31" s="1939"/>
      <c r="N31" s="1939"/>
      <c r="O31" s="1939"/>
      <c r="P31" s="1939"/>
      <c r="Q31" s="1939"/>
      <c r="R31" s="1939"/>
      <c r="S31" s="1939"/>
      <c r="T31" s="1939"/>
      <c r="U31" s="1939"/>
      <c r="V31" s="1939"/>
      <c r="W31" s="1939"/>
      <c r="X31" s="1939"/>
      <c r="Y31" s="1939"/>
      <c r="Z31" s="1939"/>
    </row>
    <row r="32" spans="1:26" s="843" customFormat="1" ht="13.5" customHeight="1">
      <c r="A32" s="1891" t="s">
        <v>1120</v>
      </c>
      <c r="B32" s="1892"/>
      <c r="C32" s="1893">
        <f ca="1">IF('数据-取费表'!B20&lt;=1,(C6-C30-C31)/(1+F21*'数据-取费表'!B20+F24)/(1+'数据-取费表'!B48+'数据-取费表'!B49),(C6-C30-C31)/(1+(POWER((1+F21),'数据-取费表'!B20)-1)+F24)/(1+'数据-取费表'!B48+'数据-取费表'!B49))</f>
        <v>0</v>
      </c>
      <c r="D32" s="1892"/>
      <c r="E32" s="1892"/>
      <c r="F32" s="1892"/>
      <c r="G32" s="1894" t="s">
        <v>1121</v>
      </c>
      <c r="H32" s="1892"/>
      <c r="I32" s="1892"/>
      <c r="J32" s="1892"/>
      <c r="K32" s="1940"/>
      <c r="L32" s="1928"/>
      <c r="M32" s="1928"/>
      <c r="N32" s="1928"/>
      <c r="O32" s="1928"/>
      <c r="P32" s="1928"/>
      <c r="Q32" s="1928"/>
      <c r="R32" s="1928"/>
      <c r="S32" s="1928"/>
      <c r="T32" s="1928"/>
      <c r="U32" s="1928"/>
      <c r="V32" s="1928"/>
      <c r="W32" s="1928"/>
      <c r="X32" s="1928"/>
      <c r="Y32" s="1928"/>
      <c r="Z32" s="1928"/>
    </row>
    <row r="33" spans="1:11" s="1777" customFormat="1">
      <c r="A33" s="1895"/>
      <c r="C33" s="1896"/>
      <c r="E33" s="1895"/>
    </row>
    <row r="34" spans="1:11" s="1777" customFormat="1" ht="12.75" customHeight="1">
      <c r="A34" s="1895"/>
      <c r="C34" s="1896"/>
      <c r="E34" s="1895"/>
    </row>
    <row r="35" spans="1:11" s="1777" customFormat="1">
      <c r="A35" s="1897">
        <v>1</v>
      </c>
      <c r="B35" s="1898" t="s">
        <v>1122</v>
      </c>
      <c r="C35" s="1899">
        <f ca="1">C18</f>
        <v>30607</v>
      </c>
      <c r="D35" s="1900"/>
      <c r="E35" s="1901"/>
      <c r="F35" s="1902"/>
      <c r="G35" s="1902"/>
      <c r="H35" s="1902"/>
      <c r="I35" s="1902"/>
      <c r="J35" s="1902"/>
      <c r="K35" s="1941"/>
    </row>
    <row r="36" spans="1:11" s="1777" customFormat="1">
      <c r="A36" s="1903">
        <v>2</v>
      </c>
      <c r="B36" s="1904" t="s">
        <v>1014</v>
      </c>
      <c r="C36" s="1905">
        <f ca="1">C19+G36</f>
        <v>612</v>
      </c>
      <c r="D36" s="914"/>
      <c r="E36" s="1906"/>
      <c r="F36" s="1907"/>
      <c r="G36" s="1907"/>
      <c r="H36" s="1907"/>
      <c r="I36" s="1907"/>
      <c r="J36" s="1907"/>
      <c r="K36" s="1942"/>
    </row>
    <row r="37" spans="1:11" s="1777" customFormat="1">
      <c r="A37" s="1903">
        <v>3</v>
      </c>
      <c r="B37" s="1904" t="s">
        <v>1123</v>
      </c>
      <c r="C37" s="1905">
        <f ca="1">C22</f>
        <v>1106</v>
      </c>
      <c r="D37" s="1908">
        <f ca="1">ROUND(((1+3%)*(1+F21)^'数据-取费表'!B20)-1,4)</f>
        <v>0.1043</v>
      </c>
      <c r="E37" s="1909" t="s">
        <v>1124</v>
      </c>
      <c r="F37" s="1907"/>
      <c r="G37" s="1907"/>
      <c r="H37" s="1907"/>
      <c r="I37" s="1907"/>
      <c r="J37" s="1907"/>
      <c r="K37" s="1942"/>
    </row>
    <row r="38" spans="1:11" s="1777" customFormat="1">
      <c r="A38" s="1903">
        <v>4</v>
      </c>
      <c r="B38" s="1904" t="s">
        <v>1125</v>
      </c>
      <c r="C38" s="1905">
        <f ca="1">C25</f>
        <v>7805</v>
      </c>
      <c r="D38" s="1908">
        <f ca="1">ROUND((1+3%)*F24,4)</f>
        <v>0.25750000000000001</v>
      </c>
      <c r="E38" s="1909" t="s">
        <v>1126</v>
      </c>
      <c r="F38" s="1907"/>
      <c r="G38" s="1907"/>
      <c r="H38" s="1907"/>
      <c r="I38" s="1907"/>
      <c r="J38" s="1907"/>
      <c r="K38" s="1942"/>
    </row>
    <row r="39" spans="1:11" s="1777" customFormat="1">
      <c r="A39" s="1903"/>
      <c r="B39" s="1904" t="s">
        <v>1127</v>
      </c>
      <c r="C39" s="1910">
        <f ca="1">ROUND((C35+C36+C37+C38)*C29,0)</f>
        <v>0</v>
      </c>
      <c r="D39" s="914"/>
      <c r="E39" s="1906"/>
      <c r="F39" s="1907"/>
      <c r="G39" s="1907"/>
      <c r="H39" s="1907"/>
      <c r="I39" s="1907"/>
      <c r="J39" s="1907"/>
      <c r="K39" s="1942"/>
    </row>
    <row r="40" spans="1:11" s="1777" customFormat="1">
      <c r="A40" s="1903">
        <v>5</v>
      </c>
      <c r="B40" s="1904" t="s">
        <v>1128</v>
      </c>
      <c r="C40" s="1910">
        <f>C31</f>
        <v>0</v>
      </c>
      <c r="D40" s="914"/>
      <c r="E40" s="1906"/>
      <c r="F40" s="1907"/>
      <c r="G40" s="1907"/>
      <c r="H40" s="1907"/>
      <c r="I40" s="1907"/>
      <c r="J40" s="1907"/>
      <c r="K40" s="1942"/>
    </row>
    <row r="41" spans="1:11" s="1777" customFormat="1">
      <c r="A41" s="1903">
        <v>6</v>
      </c>
      <c r="B41" s="1904" t="s">
        <v>1129</v>
      </c>
      <c r="C41" s="1910">
        <f>ROUND(C10*F20,0)</f>
        <v>0</v>
      </c>
      <c r="D41" s="914"/>
      <c r="E41" s="1906"/>
      <c r="F41" s="1907"/>
      <c r="G41" s="1907"/>
      <c r="H41" s="1907"/>
      <c r="I41" s="1907"/>
      <c r="J41" s="1907"/>
      <c r="K41" s="1942"/>
    </row>
    <row r="42" spans="1:11" s="1777" customFormat="1">
      <c r="A42" s="1903">
        <v>7</v>
      </c>
      <c r="B42" s="1904" t="s">
        <v>1020</v>
      </c>
      <c r="C42" s="1905"/>
      <c r="D42" s="1911">
        <f>F27</f>
        <v>3.0499999999999999E-2</v>
      </c>
      <c r="E42" s="1906"/>
      <c r="F42" s="1907"/>
      <c r="G42" s="1907"/>
      <c r="H42" s="1907"/>
      <c r="I42" s="1907"/>
      <c r="J42" s="1907"/>
      <c r="K42" s="1942"/>
    </row>
    <row r="43" spans="1:11" s="1777" customFormat="1">
      <c r="A43" s="1912">
        <v>8</v>
      </c>
      <c r="B43" s="1913" t="s">
        <v>1130</v>
      </c>
      <c r="C43" s="1914">
        <f ca="1">(C10-C39-C40-C41)/(1+D37+D38+D42)</f>
        <v>0</v>
      </c>
      <c r="D43" s="1915"/>
      <c r="E43" s="1916"/>
      <c r="F43" s="1917"/>
      <c r="G43" s="1917"/>
      <c r="H43" s="1917"/>
      <c r="I43" s="1917"/>
      <c r="J43" s="1917"/>
      <c r="K43" s="1943"/>
    </row>
    <row r="44" spans="1:11" s="1777" customFormat="1">
      <c r="A44" s="1895"/>
      <c r="C44" s="1896"/>
      <c r="E44" s="1895"/>
    </row>
    <row r="45" spans="1:11" s="1777" customFormat="1">
      <c r="A45" s="1895"/>
      <c r="C45" s="1896"/>
      <c r="E45" s="1895"/>
    </row>
    <row r="46" spans="1:11" s="1777" customFormat="1">
      <c r="A46" s="1895"/>
      <c r="C46" s="1896"/>
      <c r="E46" s="1895"/>
    </row>
    <row r="47" spans="1:11" s="1777" customFormat="1">
      <c r="A47" s="1895"/>
      <c r="C47" s="1896"/>
      <c r="E47" s="1895"/>
    </row>
    <row r="48" spans="1:11" s="1777" customFormat="1">
      <c r="A48" s="1895"/>
      <c r="C48" s="1896"/>
      <c r="E48" s="1895"/>
    </row>
    <row r="49" spans="1:5" s="1777" customFormat="1">
      <c r="A49" s="1895"/>
      <c r="C49" s="1896"/>
      <c r="E49" s="1895"/>
    </row>
    <row r="50" spans="1:5" s="1777" customFormat="1">
      <c r="A50" s="1895"/>
      <c r="C50" s="1896"/>
      <c r="E50" s="1895"/>
    </row>
    <row r="51" spans="1:5" s="1777" customFormat="1">
      <c r="A51" s="1895"/>
      <c r="C51" s="1896"/>
      <c r="E51" s="1895"/>
    </row>
    <row r="52" spans="1:5" s="1777" customFormat="1">
      <c r="A52" s="1895"/>
      <c r="C52" s="1896"/>
      <c r="E52" s="1895"/>
    </row>
    <row r="53" spans="1:5" s="1777" customFormat="1">
      <c r="A53" s="1895"/>
      <c r="C53" s="1896"/>
      <c r="E53" s="1895"/>
    </row>
    <row r="54" spans="1:5" s="1777" customFormat="1">
      <c r="A54" s="1895"/>
      <c r="C54" s="1896"/>
      <c r="E54" s="1895"/>
    </row>
    <row r="55" spans="1:5" s="1777" customFormat="1">
      <c r="A55" s="1895"/>
      <c r="C55" s="1896"/>
      <c r="E55" s="1895"/>
    </row>
    <row r="56" spans="1:5" s="1777" customFormat="1">
      <c r="A56" s="1895"/>
      <c r="C56" s="1896"/>
      <c r="E56" s="1895"/>
    </row>
    <row r="57" spans="1:5" s="1777" customFormat="1">
      <c r="A57" s="1895"/>
      <c r="C57" s="1896"/>
      <c r="E57" s="1895"/>
    </row>
    <row r="58" spans="1:5" s="1777" customFormat="1">
      <c r="A58" s="1895"/>
      <c r="C58" s="1896"/>
      <c r="E58" s="1895"/>
    </row>
    <row r="59" spans="1:5" s="1777" customFormat="1">
      <c r="A59" s="1895"/>
      <c r="C59" s="1896"/>
      <c r="E59" s="1895"/>
    </row>
    <row r="60" spans="1:5" s="1777" customFormat="1">
      <c r="A60" s="1895"/>
      <c r="C60" s="1896"/>
      <c r="E60" s="1895"/>
    </row>
    <row r="61" spans="1:5" s="1777" customFormat="1">
      <c r="A61" s="1895"/>
      <c r="C61" s="1896"/>
      <c r="E61" s="1895"/>
    </row>
    <row r="62" spans="1:5" s="1777" customFormat="1">
      <c r="A62" s="1895"/>
      <c r="C62" s="1896"/>
      <c r="E62" s="1895"/>
    </row>
    <row r="63" spans="1:5" s="1777" customFormat="1">
      <c r="A63" s="1895"/>
      <c r="C63" s="1896"/>
      <c r="E63" s="1895"/>
    </row>
    <row r="64" spans="1:5" s="1777" customFormat="1">
      <c r="A64" s="1895"/>
      <c r="C64" s="1896"/>
      <c r="E64" s="1895"/>
    </row>
    <row r="65" spans="1:5" s="1777" customFormat="1">
      <c r="A65" s="1895"/>
      <c r="C65" s="1896"/>
      <c r="E65" s="1895"/>
    </row>
    <row r="66" spans="1:5" s="1777" customFormat="1">
      <c r="A66" s="1895"/>
      <c r="C66" s="1896"/>
      <c r="E66" s="1895"/>
    </row>
    <row r="67" spans="1:5" s="1777" customFormat="1">
      <c r="A67" s="1895"/>
      <c r="C67" s="1896"/>
      <c r="E67" s="1895"/>
    </row>
    <row r="68" spans="1:5" s="1777" customFormat="1">
      <c r="A68" s="1895"/>
      <c r="C68" s="1896"/>
      <c r="E68" s="1895"/>
    </row>
    <row r="69" spans="1:5" s="1777" customFormat="1">
      <c r="A69" s="1895"/>
      <c r="C69" s="1896"/>
      <c r="E69" s="1895"/>
    </row>
    <row r="70" spans="1:5" s="1777" customFormat="1">
      <c r="A70" s="1895"/>
      <c r="C70" s="1896"/>
      <c r="E70" s="1895"/>
    </row>
    <row r="71" spans="1:5" s="1777" customFormat="1">
      <c r="A71" s="1895"/>
      <c r="C71" s="1896"/>
      <c r="E71" s="1895"/>
    </row>
    <row r="72" spans="1:5" s="1777" customFormat="1">
      <c r="A72" s="1895"/>
      <c r="C72" s="1896"/>
      <c r="E72" s="1895"/>
    </row>
    <row r="73" spans="1:5" s="1777" customFormat="1">
      <c r="A73" s="1895"/>
      <c r="C73" s="1896"/>
      <c r="E73" s="1895"/>
    </row>
    <row r="74" spans="1:5" s="1777" customFormat="1">
      <c r="A74" s="1895"/>
      <c r="C74" s="1896"/>
      <c r="E74" s="1895"/>
    </row>
    <row r="75" spans="1:5" s="1777" customFormat="1">
      <c r="A75" s="1895"/>
      <c r="C75" s="1896"/>
      <c r="E75" s="1895"/>
    </row>
    <row r="76" spans="1:5" s="1777" customFormat="1">
      <c r="A76" s="1895"/>
      <c r="C76" s="1896"/>
      <c r="E76" s="1895"/>
    </row>
    <row r="77" spans="1:5" s="1777" customFormat="1">
      <c r="A77" s="1895"/>
      <c r="C77" s="1896"/>
      <c r="E77" s="1895"/>
    </row>
    <row r="78" spans="1:5" s="1777" customFormat="1">
      <c r="A78" s="1895"/>
      <c r="C78" s="1896"/>
      <c r="E78" s="1895"/>
    </row>
    <row r="79" spans="1:5" s="1777" customFormat="1">
      <c r="A79" s="1895"/>
      <c r="C79" s="1896"/>
      <c r="E79" s="1895"/>
    </row>
    <row r="80" spans="1:5" s="1777" customFormat="1">
      <c r="A80" s="1895"/>
      <c r="C80" s="1896"/>
      <c r="E80" s="1895"/>
    </row>
    <row r="81" spans="1:5" s="1777" customFormat="1">
      <c r="A81" s="1895"/>
      <c r="C81" s="1896"/>
      <c r="E81" s="1895"/>
    </row>
    <row r="82" spans="1:5" s="1777" customFormat="1">
      <c r="A82" s="1895"/>
      <c r="C82" s="1896"/>
      <c r="E82" s="1895"/>
    </row>
    <row r="83" spans="1:5" s="1777" customFormat="1">
      <c r="A83" s="1895"/>
      <c r="C83" s="1896"/>
      <c r="E83" s="1895"/>
    </row>
    <row r="84" spans="1:5" s="1777" customFormat="1">
      <c r="A84" s="1895"/>
      <c r="C84" s="1896"/>
      <c r="E84" s="1895"/>
    </row>
    <row r="85" spans="1:5" s="1777" customFormat="1">
      <c r="A85" s="1895"/>
      <c r="C85" s="1896"/>
      <c r="E85" s="1895"/>
    </row>
    <row r="86" spans="1:5" s="1777" customFormat="1">
      <c r="A86" s="1895"/>
      <c r="C86" s="1896"/>
      <c r="E86" s="1895"/>
    </row>
    <row r="87" spans="1:5" s="1777" customFormat="1">
      <c r="A87" s="1895"/>
      <c r="C87" s="1896"/>
      <c r="E87" s="1895"/>
    </row>
    <row r="88" spans="1:5" s="1777" customFormat="1">
      <c r="A88" s="1895"/>
      <c r="C88" s="1896"/>
      <c r="E88" s="1895"/>
    </row>
    <row r="89" spans="1:5" s="1777" customFormat="1">
      <c r="A89" s="1895"/>
      <c r="C89" s="1896"/>
      <c r="E89" s="1895"/>
    </row>
    <row r="90" spans="1:5" s="1777" customFormat="1">
      <c r="A90" s="1895"/>
      <c r="C90" s="1896"/>
      <c r="E90" s="1895"/>
    </row>
    <row r="91" spans="1:5" s="1777" customFormat="1">
      <c r="A91" s="1895"/>
      <c r="C91" s="1896"/>
      <c r="E91" s="1895"/>
    </row>
    <row r="92" spans="1:5" s="1777" customFormat="1">
      <c r="A92" s="1895"/>
      <c r="C92" s="1896"/>
      <c r="E92" s="1895"/>
    </row>
    <row r="93" spans="1:5" s="1777" customFormat="1">
      <c r="A93" s="1895"/>
      <c r="C93" s="1896"/>
      <c r="E93" s="1895"/>
    </row>
    <row r="94" spans="1:5" s="1777" customFormat="1">
      <c r="A94" s="1895"/>
      <c r="C94" s="1896"/>
      <c r="E94" s="1895"/>
    </row>
    <row r="95" spans="1:5" s="1777" customFormat="1">
      <c r="A95" s="1895"/>
      <c r="C95" s="1896"/>
      <c r="E95" s="1895"/>
    </row>
    <row r="96" spans="1:5" s="1777" customFormat="1">
      <c r="A96" s="1895"/>
      <c r="C96" s="1896"/>
      <c r="E96" s="1895"/>
    </row>
    <row r="97" spans="1:5" s="1777" customFormat="1">
      <c r="A97" s="1895"/>
      <c r="C97" s="1896"/>
      <c r="E97" s="1895"/>
    </row>
    <row r="98" spans="1:5" s="1777" customFormat="1">
      <c r="A98" s="1895"/>
      <c r="C98" s="1896"/>
      <c r="E98" s="1895"/>
    </row>
    <row r="99" spans="1:5" s="1777" customFormat="1">
      <c r="A99" s="1895"/>
      <c r="C99" s="1896"/>
      <c r="E99" s="1895"/>
    </row>
    <row r="100" spans="1:5" s="1777" customFormat="1">
      <c r="A100" s="1895"/>
      <c r="C100" s="1896"/>
      <c r="E100" s="1895"/>
    </row>
    <row r="101" spans="1:5" s="1777" customFormat="1">
      <c r="A101" s="1895"/>
      <c r="C101" s="1896"/>
      <c r="E101" s="1895"/>
    </row>
    <row r="102" spans="1:5" s="1777" customFormat="1">
      <c r="A102" s="1895"/>
      <c r="C102" s="1896"/>
      <c r="E102" s="1895"/>
    </row>
    <row r="103" spans="1:5" s="1777" customFormat="1">
      <c r="A103" s="1895"/>
      <c r="C103" s="1896"/>
      <c r="E103" s="1895"/>
    </row>
    <row r="104" spans="1:5" s="1777" customFormat="1">
      <c r="A104" s="1895"/>
      <c r="C104" s="1896"/>
      <c r="E104" s="1895"/>
    </row>
    <row r="105" spans="1:5" s="1777" customFormat="1">
      <c r="A105" s="1895"/>
      <c r="C105" s="1896"/>
      <c r="E105" s="1895"/>
    </row>
    <row r="106" spans="1:5" s="1777" customFormat="1">
      <c r="A106" s="1895"/>
      <c r="C106" s="1896"/>
      <c r="E106" s="1895"/>
    </row>
    <row r="107" spans="1:5" s="1777" customFormat="1">
      <c r="A107" s="1895"/>
      <c r="C107" s="1896"/>
      <c r="E107" s="1895"/>
    </row>
    <row r="108" spans="1:5" s="1777" customFormat="1">
      <c r="A108" s="1895"/>
      <c r="C108" s="1896"/>
      <c r="E108" s="1895"/>
    </row>
    <row r="109" spans="1:5" s="1777" customFormat="1">
      <c r="A109" s="1895"/>
      <c r="C109" s="1896"/>
      <c r="E109" s="1895"/>
    </row>
    <row r="110" spans="1:5" s="1777" customFormat="1">
      <c r="A110" s="1895"/>
      <c r="C110" s="1896"/>
      <c r="E110" s="1895"/>
    </row>
    <row r="111" spans="1:5" s="1777" customFormat="1">
      <c r="A111" s="1895"/>
      <c r="C111" s="1896"/>
      <c r="E111" s="1895"/>
    </row>
    <row r="112" spans="1:5" s="1777" customFormat="1">
      <c r="A112" s="1895"/>
      <c r="C112" s="1896"/>
      <c r="E112" s="1895"/>
    </row>
    <row r="113" spans="1:5" s="1777" customFormat="1">
      <c r="A113" s="1895"/>
      <c r="C113" s="1896"/>
      <c r="E113" s="1895"/>
    </row>
    <row r="114" spans="1:5" s="1777" customFormat="1">
      <c r="A114" s="1895"/>
      <c r="C114" s="1896"/>
      <c r="E114" s="1895"/>
    </row>
    <row r="115" spans="1:5" s="1777" customFormat="1">
      <c r="A115" s="1895"/>
      <c r="C115" s="1896"/>
      <c r="E115" s="1895"/>
    </row>
    <row r="116" spans="1:5" s="1777" customFormat="1">
      <c r="A116" s="1895"/>
      <c r="C116" s="1896"/>
      <c r="E116" s="1895"/>
    </row>
    <row r="117" spans="1:5" s="1777" customFormat="1">
      <c r="A117" s="1895"/>
      <c r="C117" s="1896"/>
      <c r="E117" s="1895"/>
    </row>
    <row r="118" spans="1:5" s="1777" customFormat="1">
      <c r="A118" s="1895"/>
      <c r="C118" s="1896"/>
      <c r="E118" s="1895"/>
    </row>
    <row r="119" spans="1:5" s="1777" customFormat="1">
      <c r="A119" s="1895"/>
      <c r="C119" s="1896"/>
      <c r="E119" s="1895"/>
    </row>
    <row r="120" spans="1:5" s="1777" customFormat="1">
      <c r="A120" s="1895"/>
      <c r="C120" s="1896"/>
      <c r="E120" s="1895"/>
    </row>
    <row r="121" spans="1:5" s="1777" customFormat="1">
      <c r="A121" s="1895"/>
      <c r="C121" s="1896"/>
      <c r="E121" s="1895"/>
    </row>
    <row r="122" spans="1:5" s="1777" customFormat="1">
      <c r="A122" s="1895"/>
      <c r="C122" s="1896"/>
      <c r="E122" s="1895"/>
    </row>
    <row r="123" spans="1:5" s="1777" customFormat="1">
      <c r="A123" s="1895"/>
      <c r="C123" s="1896"/>
      <c r="E123" s="1895"/>
    </row>
    <row r="124" spans="1:5" s="1777" customFormat="1">
      <c r="A124" s="1895"/>
      <c r="C124" s="1896"/>
      <c r="E124" s="1895"/>
    </row>
    <row r="125" spans="1:5" s="1777" customFormat="1">
      <c r="A125" s="1895"/>
      <c r="C125" s="1896"/>
      <c r="E125" s="1895"/>
    </row>
    <row r="126" spans="1:5" s="1777" customFormat="1">
      <c r="A126" s="1895"/>
      <c r="C126" s="1896"/>
      <c r="E126" s="1895"/>
    </row>
    <row r="127" spans="1:5" s="1777" customFormat="1">
      <c r="A127" s="1895"/>
      <c r="C127" s="1896"/>
      <c r="E127" s="1895"/>
    </row>
    <row r="128" spans="1:5" s="1777" customFormat="1">
      <c r="A128" s="1895"/>
      <c r="C128" s="1896"/>
      <c r="E128" s="1895"/>
    </row>
    <row r="129" spans="1:5" s="1777" customFormat="1">
      <c r="A129" s="1895"/>
      <c r="C129" s="1896"/>
      <c r="E129" s="1895"/>
    </row>
    <row r="130" spans="1:5" s="1777" customFormat="1">
      <c r="A130" s="1895"/>
      <c r="C130" s="1896"/>
      <c r="E130" s="1895"/>
    </row>
    <row r="131" spans="1:5" s="1777" customFormat="1">
      <c r="A131" s="1895"/>
      <c r="C131" s="1896"/>
      <c r="E131" s="1895"/>
    </row>
    <row r="132" spans="1:5" s="1777" customFormat="1">
      <c r="A132" s="1895"/>
      <c r="C132" s="1896"/>
      <c r="E132" s="1895"/>
    </row>
    <row r="133" spans="1:5" s="1777" customFormat="1">
      <c r="A133" s="1895"/>
      <c r="C133" s="1896"/>
      <c r="E133" s="1895"/>
    </row>
    <row r="134" spans="1:5" s="1777" customFormat="1">
      <c r="A134" s="1895"/>
      <c r="C134" s="1896"/>
      <c r="E134" s="1895"/>
    </row>
    <row r="135" spans="1:5" s="1777" customFormat="1">
      <c r="A135" s="1895"/>
      <c r="C135" s="1896"/>
      <c r="E135" s="1895"/>
    </row>
    <row r="136" spans="1:5" s="1777" customFormat="1">
      <c r="A136" s="1895"/>
      <c r="C136" s="1896"/>
      <c r="E136" s="1895"/>
    </row>
    <row r="137" spans="1:5" s="1777" customFormat="1">
      <c r="A137" s="1895"/>
      <c r="C137" s="1896"/>
      <c r="E137" s="1895"/>
    </row>
    <row r="138" spans="1:5" s="1777" customFormat="1">
      <c r="A138" s="1895"/>
      <c r="C138" s="1896"/>
      <c r="E138" s="1895"/>
    </row>
    <row r="139" spans="1:5" s="1777" customFormat="1">
      <c r="A139" s="1895"/>
      <c r="C139" s="1896"/>
      <c r="E139" s="1895"/>
    </row>
    <row r="140" spans="1:5" s="1777" customFormat="1">
      <c r="A140" s="1895"/>
      <c r="C140" s="1896"/>
      <c r="E140" s="1895"/>
    </row>
    <row r="141" spans="1:5" s="1777" customFormat="1">
      <c r="A141" s="1895"/>
      <c r="C141" s="1896"/>
      <c r="E141" s="1895"/>
    </row>
    <row r="142" spans="1:5" s="1777" customFormat="1">
      <c r="A142" s="1895"/>
      <c r="C142" s="1896"/>
      <c r="E142" s="1895"/>
    </row>
    <row r="143" spans="1:5" s="1777" customFormat="1">
      <c r="A143" s="1895"/>
      <c r="C143" s="1896"/>
      <c r="E143" s="1895"/>
    </row>
    <row r="144" spans="1:5" s="1777" customFormat="1">
      <c r="A144" s="1895"/>
      <c r="C144" s="1896"/>
      <c r="E144" s="1895"/>
    </row>
    <row r="145" spans="1:5" s="1777" customFormat="1">
      <c r="A145" s="1895"/>
      <c r="C145" s="1896"/>
      <c r="E145" s="1895"/>
    </row>
    <row r="146" spans="1:5" s="1777" customFormat="1">
      <c r="A146" s="1895"/>
      <c r="C146" s="1896"/>
      <c r="E146" s="1895"/>
    </row>
    <row r="147" spans="1:5" s="1777" customFormat="1">
      <c r="A147" s="1895"/>
      <c r="C147" s="1896"/>
      <c r="E147" s="1895"/>
    </row>
    <row r="148" spans="1:5" s="1777" customFormat="1">
      <c r="A148" s="1895"/>
      <c r="C148" s="1896"/>
      <c r="E148" s="1895"/>
    </row>
    <row r="149" spans="1:5" s="1777" customFormat="1">
      <c r="A149" s="1895"/>
      <c r="C149" s="1896"/>
      <c r="E149" s="1895"/>
    </row>
    <row r="150" spans="1:5" s="1777" customFormat="1">
      <c r="A150" s="1895"/>
      <c r="C150" s="1896"/>
      <c r="E150" s="1895"/>
    </row>
    <row r="151" spans="1:5" s="1777" customFormat="1">
      <c r="A151" s="1895"/>
      <c r="C151" s="1896"/>
      <c r="E151" s="1895"/>
    </row>
    <row r="152" spans="1:5" s="1777" customFormat="1">
      <c r="A152" s="1895"/>
      <c r="C152" s="1896"/>
      <c r="E152" s="1895"/>
    </row>
    <row r="153" spans="1:5" s="1777" customFormat="1">
      <c r="A153" s="1895"/>
      <c r="C153" s="1896"/>
      <c r="E153" s="1895"/>
    </row>
    <row r="154" spans="1:5" s="1777" customFormat="1">
      <c r="A154" s="1895"/>
      <c r="C154" s="1896"/>
      <c r="E154" s="1895"/>
    </row>
    <row r="155" spans="1:5" s="1777" customFormat="1">
      <c r="A155" s="1895"/>
      <c r="C155" s="1896"/>
      <c r="E155" s="1895"/>
    </row>
    <row r="156" spans="1:5" s="1777" customFormat="1">
      <c r="A156" s="1895"/>
      <c r="C156" s="1896"/>
      <c r="E156" s="1895"/>
    </row>
    <row r="157" spans="1:5" s="1777" customFormat="1">
      <c r="A157" s="1895"/>
      <c r="C157" s="1896"/>
      <c r="E157" s="1895"/>
    </row>
    <row r="158" spans="1:5" s="1777" customFormat="1">
      <c r="A158" s="1895"/>
      <c r="C158" s="1896"/>
      <c r="E158" s="1895"/>
    </row>
    <row r="159" spans="1:5" s="1777" customFormat="1">
      <c r="A159" s="1895"/>
      <c r="C159" s="1896"/>
      <c r="E159" s="1895"/>
    </row>
    <row r="160" spans="1:5" s="1777" customFormat="1">
      <c r="A160" s="1895"/>
      <c r="C160" s="1896"/>
      <c r="E160" s="1895"/>
    </row>
    <row r="161" spans="1:5" s="1777" customFormat="1">
      <c r="A161" s="1895"/>
      <c r="C161" s="1896"/>
      <c r="E161" s="1895"/>
    </row>
    <row r="162" spans="1:5" s="1777" customFormat="1">
      <c r="A162" s="1895"/>
      <c r="C162" s="1896"/>
      <c r="E162" s="1895"/>
    </row>
    <row r="163" spans="1:5" s="1777" customFormat="1">
      <c r="A163" s="1895"/>
      <c r="C163" s="1896"/>
      <c r="E163" s="1895"/>
    </row>
    <row r="164" spans="1:5" s="1777" customFormat="1">
      <c r="A164" s="1895"/>
      <c r="C164" s="1896"/>
      <c r="E164" s="1895"/>
    </row>
    <row r="165" spans="1:5" s="1777" customFormat="1">
      <c r="A165" s="1895"/>
      <c r="C165" s="1896"/>
      <c r="E165" s="1895"/>
    </row>
    <row r="166" spans="1:5" s="1777" customFormat="1">
      <c r="A166" s="1895"/>
      <c r="C166" s="1896"/>
      <c r="E166" s="1895"/>
    </row>
    <row r="167" spans="1:5" s="1777" customFormat="1">
      <c r="A167" s="1895"/>
      <c r="C167" s="1896"/>
      <c r="E167" s="1895"/>
    </row>
    <row r="168" spans="1:5" s="1777" customFormat="1">
      <c r="A168" s="1895"/>
      <c r="C168" s="1896"/>
      <c r="E168" s="1895"/>
    </row>
    <row r="169" spans="1:5" s="1777" customFormat="1">
      <c r="A169" s="1895"/>
      <c r="C169" s="1896"/>
      <c r="E169" s="1895"/>
    </row>
    <row r="170" spans="1:5" s="1777" customFormat="1">
      <c r="A170" s="1895"/>
      <c r="C170" s="1896"/>
      <c r="E170" s="1895"/>
    </row>
    <row r="171" spans="1:5" s="1777" customFormat="1">
      <c r="A171" s="1895"/>
      <c r="C171" s="1896"/>
      <c r="E171" s="1895"/>
    </row>
    <row r="172" spans="1:5" s="1777" customFormat="1">
      <c r="A172" s="1895"/>
      <c r="C172" s="1896"/>
      <c r="E172" s="1895"/>
    </row>
    <row r="173" spans="1:5" s="1777" customFormat="1">
      <c r="A173" s="1895"/>
      <c r="C173" s="1896"/>
      <c r="E173" s="1895"/>
    </row>
    <row r="174" spans="1:5" s="1777" customFormat="1">
      <c r="A174" s="1895"/>
      <c r="C174" s="1896"/>
      <c r="E174" s="1895"/>
    </row>
    <row r="175" spans="1:5" s="1777" customFormat="1">
      <c r="A175" s="1895"/>
      <c r="C175" s="1896"/>
      <c r="E175" s="1895"/>
    </row>
    <row r="176" spans="1:5" s="1777" customFormat="1">
      <c r="A176" s="1895"/>
      <c r="C176" s="1896"/>
      <c r="E176" s="1895"/>
    </row>
    <row r="177" spans="1:5" s="1777" customFormat="1">
      <c r="A177" s="1895"/>
      <c r="C177" s="1896"/>
      <c r="E177" s="1895"/>
    </row>
    <row r="178" spans="1:5" s="1777" customFormat="1">
      <c r="A178" s="1895"/>
      <c r="C178" s="1896"/>
      <c r="E178" s="1895"/>
    </row>
    <row r="179" spans="1:5" s="1777" customFormat="1">
      <c r="A179" s="1895"/>
      <c r="C179" s="1896"/>
      <c r="E179" s="1895"/>
    </row>
    <row r="180" spans="1:5" s="1777" customFormat="1">
      <c r="A180" s="1895"/>
      <c r="C180" s="1896"/>
      <c r="E180" s="1895"/>
    </row>
    <row r="181" spans="1:5" s="1777" customFormat="1">
      <c r="A181" s="1895"/>
      <c r="C181" s="1896"/>
      <c r="E181" s="1895"/>
    </row>
    <row r="182" spans="1:5" s="1777" customFormat="1">
      <c r="A182" s="1895"/>
      <c r="C182" s="1896"/>
      <c r="E182" s="1895"/>
    </row>
    <row r="183" spans="1:5" s="1777" customFormat="1">
      <c r="A183" s="1895"/>
      <c r="C183" s="1896"/>
      <c r="E183" s="1895"/>
    </row>
    <row r="184" spans="1:5" s="1777" customFormat="1">
      <c r="A184" s="1895"/>
      <c r="C184" s="1896"/>
      <c r="E184" s="1895"/>
    </row>
    <row r="185" spans="1:5" s="1777" customFormat="1">
      <c r="A185" s="1895"/>
      <c r="C185" s="1896"/>
      <c r="E185" s="1895"/>
    </row>
    <row r="186" spans="1:5" s="1777" customFormat="1">
      <c r="A186" s="1895"/>
      <c r="C186" s="1896"/>
      <c r="E186" s="1895"/>
    </row>
    <row r="187" spans="1:5" s="1777" customFormat="1">
      <c r="A187" s="1895"/>
      <c r="C187" s="1896"/>
      <c r="E187" s="1895"/>
    </row>
    <row r="188" spans="1:5" s="1777" customFormat="1">
      <c r="A188" s="1895"/>
      <c r="C188" s="1896"/>
      <c r="E188" s="1895"/>
    </row>
    <row r="189" spans="1:5" s="1777" customFormat="1">
      <c r="A189" s="1895"/>
      <c r="C189" s="1896"/>
      <c r="E189" s="1895"/>
    </row>
    <row r="190" spans="1:5" s="1777" customFormat="1">
      <c r="A190" s="1895"/>
      <c r="C190" s="1896"/>
      <c r="E190" s="1895"/>
    </row>
    <row r="191" spans="1:5" s="1777" customFormat="1">
      <c r="A191" s="1895"/>
      <c r="C191" s="1896"/>
      <c r="E191" s="1895"/>
    </row>
    <row r="192" spans="1:5" s="1777" customFormat="1">
      <c r="A192" s="1895"/>
      <c r="C192" s="1896"/>
      <c r="E192" s="1895"/>
    </row>
    <row r="193" spans="1:5" s="1777" customFormat="1">
      <c r="A193" s="1895"/>
      <c r="C193" s="1896"/>
      <c r="E193" s="1895"/>
    </row>
    <row r="194" spans="1:5" s="1777" customFormat="1">
      <c r="A194" s="1895"/>
      <c r="C194" s="1896"/>
      <c r="E194" s="1895"/>
    </row>
    <row r="195" spans="1:5" s="1777" customFormat="1">
      <c r="A195" s="1895"/>
      <c r="C195" s="1896"/>
      <c r="E195" s="1895"/>
    </row>
    <row r="196" spans="1:5" s="1777" customFormat="1">
      <c r="A196" s="1895"/>
      <c r="C196" s="1896"/>
      <c r="E196" s="1895"/>
    </row>
    <row r="197" spans="1:5" s="1777" customFormat="1">
      <c r="A197" s="1895"/>
      <c r="C197" s="1896"/>
      <c r="E197" s="1895"/>
    </row>
    <row r="198" spans="1:5" s="1777" customFormat="1">
      <c r="A198" s="1895"/>
      <c r="C198" s="1896"/>
      <c r="E198" s="1895"/>
    </row>
    <row r="199" spans="1:5" s="1777" customFormat="1">
      <c r="A199" s="1895"/>
      <c r="C199" s="1896"/>
      <c r="E199" s="1895"/>
    </row>
    <row r="200" spans="1:5" s="1777" customFormat="1">
      <c r="A200" s="1895"/>
      <c r="C200" s="1896"/>
      <c r="E200" s="1895"/>
    </row>
    <row r="201" spans="1:5" s="1777" customFormat="1">
      <c r="A201" s="1895"/>
      <c r="C201" s="1896"/>
      <c r="E201" s="1895"/>
    </row>
    <row r="202" spans="1:5" s="1777" customFormat="1">
      <c r="A202" s="1895"/>
      <c r="C202" s="1896"/>
      <c r="E202" s="1895"/>
    </row>
    <row r="203" spans="1:5" s="1777" customFormat="1">
      <c r="A203" s="1895"/>
      <c r="C203" s="1896"/>
      <c r="E203" s="1895"/>
    </row>
    <row r="204" spans="1:5" s="1777" customFormat="1">
      <c r="A204" s="1895"/>
      <c r="C204" s="1896"/>
      <c r="E204" s="1895"/>
    </row>
    <row r="205" spans="1:5" s="1777" customFormat="1">
      <c r="A205" s="1895"/>
      <c r="C205" s="1896"/>
      <c r="E205" s="1895"/>
    </row>
    <row r="206" spans="1:5" s="1777" customFormat="1">
      <c r="A206" s="1895"/>
      <c r="C206" s="1896"/>
      <c r="E206" s="1895"/>
    </row>
    <row r="207" spans="1:5" s="1777" customFormat="1">
      <c r="A207" s="1895"/>
      <c r="C207" s="1896"/>
      <c r="E207" s="1895"/>
    </row>
    <row r="208" spans="1:5" s="1777" customFormat="1">
      <c r="A208" s="1895"/>
      <c r="C208" s="1896"/>
      <c r="E208" s="1895"/>
    </row>
    <row r="209" spans="1:5" s="1777" customFormat="1">
      <c r="A209" s="1895"/>
      <c r="C209" s="1896"/>
      <c r="E209" s="1895"/>
    </row>
    <row r="210" spans="1:5" s="1777" customFormat="1">
      <c r="A210" s="1895"/>
      <c r="C210" s="1896"/>
      <c r="E210" s="1895"/>
    </row>
    <row r="211" spans="1:5" s="1777" customFormat="1">
      <c r="A211" s="1895"/>
      <c r="C211" s="1896"/>
      <c r="E211" s="1895"/>
    </row>
    <row r="212" spans="1:5" s="1777" customFormat="1">
      <c r="A212" s="1895"/>
      <c r="C212" s="1896"/>
      <c r="E212" s="1895"/>
    </row>
    <row r="213" spans="1:5" s="1777" customFormat="1">
      <c r="A213" s="1895"/>
      <c r="C213" s="1896"/>
      <c r="E213" s="1895"/>
    </row>
    <row r="214" spans="1:5" s="1777" customFormat="1">
      <c r="A214" s="1895"/>
      <c r="C214" s="1896"/>
      <c r="E214" s="1895"/>
    </row>
    <row r="215" spans="1:5" s="1777" customFormat="1">
      <c r="A215" s="1895"/>
      <c r="C215" s="1896"/>
      <c r="E215" s="1895"/>
    </row>
    <row r="216" spans="1:5" s="1777" customFormat="1">
      <c r="A216" s="1895"/>
      <c r="C216" s="1896"/>
      <c r="E216" s="1895"/>
    </row>
    <row r="217" spans="1:5" s="1777" customFormat="1">
      <c r="A217" s="1895"/>
      <c r="C217" s="1896"/>
      <c r="E217" s="1895"/>
    </row>
    <row r="218" spans="1:5" s="1777" customFormat="1">
      <c r="A218" s="1895"/>
      <c r="C218" s="1896"/>
      <c r="E218" s="1895"/>
    </row>
    <row r="219" spans="1:5" s="1777" customFormat="1">
      <c r="A219" s="1895"/>
      <c r="C219" s="1896"/>
      <c r="E219" s="1895"/>
    </row>
    <row r="220" spans="1:5" s="1777" customFormat="1">
      <c r="A220" s="1895"/>
      <c r="C220" s="1896"/>
      <c r="E220" s="1895"/>
    </row>
    <row r="221" spans="1:5" s="1777" customFormat="1">
      <c r="A221" s="1895"/>
      <c r="C221" s="1896"/>
      <c r="E221" s="1895"/>
    </row>
    <row r="222" spans="1:5" s="1777" customFormat="1">
      <c r="A222" s="1895"/>
      <c r="C222" s="1896"/>
      <c r="E222" s="1895"/>
    </row>
    <row r="223" spans="1:5" s="1777" customFormat="1">
      <c r="A223" s="1895"/>
      <c r="C223" s="1896"/>
      <c r="E223" s="1895"/>
    </row>
    <row r="224" spans="1:5" s="1777" customFormat="1">
      <c r="A224" s="1895"/>
      <c r="C224" s="1896"/>
      <c r="E224" s="1895"/>
    </row>
    <row r="225" spans="1:5" s="1777" customFormat="1">
      <c r="A225" s="1895"/>
      <c r="C225" s="1896"/>
      <c r="E225" s="1895"/>
    </row>
    <row r="226" spans="1:5" s="1777" customFormat="1">
      <c r="A226" s="1895"/>
      <c r="C226" s="1896"/>
      <c r="E226" s="1895"/>
    </row>
    <row r="227" spans="1:5" s="1777" customFormat="1">
      <c r="A227" s="1895"/>
      <c r="C227" s="1896"/>
      <c r="E227" s="1895"/>
    </row>
    <row r="228" spans="1:5" s="1777" customFormat="1">
      <c r="A228" s="1895"/>
      <c r="C228" s="1896"/>
      <c r="E228" s="1895"/>
    </row>
  </sheetData>
  <sheetProtection password="CEE9" sheet="1" objects="1" scenarios="1" formatCells="0" formatColumns="0" formatRows="0"/>
  <phoneticPr fontId="231" type="noConversion"/>
  <dataValidations count="1">
    <dataValidation type="list" allowBlank="1" showInputMessage="1" showErrorMessage="1" sqref="B1 C7:K7" xr:uid="{00000000-0002-0000-14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890</v>
      </c>
      <c r="B1" s="536"/>
      <c r="C1" s="203" t="s">
        <v>1131</v>
      </c>
      <c r="D1" s="1664" t="s">
        <v>892</v>
      </c>
      <c r="E1" s="1665"/>
      <c r="F1" s="718"/>
      <c r="G1" s="1665"/>
      <c r="H1" s="1665"/>
      <c r="I1" s="1665"/>
      <c r="J1" s="1665"/>
      <c r="K1" s="1727"/>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1666" t="e">
        <f>F63</f>
        <v>#DIV/0!</v>
      </c>
      <c r="C2" s="1667"/>
      <c r="D2" s="1667"/>
      <c r="E2" s="1667"/>
      <c r="F2" s="1668"/>
      <c r="G2" s="1667"/>
      <c r="H2" s="1667"/>
      <c r="I2" s="1667"/>
      <c r="J2" s="1667"/>
      <c r="K2" s="1728"/>
      <c r="L2" s="380"/>
      <c r="M2" s="378"/>
      <c r="N2" s="378"/>
      <c r="O2" s="378"/>
      <c r="P2" s="378"/>
      <c r="Q2" s="378"/>
      <c r="R2" s="378"/>
      <c r="S2" s="378"/>
      <c r="T2" s="378"/>
      <c r="U2" s="378"/>
      <c r="V2" s="378"/>
      <c r="W2" s="378"/>
      <c r="X2" s="378"/>
      <c r="Y2" s="378"/>
      <c r="Z2" s="378"/>
      <c r="AA2" s="378"/>
      <c r="AB2" s="378"/>
      <c r="AC2" s="467"/>
    </row>
    <row r="3" spans="1:29" s="192" customFormat="1" ht="28.5" customHeight="1">
      <c r="A3" s="1669" t="s">
        <v>894</v>
      </c>
      <c r="B3" s="214" t="e">
        <f>ROUND(B2*10000/'数据-汇总表'!E3,0)</f>
        <v>#DIV/0!</v>
      </c>
      <c r="C3" s="632"/>
      <c r="D3" s="632"/>
      <c r="E3" s="632"/>
      <c r="F3" s="632"/>
      <c r="G3" s="1667"/>
      <c r="H3" s="1667"/>
      <c r="I3" s="1667"/>
      <c r="J3" s="1667"/>
      <c r="K3" s="1728"/>
      <c r="L3" s="380"/>
      <c r="M3" s="378"/>
      <c r="N3" s="378"/>
      <c r="O3" s="378"/>
      <c r="P3" s="378"/>
      <c r="Q3" s="378"/>
      <c r="R3" s="378"/>
      <c r="S3" s="378"/>
      <c r="T3" s="378"/>
      <c r="U3" s="378"/>
      <c r="V3" s="378"/>
      <c r="W3" s="378"/>
      <c r="X3" s="378"/>
      <c r="Y3" s="378"/>
      <c r="Z3" s="378"/>
      <c r="AA3" s="378"/>
      <c r="AB3" s="469"/>
      <c r="AC3" s="469"/>
    </row>
    <row r="4" spans="1:29" s="192" customFormat="1" ht="28.5" customHeight="1">
      <c r="A4" s="1670" t="s">
        <v>895</v>
      </c>
      <c r="B4" s="631" t="e">
        <f>IF(B43="单位面积地价",C45,ROUND(B2*10000/'数据-汇总表'!D3,0))</f>
        <v>#DIV/0!</v>
      </c>
      <c r="C4" s="632"/>
      <c r="D4" s="632"/>
      <c r="E4" s="632"/>
      <c r="F4" s="632"/>
      <c r="G4" s="1667"/>
      <c r="H4" s="1667"/>
      <c r="I4" s="1667"/>
      <c r="J4" s="1667"/>
      <c r="K4" s="1728"/>
      <c r="L4" s="380"/>
      <c r="M4" s="378"/>
      <c r="N4" s="378"/>
      <c r="O4" s="378"/>
      <c r="P4" s="378"/>
      <c r="Q4" s="378"/>
      <c r="R4" s="378"/>
      <c r="S4" s="378"/>
      <c r="T4" s="378"/>
      <c r="U4" s="378"/>
      <c r="V4" s="378"/>
      <c r="W4" s="378"/>
      <c r="X4" s="378"/>
      <c r="Y4" s="378"/>
      <c r="Z4" s="378"/>
      <c r="AA4" s="378"/>
      <c r="AB4" s="378"/>
      <c r="AC4" s="469"/>
    </row>
    <row r="5" spans="1:29" s="192" customFormat="1" ht="28.5" customHeight="1">
      <c r="A5" s="633"/>
      <c r="B5" s="634" t="e">
        <f>ROUND(B2/('数据-汇总表'!D3/666.67),0)</f>
        <v>#DIV/0!</v>
      </c>
      <c r="C5" s="635" t="s">
        <v>896</v>
      </c>
      <c r="D5" s="632"/>
      <c r="E5" s="632"/>
      <c r="F5" s="632"/>
      <c r="G5" s="1667"/>
      <c r="H5" s="1667"/>
      <c r="I5" s="1667"/>
      <c r="J5" s="1667"/>
      <c r="K5" s="1728"/>
      <c r="L5" s="380"/>
      <c r="M5" s="378"/>
      <c r="N5" s="378"/>
      <c r="O5" s="378"/>
      <c r="P5" s="378"/>
      <c r="Q5" s="378"/>
      <c r="R5" s="378"/>
      <c r="S5" s="378"/>
      <c r="T5" s="378"/>
      <c r="U5" s="378"/>
      <c r="V5" s="378"/>
      <c r="W5" s="378"/>
      <c r="X5" s="378"/>
      <c r="Y5" s="378"/>
      <c r="Z5" s="378"/>
      <c r="AA5" s="378"/>
      <c r="AB5" s="468"/>
      <c r="AC5" s="469"/>
    </row>
    <row r="6" spans="1:29" ht="15">
      <c r="A6" s="217" t="s">
        <v>897</v>
      </c>
      <c r="B6" s="218"/>
      <c r="C6" s="3686" t="s">
        <v>898</v>
      </c>
      <c r="D6" s="3687"/>
      <c r="E6" s="3777" t="s">
        <v>899</v>
      </c>
      <c r="F6" s="3778"/>
      <c r="G6" s="3686" t="s">
        <v>900</v>
      </c>
      <c r="H6" s="3687"/>
      <c r="I6" s="3686" t="s">
        <v>901</v>
      </c>
      <c r="J6" s="3687"/>
      <c r="K6" s="381" t="s">
        <v>902</v>
      </c>
      <c r="L6" s="382"/>
      <c r="M6" s="383"/>
      <c r="N6" s="383"/>
      <c r="O6" s="383"/>
      <c r="P6" s="3652" t="s">
        <v>903</v>
      </c>
      <c r="Q6" s="3653"/>
      <c r="R6" s="3658" t="s">
        <v>899</v>
      </c>
      <c r="S6" s="3659"/>
      <c r="T6" s="3658" t="s">
        <v>900</v>
      </c>
      <c r="U6" s="3659"/>
      <c r="V6" s="3664" t="s">
        <v>901</v>
      </c>
      <c r="W6" s="3664"/>
      <c r="X6" s="450"/>
      <c r="Y6" s="3658" t="s">
        <v>903</v>
      </c>
      <c r="Z6" s="3659"/>
      <c r="AA6" s="3649" t="s">
        <v>899</v>
      </c>
      <c r="AB6" s="3650" t="s">
        <v>900</v>
      </c>
      <c r="AC6" s="3649" t="s">
        <v>901</v>
      </c>
    </row>
    <row r="7" spans="1:29" ht="15">
      <c r="A7" s="219"/>
      <c r="B7" s="220"/>
      <c r="C7" s="3688" t="s">
        <v>904</v>
      </c>
      <c r="D7" s="3689"/>
      <c r="E7" s="3788" t="s">
        <v>905</v>
      </c>
      <c r="F7" s="3780"/>
      <c r="G7" s="3688" t="s">
        <v>906</v>
      </c>
      <c r="H7" s="3689"/>
      <c r="I7" s="3688" t="s">
        <v>907</v>
      </c>
      <c r="J7" s="3689"/>
      <c r="K7" s="381"/>
      <c r="L7" s="382"/>
      <c r="M7" s="383"/>
      <c r="N7" s="383"/>
      <c r="O7" s="383"/>
      <c r="P7" s="3654"/>
      <c r="Q7" s="3655"/>
      <c r="R7" s="3660"/>
      <c r="S7" s="3661"/>
      <c r="T7" s="3660"/>
      <c r="U7" s="3661"/>
      <c r="V7" s="3664"/>
      <c r="W7" s="3664"/>
      <c r="X7" s="450"/>
      <c r="Y7" s="3660"/>
      <c r="Z7" s="3661"/>
      <c r="AA7" s="3650"/>
      <c r="AB7" s="3650"/>
      <c r="AC7" s="3650"/>
    </row>
    <row r="8" spans="1:29" ht="15">
      <c r="A8" s="221"/>
      <c r="B8" s="222"/>
      <c r="C8" s="3683" t="s">
        <v>908</v>
      </c>
      <c r="D8" s="3684"/>
      <c r="E8" s="3775" t="s">
        <v>908</v>
      </c>
      <c r="F8" s="3776"/>
      <c r="G8" s="3683" t="s">
        <v>908</v>
      </c>
      <c r="H8" s="3684"/>
      <c r="I8" s="3683" t="s">
        <v>908</v>
      </c>
      <c r="J8" s="3684"/>
      <c r="K8" s="381" t="s">
        <v>909</v>
      </c>
      <c r="L8" s="382"/>
      <c r="M8" s="383"/>
      <c r="N8" s="383"/>
      <c r="O8" s="383"/>
      <c r="P8" s="3656"/>
      <c r="Q8" s="3657"/>
      <c r="R8" s="3660"/>
      <c r="S8" s="3661"/>
      <c r="T8" s="3662"/>
      <c r="U8" s="3663"/>
      <c r="V8" s="3664"/>
      <c r="W8" s="3664"/>
      <c r="X8" s="450"/>
      <c r="Y8" s="3662"/>
      <c r="Z8" s="3663"/>
      <c r="AA8" s="3651"/>
      <c r="AB8" s="3651"/>
      <c r="AC8" s="3651"/>
    </row>
    <row r="9" spans="1:29" s="193" customFormat="1" ht="15">
      <c r="A9" s="223"/>
      <c r="B9" s="224" t="s">
        <v>910</v>
      </c>
      <c r="C9" s="225">
        <f>'数据-取费表'!B2</f>
        <v>44484</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679" t="s">
        <v>911</v>
      </c>
      <c r="Q9" s="3685"/>
      <c r="R9" s="451" t="s">
        <v>912</v>
      </c>
      <c r="S9" s="452">
        <f t="shared" ref="S9:S17" si="0">F9</f>
        <v>0</v>
      </c>
      <c r="T9" s="451" t="s">
        <v>912</v>
      </c>
      <c r="U9" s="452">
        <f t="shared" ref="U9:U17" si="1">H9</f>
        <v>0</v>
      </c>
      <c r="V9" s="451" t="s">
        <v>912</v>
      </c>
      <c r="W9" s="452">
        <f t="shared" ref="W9:W17" si="2">J9</f>
        <v>0</v>
      </c>
      <c r="X9" s="453"/>
      <c r="Y9" s="3679" t="s">
        <v>911</v>
      </c>
      <c r="Z9" s="3680"/>
      <c r="AA9" s="470" t="e">
        <f>D9/F9</f>
        <v>#DIV/0!</v>
      </c>
      <c r="AB9" s="470" t="e">
        <f>D9/H9</f>
        <v>#DIV/0!</v>
      </c>
      <c r="AC9" s="470" t="e">
        <f>D9/J9</f>
        <v>#DIV/0!</v>
      </c>
    </row>
    <row r="10" spans="1:29" s="193" customFormat="1" ht="15">
      <c r="A10" s="230"/>
      <c r="B10" s="231" t="s">
        <v>913</v>
      </c>
      <c r="C10" s="232" t="s">
        <v>914</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679" t="s">
        <v>915</v>
      </c>
      <c r="Q10" s="3680"/>
      <c r="R10" s="451" t="s">
        <v>912</v>
      </c>
      <c r="S10" s="452">
        <f t="shared" si="0"/>
        <v>0</v>
      </c>
      <c r="T10" s="451" t="s">
        <v>912</v>
      </c>
      <c r="U10" s="452">
        <f t="shared" si="1"/>
        <v>0</v>
      </c>
      <c r="V10" s="451" t="s">
        <v>912</v>
      </c>
      <c r="W10" s="452">
        <f t="shared" si="2"/>
        <v>0</v>
      </c>
      <c r="X10" s="453"/>
      <c r="Y10" s="3679" t="s">
        <v>915</v>
      </c>
      <c r="Z10" s="3680"/>
      <c r="AA10" s="470" t="e">
        <f t="shared" ref="AA10:AA42" si="3">D10/F10</f>
        <v>#DIV/0!</v>
      </c>
      <c r="AB10" s="470" t="e">
        <f t="shared" ref="AB10:AB42" si="4">D10/H10</f>
        <v>#DIV/0!</v>
      </c>
      <c r="AC10" s="470" t="e">
        <f t="shared" ref="AC10:AC42" si="5">D10/J10</f>
        <v>#DIV/0!</v>
      </c>
    </row>
    <row r="11" spans="1:29" s="193" customFormat="1" ht="15">
      <c r="A11" s="233"/>
      <c r="B11" s="234" t="s">
        <v>916</v>
      </c>
      <c r="C11" s="1671"/>
      <c r="D11" s="236">
        <v>100</v>
      </c>
      <c r="E11" s="1671"/>
      <c r="F11" s="236">
        <f>SUMIF(72:72,E11,73:73)-SUMIF(72:72,C11,73:73)+100</f>
        <v>100</v>
      </c>
      <c r="G11" s="1671"/>
      <c r="H11" s="236">
        <f>SUMIF(72:72,G11,73:73)-SUMIF(72:72,C11,73:73)+100</f>
        <v>100</v>
      </c>
      <c r="I11" s="1671"/>
      <c r="J11" s="236">
        <f>SUMIF(72:72,I11,73:73)-SUMIF(72:72,C11,73:73)+100</f>
        <v>100</v>
      </c>
      <c r="K11" s="384"/>
      <c r="L11" s="385"/>
      <c r="M11" s="386"/>
      <c r="N11" s="386"/>
      <c r="O11" s="387"/>
      <c r="P11" s="3666" t="s">
        <v>917</v>
      </c>
      <c r="Q11" s="454" t="str">
        <f t="shared" ref="Q11:Q17" si="6">B11</f>
        <v>用途</v>
      </c>
      <c r="R11" s="451" t="s">
        <v>912</v>
      </c>
      <c r="S11" s="452">
        <f t="shared" si="0"/>
        <v>100</v>
      </c>
      <c r="T11" s="451" t="s">
        <v>912</v>
      </c>
      <c r="U11" s="452">
        <f t="shared" si="1"/>
        <v>100</v>
      </c>
      <c r="V11" s="451" t="s">
        <v>912</v>
      </c>
      <c r="W11" s="452">
        <f t="shared" si="2"/>
        <v>100</v>
      </c>
      <c r="X11" s="453"/>
      <c r="Y11" s="3635" t="s">
        <v>918</v>
      </c>
      <c r="Z11" s="471" t="str">
        <f t="shared" ref="Z11:Z17" si="7">Q11</f>
        <v>用途</v>
      </c>
      <c r="AA11" s="470">
        <f t="shared" si="3"/>
        <v>1</v>
      </c>
      <c r="AB11" s="470">
        <f t="shared" si="4"/>
        <v>1</v>
      </c>
      <c r="AC11" s="470">
        <f t="shared" si="5"/>
        <v>1</v>
      </c>
    </row>
    <row r="12" spans="1:29" s="194" customFormat="1" ht="27">
      <c r="A12" s="238"/>
      <c r="B12" s="231" t="s">
        <v>919</v>
      </c>
      <c r="C12" s="244"/>
      <c r="D12" s="240">
        <v>100</v>
      </c>
      <c r="E12" s="244"/>
      <c r="F12" s="240">
        <f ca="1">ROUND(100/'数据-取费表'!G16,0)</f>
        <v>100</v>
      </c>
      <c r="G12" s="244"/>
      <c r="H12" s="240">
        <f ca="1">ROUND(100/'数据-取费表'!G16,0)</f>
        <v>100</v>
      </c>
      <c r="I12" s="244"/>
      <c r="J12" s="240">
        <f ca="1">ROUND(100/'数据-取费表'!G16,0)</f>
        <v>100</v>
      </c>
      <c r="K12" s="1729"/>
      <c r="L12" s="390"/>
      <c r="M12" s="391"/>
      <c r="N12" s="391"/>
      <c r="O12" s="392"/>
      <c r="P12" s="3666"/>
      <c r="Q12" s="454" t="str">
        <f t="shared" si="6"/>
        <v>土地使用年限（年）</v>
      </c>
      <c r="R12" s="451" t="s">
        <v>912</v>
      </c>
      <c r="S12" s="452">
        <f t="shared" ca="1" si="0"/>
        <v>100</v>
      </c>
      <c r="T12" s="451" t="s">
        <v>912</v>
      </c>
      <c r="U12" s="452">
        <f t="shared" ca="1" si="1"/>
        <v>100</v>
      </c>
      <c r="V12" s="451" t="s">
        <v>912</v>
      </c>
      <c r="W12" s="452">
        <f t="shared" ca="1" si="2"/>
        <v>100</v>
      </c>
      <c r="X12" s="453"/>
      <c r="Y12" s="3635"/>
      <c r="Z12" s="471" t="str">
        <f t="shared" si="7"/>
        <v>土地使用年限（年）</v>
      </c>
      <c r="AA12" s="470">
        <f t="shared" ca="1" si="3"/>
        <v>1</v>
      </c>
      <c r="AB12" s="470">
        <f t="shared" ca="1" si="4"/>
        <v>1</v>
      </c>
      <c r="AC12" s="470">
        <f t="shared" ca="1" si="5"/>
        <v>1</v>
      </c>
    </row>
    <row r="13" spans="1:29" ht="15">
      <c r="A13" s="537"/>
      <c r="B13" s="231" t="s">
        <v>920</v>
      </c>
      <c r="C13" s="538"/>
      <c r="D13" s="240">
        <v>100</v>
      </c>
      <c r="E13" s="538"/>
      <c r="F13" s="240" t="e">
        <f>LOOKUP(E13,77:77,78:78)-LOOKUP(C13,77:77,78:78)+100</f>
        <v>#N/A</v>
      </c>
      <c r="G13" s="539"/>
      <c r="H13" s="240" t="e">
        <f>LOOKUP(G13,77:77,78:78)-LOOKUP(C13,77:77,78:78)+100</f>
        <v>#N/A</v>
      </c>
      <c r="I13" s="538"/>
      <c r="J13" s="240" t="e">
        <f>LOOKUP(I13,77:77,78:78)-LOOKUP(C13,77:77,78:78)+100</f>
        <v>#N/A</v>
      </c>
      <c r="K13" s="1730"/>
      <c r="L13" s="394"/>
      <c r="M13" s="383"/>
      <c r="N13" s="383"/>
      <c r="O13" s="395"/>
      <c r="P13" s="3666"/>
      <c r="Q13" s="454" t="str">
        <f t="shared" si="6"/>
        <v>容积率</v>
      </c>
      <c r="R13" s="451" t="s">
        <v>912</v>
      </c>
      <c r="S13" s="452" t="e">
        <f t="shared" si="0"/>
        <v>#N/A</v>
      </c>
      <c r="T13" s="451" t="s">
        <v>912</v>
      </c>
      <c r="U13" s="452" t="e">
        <f t="shared" si="1"/>
        <v>#N/A</v>
      </c>
      <c r="V13" s="451" t="s">
        <v>912</v>
      </c>
      <c r="W13" s="452" t="e">
        <f t="shared" si="2"/>
        <v>#N/A</v>
      </c>
      <c r="X13" s="453"/>
      <c r="Y13" s="3635"/>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1672"/>
      <c r="H14" s="240">
        <f>SUMIF(79:79,G14,80:80)-SUMIF(79:79,C14,80:80)+100</f>
        <v>100</v>
      </c>
      <c r="I14" s="366"/>
      <c r="J14" s="240">
        <f>SUMIF(79:79,I14,80:80)-SUMIF(79:79,C14,80:80)+100</f>
        <v>100</v>
      </c>
      <c r="K14" s="1729"/>
      <c r="L14" s="385"/>
      <c r="M14" s="386"/>
      <c r="N14" s="386"/>
      <c r="O14" s="387"/>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1672"/>
      <c r="H15" s="250">
        <f>SUMIF(81:81,G15,82:82)-SUMIF(81:81,C15,82:82)+100</f>
        <v>100</v>
      </c>
      <c r="I15" s="366"/>
      <c r="J15" s="250">
        <f>SUMIF(81:81,I15,82:82)-SUMIF(81:81,C15,82:82)+100</f>
        <v>100</v>
      </c>
      <c r="K15" s="1729"/>
      <c r="L15" s="396"/>
      <c r="M15" s="383"/>
      <c r="N15" s="383"/>
      <c r="O15" s="395"/>
      <c r="P15" s="3666"/>
      <c r="Q15" s="454">
        <f t="shared" si="6"/>
        <v>111</v>
      </c>
      <c r="R15" s="451" t="s">
        <v>912</v>
      </c>
      <c r="S15" s="452">
        <f t="shared" si="0"/>
        <v>100</v>
      </c>
      <c r="T15" s="451" t="s">
        <v>912</v>
      </c>
      <c r="U15" s="452">
        <f t="shared" si="1"/>
        <v>100</v>
      </c>
      <c r="V15" s="451" t="s">
        <v>912</v>
      </c>
      <c r="W15" s="452">
        <f t="shared" si="2"/>
        <v>100</v>
      </c>
      <c r="X15" s="453"/>
      <c r="Y15" s="3635"/>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1672"/>
      <c r="H16" s="303">
        <f>SUMIF(83:83,G16,84:84)-SUMIF(83:83,C16,84:84)+100</f>
        <v>100</v>
      </c>
      <c r="I16" s="366"/>
      <c r="J16" s="303">
        <f>SUMIF(83:83,I16,84:84)-SUMIF(83:83,C16,84:84)+100</f>
        <v>100</v>
      </c>
      <c r="K16" s="1729"/>
      <c r="L16" s="396"/>
      <c r="M16" s="383"/>
      <c r="N16" s="383"/>
      <c r="O16" s="395"/>
      <c r="P16" s="3666"/>
      <c r="Q16" s="454">
        <f t="shared" si="6"/>
        <v>111</v>
      </c>
      <c r="R16" s="451" t="s">
        <v>912</v>
      </c>
      <c r="S16" s="452">
        <f t="shared" si="0"/>
        <v>100</v>
      </c>
      <c r="T16" s="451" t="s">
        <v>912</v>
      </c>
      <c r="U16" s="452">
        <f t="shared" si="1"/>
        <v>100</v>
      </c>
      <c r="V16" s="451" t="s">
        <v>912</v>
      </c>
      <c r="W16" s="452">
        <f t="shared" si="2"/>
        <v>100</v>
      </c>
      <c r="X16" s="453"/>
      <c r="Y16" s="3635"/>
      <c r="Z16" s="471">
        <f t="shared" si="7"/>
        <v>111</v>
      </c>
      <c r="AA16" s="470">
        <f t="shared" si="3"/>
        <v>1</v>
      </c>
      <c r="AB16" s="470">
        <f t="shared" si="4"/>
        <v>1</v>
      </c>
      <c r="AC16" s="470">
        <f t="shared" si="5"/>
        <v>1</v>
      </c>
    </row>
    <row r="17" spans="1:29" ht="57">
      <c r="A17" s="251" t="s">
        <v>922</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1730"/>
      <c r="L17" s="396"/>
      <c r="M17" s="383"/>
      <c r="N17" s="383"/>
      <c r="O17" s="395"/>
      <c r="P17" s="3667" t="s">
        <v>923</v>
      </c>
      <c r="Q17" s="388" t="str">
        <f t="shared" si="6"/>
        <v>产业集聚程度</v>
      </c>
      <c r="R17" s="455" t="s">
        <v>912</v>
      </c>
      <c r="S17" s="456">
        <f t="shared" si="0"/>
        <v>100</v>
      </c>
      <c r="T17" s="455" t="s">
        <v>912</v>
      </c>
      <c r="U17" s="456">
        <f t="shared" si="1"/>
        <v>100</v>
      </c>
      <c r="V17" s="455" t="s">
        <v>912</v>
      </c>
      <c r="W17" s="456">
        <f t="shared" si="2"/>
        <v>100</v>
      </c>
      <c r="X17" s="450"/>
      <c r="Y17" s="3667" t="s">
        <v>923</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1729"/>
      <c r="L18" s="396"/>
      <c r="M18" s="383"/>
      <c r="N18" s="383"/>
      <c r="O18" s="395"/>
      <c r="P18" s="3668"/>
      <c r="Q18" s="388"/>
      <c r="R18" s="455"/>
      <c r="S18" s="456"/>
      <c r="T18" s="455"/>
      <c r="U18" s="456"/>
      <c r="V18" s="455"/>
      <c r="W18" s="456"/>
      <c r="X18" s="450"/>
      <c r="Y18" s="3668"/>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1730"/>
      <c r="L19" s="396"/>
      <c r="M19" s="383"/>
      <c r="N19" s="383"/>
      <c r="O19" s="395"/>
      <c r="P19" s="3668"/>
      <c r="Q19" s="388" t="str">
        <f>B19</f>
        <v>交通便捷度</v>
      </c>
      <c r="R19" s="455" t="s">
        <v>912</v>
      </c>
      <c r="S19" s="456">
        <f>F19</f>
        <v>100</v>
      </c>
      <c r="T19" s="455" t="s">
        <v>912</v>
      </c>
      <c r="U19" s="456">
        <f>H19</f>
        <v>100</v>
      </c>
      <c r="V19" s="455" t="s">
        <v>912</v>
      </c>
      <c r="W19" s="456">
        <f>J19</f>
        <v>100</v>
      </c>
      <c r="X19" s="450"/>
      <c r="Y19" s="3668"/>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1729"/>
      <c r="L20" s="396"/>
      <c r="M20" s="383"/>
      <c r="N20" s="383"/>
      <c r="O20" s="395"/>
      <c r="P20" s="3668"/>
      <c r="Q20" s="388"/>
      <c r="R20" s="455"/>
      <c r="S20" s="456"/>
      <c r="T20" s="455"/>
      <c r="U20" s="456"/>
      <c r="V20" s="455"/>
      <c r="W20" s="456"/>
      <c r="X20" s="450"/>
      <c r="Y20" s="3668"/>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1731"/>
      <c r="L21" s="396"/>
      <c r="M21" s="383"/>
      <c r="N21" s="383"/>
      <c r="O21" s="395"/>
      <c r="P21" s="3668"/>
      <c r="Q21" s="388" t="str">
        <f t="shared" ref="Q21:Q36" si="8">B21</f>
        <v>区域土地利用方向</v>
      </c>
      <c r="R21" s="455" t="s">
        <v>912</v>
      </c>
      <c r="S21" s="456">
        <f>F21</f>
        <v>100</v>
      </c>
      <c r="T21" s="455" t="s">
        <v>912</v>
      </c>
      <c r="U21" s="456">
        <f>H21</f>
        <v>100</v>
      </c>
      <c r="V21" s="455" t="s">
        <v>912</v>
      </c>
      <c r="W21" s="456">
        <f>J21</f>
        <v>100</v>
      </c>
      <c r="X21" s="450"/>
      <c r="Y21" s="3668"/>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1732"/>
      <c r="L22" s="396"/>
      <c r="M22" s="383"/>
      <c r="N22" s="383"/>
      <c r="O22" s="395"/>
      <c r="P22" s="3668"/>
      <c r="Q22" s="388"/>
      <c r="R22" s="455"/>
      <c r="S22" s="456"/>
      <c r="T22" s="455"/>
      <c r="U22" s="456"/>
      <c r="V22" s="455"/>
      <c r="W22" s="456"/>
      <c r="X22" s="450"/>
      <c r="Y22" s="3668"/>
      <c r="Z22" s="449"/>
      <c r="AA22" s="461"/>
      <c r="AB22" s="461"/>
      <c r="AC22" s="461"/>
    </row>
    <row r="23" spans="1:29" ht="71.25">
      <c r="A23" s="219"/>
      <c r="B23" s="545" t="s">
        <v>1132</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1730"/>
      <c r="L23" s="396"/>
      <c r="M23" s="383"/>
      <c r="N23" s="383"/>
      <c r="O23" s="395"/>
      <c r="P23" s="3668"/>
      <c r="Q23" s="388" t="str">
        <f t="shared" si="8"/>
        <v>环境状况</v>
      </c>
      <c r="R23" s="455" t="s">
        <v>912</v>
      </c>
      <c r="S23" s="456">
        <f>F23</f>
        <v>100</v>
      </c>
      <c r="T23" s="455" t="s">
        <v>912</v>
      </c>
      <c r="U23" s="456">
        <f>H23</f>
        <v>100</v>
      </c>
      <c r="V23" s="455" t="s">
        <v>912</v>
      </c>
      <c r="W23" s="456">
        <f>J23</f>
        <v>100</v>
      </c>
      <c r="X23" s="450"/>
      <c r="Y23" s="3668"/>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1729"/>
      <c r="L24" s="396"/>
      <c r="M24" s="383"/>
      <c r="N24" s="383"/>
      <c r="O24" s="395"/>
      <c r="P24" s="3668"/>
      <c r="Q24" s="388"/>
      <c r="R24" s="455"/>
      <c r="S24" s="456"/>
      <c r="T24" s="455"/>
      <c r="U24" s="456"/>
      <c r="V24" s="455"/>
      <c r="W24" s="456"/>
      <c r="X24" s="450"/>
      <c r="Y24" s="3668"/>
      <c r="Z24" s="449"/>
      <c r="AA24" s="461">
        <v>1</v>
      </c>
      <c r="AB24" s="461">
        <v>1</v>
      </c>
      <c r="AC24" s="461">
        <v>1</v>
      </c>
    </row>
    <row r="25" spans="1:29" s="193" customFormat="1" ht="42.75">
      <c r="A25" s="509"/>
      <c r="B25" s="60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1730"/>
      <c r="L25" s="385"/>
      <c r="M25" s="386"/>
      <c r="N25" s="386"/>
      <c r="O25" s="387"/>
      <c r="P25" s="3668"/>
      <c r="Q25" s="454" t="str">
        <f t="shared" si="8"/>
        <v>公共配套设施</v>
      </c>
      <c r="R25" s="451" t="s">
        <v>912</v>
      </c>
      <c r="S25" s="452">
        <f>F25</f>
        <v>100</v>
      </c>
      <c r="T25" s="451" t="s">
        <v>912</v>
      </c>
      <c r="U25" s="452">
        <f>H25</f>
        <v>100</v>
      </c>
      <c r="V25" s="451" t="s">
        <v>912</v>
      </c>
      <c r="W25" s="452">
        <f>J25</f>
        <v>100</v>
      </c>
      <c r="X25" s="453"/>
      <c r="Y25" s="3668"/>
      <c r="Z25" s="471" t="str">
        <f>Q25</f>
        <v>公共配套设施</v>
      </c>
      <c r="AA25" s="461">
        <f>D25/F25</f>
        <v>1</v>
      </c>
      <c r="AB25" s="461">
        <f>D25/H25</f>
        <v>1</v>
      </c>
      <c r="AC25" s="461">
        <f>D25/J25</f>
        <v>1</v>
      </c>
    </row>
    <row r="26" spans="1:29" s="193" customFormat="1" ht="15">
      <c r="A26" s="509"/>
      <c r="B26" s="278"/>
      <c r="C26" s="1673"/>
      <c r="D26" s="261"/>
      <c r="E26" s="575"/>
      <c r="F26" s="261"/>
      <c r="G26" s="575"/>
      <c r="H26" s="261"/>
      <c r="I26" s="260"/>
      <c r="J26" s="261"/>
      <c r="K26" s="1729"/>
      <c r="L26" s="385"/>
      <c r="M26" s="386"/>
      <c r="N26" s="386"/>
      <c r="O26" s="387"/>
      <c r="P26" s="3668"/>
      <c r="Q26" s="454"/>
      <c r="R26" s="451"/>
      <c r="S26" s="452"/>
      <c r="T26" s="451"/>
      <c r="U26" s="452"/>
      <c r="V26" s="451"/>
      <c r="W26" s="452"/>
      <c r="X26" s="453"/>
      <c r="Y26" s="3668"/>
      <c r="Z26" s="471"/>
      <c r="AA26" s="470">
        <v>1</v>
      </c>
      <c r="AB26" s="470">
        <v>1</v>
      </c>
      <c r="AC26" s="470">
        <v>1</v>
      </c>
    </row>
    <row r="27" spans="1:29" s="193" customFormat="1" ht="28.5">
      <c r="A27" s="509"/>
      <c r="B27" s="60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1730"/>
      <c r="L27" s="385"/>
      <c r="M27" s="386"/>
      <c r="N27" s="386"/>
      <c r="O27" s="387"/>
      <c r="P27" s="3668"/>
      <c r="Q27" s="454" t="str">
        <f t="shared" ref="Q27" si="9">B27</f>
        <v>基础设施水平</v>
      </c>
      <c r="R27" s="451" t="s">
        <v>912</v>
      </c>
      <c r="S27" s="452">
        <f>F27</f>
        <v>100</v>
      </c>
      <c r="T27" s="451" t="s">
        <v>912</v>
      </c>
      <c r="U27" s="452">
        <f>H27</f>
        <v>100</v>
      </c>
      <c r="V27" s="451" t="s">
        <v>912</v>
      </c>
      <c r="W27" s="452">
        <f>J27</f>
        <v>100</v>
      </c>
      <c r="X27" s="453"/>
      <c r="Y27" s="3668"/>
      <c r="Z27" s="471" t="str">
        <f>Q27</f>
        <v>基础设施水平</v>
      </c>
      <c r="AA27" s="461">
        <f>D27/F27</f>
        <v>1</v>
      </c>
      <c r="AB27" s="461">
        <f>D27/H27</f>
        <v>1</v>
      </c>
      <c r="AC27" s="461">
        <f>D27/J27</f>
        <v>1</v>
      </c>
    </row>
    <row r="28" spans="1:29" s="193" customFormat="1" ht="15">
      <c r="A28" s="509"/>
      <c r="B28" s="278"/>
      <c r="C28" s="1673"/>
      <c r="D28" s="261"/>
      <c r="E28" s="1674"/>
      <c r="F28" s="261"/>
      <c r="G28" s="1674"/>
      <c r="H28" s="261"/>
      <c r="I28" s="1674"/>
      <c r="J28" s="261"/>
      <c r="K28" s="1729"/>
      <c r="L28" s="385"/>
      <c r="M28" s="386"/>
      <c r="N28" s="386"/>
      <c r="O28" s="387"/>
      <c r="P28" s="3668"/>
      <c r="Q28" s="454"/>
      <c r="R28" s="451"/>
      <c r="S28" s="452"/>
      <c r="T28" s="451"/>
      <c r="U28" s="452"/>
      <c r="V28" s="451"/>
      <c r="W28" s="452"/>
      <c r="X28" s="453"/>
      <c r="Y28" s="3668"/>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1730"/>
      <c r="L29" s="396"/>
      <c r="M29" s="383"/>
      <c r="N29" s="383"/>
      <c r="O29" s="395"/>
      <c r="P29" s="3668"/>
      <c r="Q29" s="388" t="str">
        <f t="shared" si="8"/>
        <v>临街状况</v>
      </c>
      <c r="R29" s="455" t="s">
        <v>912</v>
      </c>
      <c r="S29" s="456">
        <f t="shared" ref="S29:S42" si="10">F29</f>
        <v>100</v>
      </c>
      <c r="T29" s="455" t="s">
        <v>912</v>
      </c>
      <c r="U29" s="456">
        <f t="shared" ref="U29:U42" si="11">H29</f>
        <v>100</v>
      </c>
      <c r="V29" s="455" t="s">
        <v>912</v>
      </c>
      <c r="W29" s="456">
        <f t="shared" ref="W29:W42" si="12">J29</f>
        <v>100</v>
      </c>
      <c r="X29" s="450"/>
      <c r="Y29" s="3668"/>
      <c r="Z29" s="449" t="str">
        <f t="shared" ref="Z29:Z42" si="13">Q29</f>
        <v>临街状况</v>
      </c>
      <c r="AA29" s="461">
        <f t="shared" si="3"/>
        <v>1</v>
      </c>
      <c r="AB29" s="461">
        <f t="shared" si="4"/>
        <v>1</v>
      </c>
      <c r="AC29" s="461">
        <f t="shared" si="5"/>
        <v>1</v>
      </c>
    </row>
    <row r="30" spans="1:29" ht="27">
      <c r="A30" s="258"/>
      <c r="B30" s="545" t="s">
        <v>925</v>
      </c>
      <c r="C30" s="1675">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1730"/>
      <c r="L30" s="396"/>
      <c r="M30" s="383"/>
      <c r="N30" s="383"/>
      <c r="O30" s="395"/>
      <c r="P30" s="3668"/>
      <c r="Q30" s="388" t="str">
        <f t="shared" si="8"/>
        <v>毗邻道路的类型与等级</v>
      </c>
      <c r="R30" s="455" t="s">
        <v>912</v>
      </c>
      <c r="S30" s="456">
        <f t="shared" si="10"/>
        <v>100</v>
      </c>
      <c r="T30" s="455" t="s">
        <v>912</v>
      </c>
      <c r="U30" s="456">
        <f t="shared" si="11"/>
        <v>100</v>
      </c>
      <c r="V30" s="455" t="s">
        <v>912</v>
      </c>
      <c r="W30" s="456">
        <f t="shared" si="12"/>
        <v>100</v>
      </c>
      <c r="X30" s="450"/>
      <c r="Y30" s="3668"/>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668"/>
      <c r="Q31" s="388"/>
      <c r="R31" s="455"/>
      <c r="S31" s="456"/>
      <c r="T31" s="455"/>
      <c r="U31" s="456"/>
      <c r="V31" s="455"/>
      <c r="W31" s="456"/>
      <c r="X31" s="450"/>
      <c r="Y31" s="3668"/>
      <c r="Z31" s="449"/>
      <c r="AA31" s="461">
        <v>1</v>
      </c>
      <c r="AB31" s="461">
        <v>1</v>
      </c>
      <c r="AC31" s="461">
        <v>1</v>
      </c>
    </row>
    <row r="32" spans="1:29" ht="15">
      <c r="A32" s="258"/>
      <c r="B32" s="292" t="s">
        <v>926</v>
      </c>
      <c r="C32" s="1676">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668"/>
      <c r="Q32" s="388" t="str">
        <f t="shared" si="8"/>
        <v>土地级别</v>
      </c>
      <c r="R32" s="455" t="s">
        <v>912</v>
      </c>
      <c r="S32" s="456">
        <f t="shared" si="10"/>
        <v>100</v>
      </c>
      <c r="T32" s="455" t="s">
        <v>912</v>
      </c>
      <c r="U32" s="456">
        <f t="shared" si="11"/>
        <v>100</v>
      </c>
      <c r="V32" s="455" t="s">
        <v>912</v>
      </c>
      <c r="W32" s="456">
        <f t="shared" si="12"/>
        <v>100</v>
      </c>
      <c r="X32" s="450"/>
      <c r="Y32" s="3668"/>
      <c r="Z32" s="449" t="str">
        <f t="shared" si="13"/>
        <v>土地级别</v>
      </c>
      <c r="AA32" s="461">
        <f t="shared" si="3"/>
        <v>1</v>
      </c>
      <c r="AB32" s="461">
        <f t="shared" si="4"/>
        <v>1</v>
      </c>
      <c r="AC32" s="461">
        <f t="shared" si="5"/>
        <v>1</v>
      </c>
    </row>
    <row r="33" spans="1:29" ht="15">
      <c r="A33" s="219"/>
      <c r="B33" s="546">
        <v>111</v>
      </c>
      <c r="C33" s="1672"/>
      <c r="D33" s="250">
        <v>100</v>
      </c>
      <c r="E33" s="1677"/>
      <c r="F33" s="250">
        <f>SUMIF(103:103,E33,104:104)-SUMIF(103:103,C33,104:104)+100</f>
        <v>100</v>
      </c>
      <c r="G33" s="1677"/>
      <c r="H33" s="250">
        <f>SUMIF(103:103,G33,104:104)-SUMIF(103:103,C33,104:104)+100</f>
        <v>100</v>
      </c>
      <c r="I33" s="366"/>
      <c r="J33" s="250">
        <f>SUMIF(103:103,I33,104:104)-SUMIF(103:103,C33,104:104)+100</f>
        <v>100</v>
      </c>
      <c r="K33" s="393"/>
      <c r="L33" s="396"/>
      <c r="M33" s="383"/>
      <c r="N33" s="383"/>
      <c r="O33" s="395"/>
      <c r="P33" s="3668"/>
      <c r="Q33" s="388">
        <f t="shared" si="8"/>
        <v>111</v>
      </c>
      <c r="R33" s="455" t="s">
        <v>912</v>
      </c>
      <c r="S33" s="456">
        <f t="shared" si="10"/>
        <v>100</v>
      </c>
      <c r="T33" s="455" t="s">
        <v>912</v>
      </c>
      <c r="U33" s="456">
        <f t="shared" si="11"/>
        <v>100</v>
      </c>
      <c r="V33" s="455" t="s">
        <v>912</v>
      </c>
      <c r="W33" s="456">
        <f t="shared" si="12"/>
        <v>100</v>
      </c>
      <c r="X33" s="450"/>
      <c r="Y33" s="3668"/>
      <c r="Z33" s="449">
        <f t="shared" si="13"/>
        <v>111</v>
      </c>
      <c r="AA33" s="461">
        <f t="shared" si="3"/>
        <v>1</v>
      </c>
      <c r="AB33" s="461">
        <f t="shared" si="4"/>
        <v>1</v>
      </c>
      <c r="AC33" s="461">
        <f t="shared" si="5"/>
        <v>1</v>
      </c>
    </row>
    <row r="34" spans="1:29" ht="15">
      <c r="A34" s="1678"/>
      <c r="B34" s="1679">
        <v>111</v>
      </c>
      <c r="C34" s="1672"/>
      <c r="D34" s="250">
        <v>100</v>
      </c>
      <c r="E34" s="1677"/>
      <c r="F34" s="250">
        <f>SUMIF(105:105,E35,106:106)-SUMIF(105:105,C35,106:106)+100</f>
        <v>100</v>
      </c>
      <c r="G34" s="1677"/>
      <c r="H34" s="250">
        <f>SUMIF(105:105,G34,106:106)-SUMIF(105:105,C34,106:106)+100</f>
        <v>100</v>
      </c>
      <c r="I34" s="1672"/>
      <c r="J34" s="250">
        <f>SUMIF(105:105,I34,106:106)-SUMIF(105:105,C34,106:106)+100</f>
        <v>100</v>
      </c>
      <c r="K34" s="393"/>
      <c r="L34" s="396"/>
      <c r="M34" s="383"/>
      <c r="N34" s="383"/>
      <c r="O34" s="395"/>
      <c r="P34" s="3669" t="s">
        <v>927</v>
      </c>
      <c r="Q34" s="388">
        <f t="shared" si="8"/>
        <v>111</v>
      </c>
      <c r="R34" s="455" t="s">
        <v>912</v>
      </c>
      <c r="S34" s="456">
        <f t="shared" si="10"/>
        <v>100</v>
      </c>
      <c r="T34" s="455" t="s">
        <v>912</v>
      </c>
      <c r="U34" s="456">
        <f t="shared" si="11"/>
        <v>100</v>
      </c>
      <c r="V34" s="455" t="s">
        <v>912</v>
      </c>
      <c r="W34" s="456">
        <f t="shared" si="12"/>
        <v>100</v>
      </c>
      <c r="X34" s="450"/>
      <c r="Y34" s="3670" t="s">
        <v>927</v>
      </c>
      <c r="Z34" s="449">
        <f t="shared" si="13"/>
        <v>111</v>
      </c>
      <c r="AA34" s="461">
        <f t="shared" si="3"/>
        <v>1</v>
      </c>
      <c r="AB34" s="461">
        <f t="shared" si="4"/>
        <v>1</v>
      </c>
      <c r="AC34" s="461">
        <f t="shared" si="5"/>
        <v>1</v>
      </c>
    </row>
    <row r="35" spans="1:29" s="195" customFormat="1" ht="15">
      <c r="A35" s="1680"/>
      <c r="B35" s="1681">
        <v>111</v>
      </c>
      <c r="C35" s="1682"/>
      <c r="D35" s="1683">
        <v>100</v>
      </c>
      <c r="E35" s="1684"/>
      <c r="F35" s="303">
        <f>SUMIF(107:107,E35,108:108)-SUMIF(107:107,C35,108:108)+100</f>
        <v>100</v>
      </c>
      <c r="G35" s="1684"/>
      <c r="H35" s="303">
        <f>SUMIF(107:107,G35,108:108)-SUMIF(107:107,C35,108:108)+100</f>
        <v>100</v>
      </c>
      <c r="I35" s="1682"/>
      <c r="J35" s="303">
        <f>SUMIF(107:107,I35,108:108)-SUMIF(107:107,C35,108:108)+100</f>
        <v>100</v>
      </c>
      <c r="K35" s="393"/>
      <c r="L35" s="394"/>
      <c r="M35" s="400"/>
      <c r="N35" s="400"/>
      <c r="O35" s="401"/>
      <c r="P35" s="3670"/>
      <c r="Q35" s="388">
        <f t="shared" si="8"/>
        <v>111</v>
      </c>
      <c r="R35" s="458" t="s">
        <v>912</v>
      </c>
      <c r="S35" s="459">
        <f t="shared" si="10"/>
        <v>100</v>
      </c>
      <c r="T35" s="458" t="s">
        <v>912</v>
      </c>
      <c r="U35" s="459">
        <f t="shared" si="11"/>
        <v>100</v>
      </c>
      <c r="V35" s="458" t="s">
        <v>912</v>
      </c>
      <c r="W35" s="459">
        <f t="shared" si="12"/>
        <v>100</v>
      </c>
      <c r="X35" s="460"/>
      <c r="Y35" s="3670"/>
      <c r="Z35" s="472">
        <f t="shared" si="13"/>
        <v>111</v>
      </c>
      <c r="AA35" s="461">
        <f t="shared" si="3"/>
        <v>1</v>
      </c>
      <c r="AB35" s="461">
        <f t="shared" si="4"/>
        <v>1</v>
      </c>
      <c r="AC35" s="461">
        <f t="shared" si="5"/>
        <v>1</v>
      </c>
    </row>
    <row r="36" spans="1:29" ht="15">
      <c r="A36" s="286" t="s">
        <v>928</v>
      </c>
      <c r="B36" s="278" t="s">
        <v>929</v>
      </c>
      <c r="C36" s="1685"/>
      <c r="D36" s="289">
        <v>100</v>
      </c>
      <c r="E36" s="1685"/>
      <c r="F36" s="289" t="e">
        <f>LOOKUP(E36,110:110,111:111)-LOOKUP(C36,110:110,111:111)+100</f>
        <v>#N/A</v>
      </c>
      <c r="G36" s="1685"/>
      <c r="H36" s="289" t="e">
        <f>LOOKUP(G36,110:110,111:111)-LOOKUP(C36,110:110,111:111)+100</f>
        <v>#N/A</v>
      </c>
      <c r="I36" s="357"/>
      <c r="J36" s="289" t="e">
        <f>LOOKUP(I36,110:110,111:111)-LOOKUP(C36,110:110,111:111)+100</f>
        <v>#N/A</v>
      </c>
      <c r="K36" s="393"/>
      <c r="L36" s="396"/>
      <c r="M36" s="383"/>
      <c r="N36" s="383"/>
      <c r="O36" s="395"/>
      <c r="P36" s="3670"/>
      <c r="Q36" s="388" t="str">
        <f t="shared" si="8"/>
        <v>宗地面积</v>
      </c>
      <c r="R36" s="455" t="s">
        <v>912</v>
      </c>
      <c r="S36" s="456" t="e">
        <f t="shared" si="10"/>
        <v>#N/A</v>
      </c>
      <c r="T36" s="455" t="s">
        <v>912</v>
      </c>
      <c r="U36" s="456" t="e">
        <f t="shared" si="11"/>
        <v>#N/A</v>
      </c>
      <c r="V36" s="455" t="s">
        <v>912</v>
      </c>
      <c r="W36" s="456" t="e">
        <f t="shared" si="12"/>
        <v>#N/A</v>
      </c>
      <c r="X36" s="450"/>
      <c r="Y36" s="3670"/>
      <c r="Z36" s="449" t="str">
        <f t="shared" si="13"/>
        <v>宗地面积</v>
      </c>
      <c r="AA36" s="461" t="e">
        <f t="shared" si="3"/>
        <v>#N/A</v>
      </c>
      <c r="AB36" s="461" t="e">
        <f t="shared" si="4"/>
        <v>#N/A</v>
      </c>
      <c r="AC36" s="461" t="e">
        <f t="shared" si="5"/>
        <v>#N/A</v>
      </c>
    </row>
    <row r="37" spans="1:29" ht="15">
      <c r="A37" s="296"/>
      <c r="B37" s="292" t="s">
        <v>930</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670"/>
      <c r="Q37" s="388" t="str">
        <f t="shared" ref="Q37:Q42" si="14">B37</f>
        <v>宗地形状</v>
      </c>
      <c r="R37" s="455" t="s">
        <v>912</v>
      </c>
      <c r="S37" s="456">
        <f t="shared" si="10"/>
        <v>100</v>
      </c>
      <c r="T37" s="455" t="s">
        <v>912</v>
      </c>
      <c r="U37" s="456">
        <f t="shared" si="11"/>
        <v>100</v>
      </c>
      <c r="V37" s="455" t="s">
        <v>912</v>
      </c>
      <c r="W37" s="456">
        <f t="shared" si="12"/>
        <v>100</v>
      </c>
      <c r="X37" s="450"/>
      <c r="Y37" s="3670"/>
      <c r="Z37" s="449" t="str">
        <f t="shared" si="13"/>
        <v>宗地形状</v>
      </c>
      <c r="AA37" s="461">
        <f t="shared" si="3"/>
        <v>1</v>
      </c>
      <c r="AB37" s="461">
        <f t="shared" si="4"/>
        <v>1</v>
      </c>
      <c r="AC37" s="461">
        <f t="shared" si="5"/>
        <v>1</v>
      </c>
    </row>
    <row r="38" spans="1:29" s="193" customFormat="1" ht="15">
      <c r="A38" s="299"/>
      <c r="B38" s="551" t="s">
        <v>932</v>
      </c>
      <c r="C38" s="1686"/>
      <c r="D38" s="240">
        <v>100</v>
      </c>
      <c r="E38" s="1686"/>
      <c r="F38" s="250">
        <f>SUMIF(114:114,E38,115:115)-SUMIF(114:114,C38,115:115)+100</f>
        <v>100</v>
      </c>
      <c r="G38" s="1686"/>
      <c r="H38" s="250">
        <f>SUMIF(114:114,G38,115:115)-SUMIF(114:114,C38,115:115)+100</f>
        <v>100</v>
      </c>
      <c r="I38" s="1686"/>
      <c r="J38" s="250">
        <f>SUMIF(114:114,I38,115:115)-SUMIF(114:114,C38,115:115)+100</f>
        <v>100</v>
      </c>
      <c r="K38" s="389"/>
      <c r="L38" s="385"/>
      <c r="M38" s="386"/>
      <c r="N38" s="386"/>
      <c r="O38" s="387"/>
      <c r="P38" s="3670"/>
      <c r="Q38" s="388" t="str">
        <f t="shared" si="14"/>
        <v>宗地开发程度</v>
      </c>
      <c r="R38" s="451" t="s">
        <v>912</v>
      </c>
      <c r="S38" s="452">
        <f t="shared" si="10"/>
        <v>100</v>
      </c>
      <c r="T38" s="451" t="s">
        <v>912</v>
      </c>
      <c r="U38" s="452">
        <f t="shared" si="11"/>
        <v>100</v>
      </c>
      <c r="V38" s="451" t="s">
        <v>912</v>
      </c>
      <c r="W38" s="452">
        <f t="shared" si="12"/>
        <v>100</v>
      </c>
      <c r="X38" s="453"/>
      <c r="Y38" s="3670"/>
      <c r="Z38" s="471" t="str">
        <f t="shared" si="13"/>
        <v>宗地开发程度</v>
      </c>
      <c r="AA38" s="470">
        <f t="shared" si="3"/>
        <v>1</v>
      </c>
      <c r="AB38" s="470">
        <f t="shared" si="4"/>
        <v>1</v>
      </c>
      <c r="AC38" s="470">
        <f t="shared" si="5"/>
        <v>1</v>
      </c>
    </row>
    <row r="39" spans="1:29" ht="15">
      <c r="A39" s="296"/>
      <c r="B39" s="292" t="s">
        <v>933</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0" t="s">
        <v>927</v>
      </c>
      <c r="Q39" s="388" t="str">
        <f t="shared" si="14"/>
        <v>工程地质条件</v>
      </c>
      <c r="R39" s="455" t="s">
        <v>912</v>
      </c>
      <c r="S39" s="456">
        <f t="shared" si="10"/>
        <v>100</v>
      </c>
      <c r="T39" s="455" t="s">
        <v>912</v>
      </c>
      <c r="U39" s="456">
        <f t="shared" si="11"/>
        <v>100</v>
      </c>
      <c r="V39" s="455" t="s">
        <v>912</v>
      </c>
      <c r="W39" s="456">
        <f t="shared" si="12"/>
        <v>100</v>
      </c>
      <c r="X39" s="450"/>
      <c r="Y39" s="3670" t="s">
        <v>927</v>
      </c>
      <c r="Z39" s="449" t="str">
        <f t="shared" si="13"/>
        <v>工程地质条件</v>
      </c>
      <c r="AA39" s="461">
        <f t="shared" si="3"/>
        <v>1</v>
      </c>
      <c r="AB39" s="461">
        <f t="shared" si="4"/>
        <v>1</v>
      </c>
      <c r="AC39" s="461">
        <f t="shared" si="5"/>
        <v>1</v>
      </c>
    </row>
    <row r="40" spans="1:29" ht="15">
      <c r="A40" s="296"/>
      <c r="B40" s="1679">
        <v>111</v>
      </c>
      <c r="C40" s="1672"/>
      <c r="D40" s="250">
        <v>100</v>
      </c>
      <c r="E40" s="1672"/>
      <c r="F40" s="250">
        <f>SUMIF(118:118,E40,119:119)-SUMIF(118:118,C40,119:119)+100</f>
        <v>100</v>
      </c>
      <c r="G40" s="1672"/>
      <c r="H40" s="250">
        <f>SUMIF(118:118,G40,119:119)-SUMIF(118:118,C40,119:119)+100</f>
        <v>100</v>
      </c>
      <c r="I40" s="366"/>
      <c r="J40" s="250">
        <f>SUMIF(118:118,I40,119:119)-SUMIF(118:118,C40,119:119)+100</f>
        <v>100</v>
      </c>
      <c r="K40" s="393"/>
      <c r="L40" s="396"/>
      <c r="M40" s="383"/>
      <c r="N40" s="383"/>
      <c r="O40" s="395"/>
      <c r="P40" s="3670"/>
      <c r="Q40" s="388">
        <f t="shared" si="14"/>
        <v>111</v>
      </c>
      <c r="R40" s="455" t="s">
        <v>912</v>
      </c>
      <c r="S40" s="456">
        <f t="shared" si="10"/>
        <v>100</v>
      </c>
      <c r="T40" s="455" t="s">
        <v>912</v>
      </c>
      <c r="U40" s="456">
        <f t="shared" si="11"/>
        <v>100</v>
      </c>
      <c r="V40" s="455" t="s">
        <v>912</v>
      </c>
      <c r="W40" s="456">
        <f t="shared" si="12"/>
        <v>100</v>
      </c>
      <c r="X40" s="450"/>
      <c r="Y40" s="3670"/>
      <c r="Z40" s="449">
        <f t="shared" si="13"/>
        <v>111</v>
      </c>
      <c r="AA40" s="461">
        <f t="shared" si="3"/>
        <v>1</v>
      </c>
      <c r="AB40" s="461">
        <f t="shared" si="4"/>
        <v>1</v>
      </c>
      <c r="AC40" s="461">
        <f t="shared" si="5"/>
        <v>1</v>
      </c>
    </row>
    <row r="41" spans="1:29" ht="15">
      <c r="A41" s="296"/>
      <c r="B41" s="1679">
        <v>111</v>
      </c>
      <c r="C41" s="1672"/>
      <c r="D41" s="250">
        <v>100</v>
      </c>
      <c r="E41" s="1672"/>
      <c r="F41" s="250">
        <f>SUMIF(120:120,E41,121:121)-SUMIF(120:120,C41,121:121)+100</f>
        <v>100</v>
      </c>
      <c r="G41" s="1672"/>
      <c r="H41" s="250">
        <f>SUMIF(120:120,G41,121:121)-SUMIF(120:120,C41,121:121)+100</f>
        <v>100</v>
      </c>
      <c r="I41" s="366"/>
      <c r="J41" s="250">
        <f>SUMIF(120:120,I41,121:121)-SUMIF(120:120,C41,121:121)+100</f>
        <v>100</v>
      </c>
      <c r="K41" s="393"/>
      <c r="L41" s="396"/>
      <c r="M41" s="383"/>
      <c r="N41" s="383"/>
      <c r="O41" s="395"/>
      <c r="P41" s="3670"/>
      <c r="Q41" s="388">
        <f t="shared" si="14"/>
        <v>111</v>
      </c>
      <c r="R41" s="455" t="s">
        <v>912</v>
      </c>
      <c r="S41" s="456">
        <f t="shared" si="10"/>
        <v>100</v>
      </c>
      <c r="T41" s="455" t="s">
        <v>912</v>
      </c>
      <c r="U41" s="456">
        <f t="shared" si="11"/>
        <v>100</v>
      </c>
      <c r="V41" s="455" t="s">
        <v>912</v>
      </c>
      <c r="W41" s="456">
        <f t="shared" si="12"/>
        <v>100</v>
      </c>
      <c r="X41" s="450"/>
      <c r="Y41" s="3670"/>
      <c r="Z41" s="449">
        <f t="shared" si="13"/>
        <v>111</v>
      </c>
      <c r="AA41" s="461">
        <f t="shared" si="3"/>
        <v>1</v>
      </c>
      <c r="AB41" s="461">
        <f t="shared" si="4"/>
        <v>1</v>
      </c>
      <c r="AC41" s="461">
        <f t="shared" si="5"/>
        <v>1</v>
      </c>
    </row>
    <row r="42" spans="1:29" s="195" customFormat="1" ht="15">
      <c r="A42" s="291"/>
      <c r="B42" s="1679">
        <v>111</v>
      </c>
      <c r="C42" s="1687"/>
      <c r="D42" s="1683">
        <v>100</v>
      </c>
      <c r="E42" s="1672"/>
      <c r="F42" s="303">
        <f>SUMIF(122:122,E42,123:123)-SUMIF(122:122,C42,123:123)+100</f>
        <v>100</v>
      </c>
      <c r="G42" s="1672"/>
      <c r="H42" s="303">
        <f>SUMIF(122:122,G42,123:123)-SUMIF(122:122,C42,123:123)+100</f>
        <v>100</v>
      </c>
      <c r="I42" s="366"/>
      <c r="J42" s="303">
        <f>SUMIF(122:122,I42,123:123)-SUMIF(122:122,C42,123:123)+100</f>
        <v>100</v>
      </c>
      <c r="K42" s="1733"/>
      <c r="L42" s="394"/>
      <c r="M42" s="400"/>
      <c r="N42" s="400"/>
      <c r="O42" s="401"/>
      <c r="P42" s="3670"/>
      <c r="Q42" s="388">
        <f t="shared" si="14"/>
        <v>111</v>
      </c>
      <c r="R42" s="458" t="s">
        <v>912</v>
      </c>
      <c r="S42" s="459">
        <f t="shared" si="10"/>
        <v>100</v>
      </c>
      <c r="T42" s="458" t="s">
        <v>912</v>
      </c>
      <c r="U42" s="459">
        <f t="shared" si="11"/>
        <v>100</v>
      </c>
      <c r="V42" s="458" t="s">
        <v>912</v>
      </c>
      <c r="W42" s="459">
        <f t="shared" si="12"/>
        <v>100</v>
      </c>
      <c r="X42" s="460"/>
      <c r="Y42" s="3670"/>
      <c r="Z42" s="472">
        <f t="shared" si="13"/>
        <v>111</v>
      </c>
      <c r="AA42" s="461">
        <f t="shared" si="3"/>
        <v>1</v>
      </c>
      <c r="AB42" s="461">
        <f t="shared" si="4"/>
        <v>1</v>
      </c>
      <c r="AC42" s="461">
        <f t="shared" si="5"/>
        <v>1</v>
      </c>
    </row>
    <row r="43" spans="1:29" ht="15">
      <c r="A43" s="306" t="s">
        <v>934</v>
      </c>
      <c r="B43" s="1688" t="s">
        <v>935</v>
      </c>
      <c r="C43" s="1689" t="s">
        <v>138</v>
      </c>
      <c r="D43" s="1690"/>
      <c r="E43" s="1691"/>
      <c r="F43" s="1692"/>
      <c r="G43" s="1693"/>
      <c r="H43" s="1694"/>
      <c r="I43" s="1691"/>
      <c r="J43" s="1694"/>
      <c r="K43" s="1734"/>
      <c r="L43" s="403"/>
      <c r="M43" s="383"/>
      <c r="N43" s="383"/>
      <c r="O43" s="334"/>
      <c r="P43" s="3666" t="str">
        <f>A43</f>
        <v>成交单价</v>
      </c>
      <c r="Q43" s="3666"/>
      <c r="R43" s="3664">
        <f>E43</f>
        <v>0</v>
      </c>
      <c r="S43" s="3664"/>
      <c r="T43" s="3664">
        <f>G43</f>
        <v>0</v>
      </c>
      <c r="U43" s="3664"/>
      <c r="V43" s="3664">
        <f>I43</f>
        <v>0</v>
      </c>
      <c r="W43" s="3664"/>
      <c r="X43" s="336"/>
      <c r="Y43" s="473"/>
      <c r="Z43" s="336"/>
      <c r="AA43" s="336"/>
      <c r="AB43" s="336"/>
      <c r="AC43" s="336"/>
    </row>
    <row r="44" spans="1:29" ht="15">
      <c r="A44" s="314" t="s">
        <v>936</v>
      </c>
      <c r="B44" s="1695"/>
      <c r="C44" s="1696" t="e">
        <f>R45</f>
        <v>#DIV/0!</v>
      </c>
      <c r="D44" s="317" t="s">
        <v>937</v>
      </c>
      <c r="E44" s="1696" t="e">
        <f>R44</f>
        <v>#DIV/0!</v>
      </c>
      <c r="F44" s="319"/>
      <c r="G44" s="1697" t="e">
        <f>T44</f>
        <v>#DIV/0!</v>
      </c>
      <c r="H44" s="319"/>
      <c r="I44" s="1696" t="e">
        <f>V44</f>
        <v>#DIV/0!</v>
      </c>
      <c r="J44" s="319"/>
      <c r="K44" s="1735">
        <f>F44+H44+J44</f>
        <v>0</v>
      </c>
      <c r="L44" s="403"/>
      <c r="M44" s="383"/>
      <c r="N44" s="383"/>
      <c r="O44" s="334"/>
      <c r="P44" s="3666" t="str">
        <f>A44</f>
        <v>比较价格（元/平方米）</v>
      </c>
      <c r="Q44" s="3666"/>
      <c r="R44" s="3675" t="e">
        <f>ROUND(PRODUCT(R43,AA9:AA42),0)</f>
        <v>#DIV/0!</v>
      </c>
      <c r="S44" s="3675"/>
      <c r="T44" s="3675" t="e">
        <f>ROUND(PRODUCT(T43,AB9:AB42),0)</f>
        <v>#DIV/0!</v>
      </c>
      <c r="U44" s="3675"/>
      <c r="V44" s="3675" t="e">
        <f>ROUND(PRODUCT(V43,AC9:AC42),0)</f>
        <v>#DIV/0!</v>
      </c>
      <c r="W44" s="3675"/>
      <c r="X44" s="336"/>
      <c r="Y44" s="336"/>
      <c r="Z44" s="336"/>
      <c r="AA44" s="336"/>
      <c r="AB44" s="336"/>
      <c r="AC44" s="336"/>
    </row>
    <row r="45" spans="1:29" ht="15">
      <c r="A45" s="320" t="s">
        <v>938</v>
      </c>
      <c r="B45" s="321"/>
      <c r="C45" s="1698" t="e">
        <f>R45</f>
        <v>#DIV/0!</v>
      </c>
      <c r="D45" s="1698"/>
      <c r="E45" s="1698"/>
      <c r="F45" s="1698"/>
      <c r="G45" s="1698"/>
      <c r="H45" s="1698"/>
      <c r="I45" s="1698"/>
      <c r="J45" s="1698"/>
      <c r="K45" s="1736"/>
      <c r="L45" s="403"/>
      <c r="M45" s="383"/>
      <c r="N45" s="383"/>
      <c r="O45" s="334"/>
      <c r="P45" s="3676" t="str">
        <f>A45</f>
        <v>估价对象XX用房的比较价格（楼面单价，元/平方米）</v>
      </c>
      <c r="Q45" s="3677"/>
      <c r="R45" s="3787" t="e">
        <f>ROUND(IF(D44="简单平均",AVERAGE(R44:W44),R44*F44+T44*H44+V44*J44),0)</f>
        <v>#DIV/0!</v>
      </c>
      <c r="S45" s="3787"/>
      <c r="T45" s="3787"/>
      <c r="U45" s="3787"/>
      <c r="V45" s="3787"/>
      <c r="W45" s="3787"/>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939</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940</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941</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1699"/>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1700" t="s">
        <v>942</v>
      </c>
      <c r="B52" s="1701" t="s">
        <v>943</v>
      </c>
      <c r="C52" s="1702" t="s">
        <v>944</v>
      </c>
      <c r="D52" s="1703" t="s">
        <v>945</v>
      </c>
      <c r="E52" s="1704" t="s">
        <v>946</v>
      </c>
      <c r="F52" s="1705" t="s">
        <v>947</v>
      </c>
      <c r="G52" s="3783" t="s">
        <v>948</v>
      </c>
      <c r="H52" s="3784"/>
      <c r="I52" s="1737" t="s">
        <v>359</v>
      </c>
      <c r="J52" s="1738">
        <f>项目基本情况!F41</f>
        <v>0</v>
      </c>
      <c r="K52" s="1739" t="s">
        <v>949</v>
      </c>
      <c r="L52" s="408"/>
      <c r="M52" s="334"/>
      <c r="N52" s="334"/>
      <c r="O52" s="334"/>
      <c r="P52" s="334"/>
      <c r="Q52" s="334"/>
      <c r="R52" s="334"/>
      <c r="S52" s="334"/>
      <c r="T52" s="334"/>
      <c r="U52" s="334"/>
      <c r="V52" s="334"/>
      <c r="W52" s="334"/>
      <c r="X52" s="334"/>
      <c r="Y52" s="334"/>
      <c r="Z52" s="334"/>
      <c r="AA52" s="334"/>
      <c r="AB52" s="334"/>
      <c r="AC52" s="334"/>
    </row>
    <row r="53" spans="1:29" s="1663" customFormat="1" ht="12.75">
      <c r="A53" s="1706" t="s">
        <v>950</v>
      </c>
      <c r="B53" s="1707" t="e">
        <f>C45</f>
        <v>#DIV/0!</v>
      </c>
      <c r="C53" s="1708">
        <v>1</v>
      </c>
      <c r="D53" s="1709">
        <v>1</v>
      </c>
      <c r="E53" s="1708">
        <f>'数据-汇总表'!E8+'数据-汇总表'!E9</f>
        <v>63500</v>
      </c>
      <c r="F53" s="1710" t="e">
        <f t="shared" ref="F53:F62" si="15">ROUND(B53*E53/10000,0)</f>
        <v>#DIV/0!</v>
      </c>
      <c r="G53" s="3785"/>
      <c r="H53" s="3786"/>
      <c r="I53" s="1740">
        <v>1</v>
      </c>
      <c r="J53" s="1741">
        <v>1</v>
      </c>
      <c r="K53" s="1742"/>
      <c r="L53" s="1743"/>
      <c r="M53" s="1743"/>
      <c r="N53" s="1743"/>
      <c r="O53" s="1743"/>
      <c r="P53" s="1743"/>
      <c r="Q53" s="1743"/>
      <c r="R53" s="1743"/>
      <c r="S53" s="1743"/>
      <c r="T53" s="1743"/>
      <c r="U53" s="1743"/>
      <c r="V53" s="1743"/>
      <c r="W53" s="1743"/>
      <c r="X53" s="1743"/>
      <c r="Y53" s="1743"/>
      <c r="Z53" s="1743"/>
      <c r="AA53" s="1743"/>
      <c r="AB53" s="1743"/>
      <c r="AC53" s="1743"/>
    </row>
    <row r="54" spans="1:29" s="1663" customFormat="1" ht="12.75">
      <c r="A54" s="1711" t="s">
        <v>951</v>
      </c>
      <c r="B54" s="1712" t="e">
        <f>ROUND($C$45*C54*D54,0)</f>
        <v>#DIV/0!</v>
      </c>
      <c r="C54" s="1471">
        <f t="shared" ref="C54:C62" si="16">IF($C$52="北京市系数",I54,J54)</f>
        <v>0</v>
      </c>
      <c r="D54" s="1713">
        <v>0.25</v>
      </c>
      <c r="E54" s="1714"/>
      <c r="F54" s="1710" t="e">
        <f t="shared" si="15"/>
        <v>#DIV/0!</v>
      </c>
      <c r="G54" s="3782" t="s">
        <v>952</v>
      </c>
      <c r="H54" s="1716">
        <f>项目基本情况!B43</f>
        <v>0</v>
      </c>
      <c r="I54" s="1740">
        <f>SUMIF(修正!$A$45:$A$56,H54,修正!B45:B56)</f>
        <v>0</v>
      </c>
      <c r="J54" s="1744"/>
      <c r="K54" s="1742"/>
      <c r="L54" s="1743"/>
      <c r="M54" s="1743"/>
      <c r="N54" s="1743"/>
      <c r="O54" s="1743"/>
      <c r="P54" s="1743"/>
      <c r="Q54" s="1743"/>
      <c r="R54" s="1743"/>
      <c r="S54" s="1743"/>
      <c r="T54" s="1743"/>
      <c r="U54" s="1743"/>
      <c r="V54" s="1743"/>
      <c r="W54" s="1743"/>
      <c r="X54" s="1743"/>
      <c r="Y54" s="1743"/>
      <c r="Z54" s="1743"/>
      <c r="AA54" s="1743"/>
      <c r="AB54" s="1743"/>
      <c r="AC54" s="1743"/>
    </row>
    <row r="55" spans="1:29" s="1663" customFormat="1" ht="12.75">
      <c r="A55" s="1711" t="s">
        <v>953</v>
      </c>
      <c r="B55" s="1712" t="e">
        <f t="shared" ref="B55:B62" si="17">ROUND($C$45*C55*D55,0)</f>
        <v>#DIV/0!</v>
      </c>
      <c r="C55" s="1471">
        <f t="shared" si="16"/>
        <v>0</v>
      </c>
      <c r="D55" s="1713">
        <v>0.25</v>
      </c>
      <c r="E55" s="1714"/>
      <c r="F55" s="1710" t="e">
        <f t="shared" si="15"/>
        <v>#DIV/0!</v>
      </c>
      <c r="G55" s="3782"/>
      <c r="H55" s="1717">
        <f>项目基本情况!B43</f>
        <v>0</v>
      </c>
      <c r="I55" s="1740">
        <f>SUMIF(修正!$A$45:$A$56,H55,修正!C45:C56)</f>
        <v>0</v>
      </c>
      <c r="J55" s="1744"/>
      <c r="K55" s="1742"/>
      <c r="L55" s="1743"/>
      <c r="M55" s="1743"/>
      <c r="N55" s="1743"/>
      <c r="O55" s="1743"/>
      <c r="P55" s="1743"/>
      <c r="Q55" s="1743"/>
      <c r="R55" s="1743"/>
      <c r="S55" s="1743"/>
      <c r="T55" s="1743"/>
      <c r="U55" s="1743"/>
      <c r="V55" s="1743"/>
      <c r="W55" s="1743"/>
      <c r="X55" s="1743"/>
      <c r="Y55" s="1743"/>
      <c r="Z55" s="1743"/>
      <c r="AA55" s="1743"/>
      <c r="AB55" s="1743"/>
      <c r="AC55" s="1743"/>
    </row>
    <row r="56" spans="1:29" s="1663" customFormat="1" ht="12.75">
      <c r="A56" s="1711" t="s">
        <v>954</v>
      </c>
      <c r="B56" s="1712" t="e">
        <f t="shared" si="17"/>
        <v>#DIV/0!</v>
      </c>
      <c r="C56" s="1471">
        <f t="shared" si="16"/>
        <v>0</v>
      </c>
      <c r="D56" s="1713">
        <v>0.25</v>
      </c>
      <c r="E56" s="1714"/>
      <c r="F56" s="1710" t="e">
        <f t="shared" si="15"/>
        <v>#DIV/0!</v>
      </c>
      <c r="G56" s="3782"/>
      <c r="H56" s="1717">
        <f>项目基本情况!B43</f>
        <v>0</v>
      </c>
      <c r="I56" s="1740">
        <f>SUMIF(修正!$A$45:$A$56,H56,修正!D45:D56)</f>
        <v>0</v>
      </c>
      <c r="J56" s="1744"/>
      <c r="K56" s="1742"/>
      <c r="L56" s="1743"/>
      <c r="M56" s="1743"/>
      <c r="N56" s="1743"/>
      <c r="O56" s="1743"/>
      <c r="P56" s="1743"/>
      <c r="Q56" s="1743"/>
      <c r="R56" s="1743"/>
      <c r="S56" s="1743"/>
      <c r="T56" s="1743"/>
      <c r="U56" s="1743"/>
      <c r="V56" s="1743"/>
      <c r="W56" s="1743"/>
      <c r="X56" s="1743"/>
      <c r="Y56" s="1743"/>
      <c r="Z56" s="1743"/>
      <c r="AA56" s="1743"/>
      <c r="AB56" s="1743"/>
      <c r="AC56" s="1743"/>
    </row>
    <row r="57" spans="1:29" s="1663" customFormat="1" ht="12.75">
      <c r="A57" s="1711" t="s">
        <v>955</v>
      </c>
      <c r="B57" s="1712" t="e">
        <f t="shared" si="17"/>
        <v>#DIV/0!</v>
      </c>
      <c r="C57" s="1471">
        <f t="shared" si="16"/>
        <v>0</v>
      </c>
      <c r="D57" s="1713">
        <v>0.25</v>
      </c>
      <c r="E57" s="1714"/>
      <c r="F57" s="1710" t="e">
        <f t="shared" si="15"/>
        <v>#DIV/0!</v>
      </c>
      <c r="G57" s="3782"/>
      <c r="H57" s="1717">
        <f>项目基本情况!B43</f>
        <v>0</v>
      </c>
      <c r="I57" s="1740">
        <f>SUMIF(修正!$A$45:$A$56,H57,修正!E45:E56)</f>
        <v>0</v>
      </c>
      <c r="J57" s="1744"/>
      <c r="K57" s="1742"/>
      <c r="L57" s="1743"/>
      <c r="M57" s="1743"/>
      <c r="N57" s="1743"/>
      <c r="O57" s="1743"/>
      <c r="P57" s="1743"/>
      <c r="Q57" s="1743"/>
      <c r="R57" s="1743"/>
      <c r="S57" s="1743"/>
      <c r="T57" s="1743"/>
      <c r="U57" s="1743"/>
      <c r="V57" s="1743"/>
      <c r="W57" s="1743"/>
      <c r="X57" s="1743"/>
      <c r="Y57" s="1743"/>
      <c r="Z57" s="1743"/>
      <c r="AA57" s="1743"/>
      <c r="AB57" s="1743"/>
      <c r="AC57" s="1743"/>
    </row>
    <row r="58" spans="1:29" s="1663" customFormat="1" ht="12.75">
      <c r="A58" s="1718" t="s">
        <v>516</v>
      </c>
      <c r="B58" s="1712" t="e">
        <f t="shared" si="17"/>
        <v>#DIV/0!</v>
      </c>
      <c r="C58" s="1471">
        <f t="shared" si="16"/>
        <v>0</v>
      </c>
      <c r="D58" s="1713">
        <v>0.25</v>
      </c>
      <c r="E58" s="1719">
        <f>'数据-汇总表'!E11</f>
        <v>0</v>
      </c>
      <c r="F58" s="1710" t="e">
        <f t="shared" si="15"/>
        <v>#DIV/0!</v>
      </c>
      <c r="G58" s="1715" t="s">
        <v>956</v>
      </c>
      <c r="H58" s="1717">
        <f>项目基本情况!C43</f>
        <v>0</v>
      </c>
      <c r="I58" s="1740">
        <f>SUMIF(修正!$A$45:$A$56,H58,修正!F45:F56)</f>
        <v>0</v>
      </c>
      <c r="J58" s="1744"/>
      <c r="K58" s="1742"/>
      <c r="L58" s="1743"/>
      <c r="M58" s="1743"/>
      <c r="N58" s="1743"/>
      <c r="O58" s="1743"/>
      <c r="P58" s="1743"/>
      <c r="Q58" s="1743"/>
      <c r="R58" s="1743"/>
      <c r="S58" s="1743"/>
      <c r="T58" s="1743"/>
      <c r="U58" s="1743"/>
      <c r="V58" s="1743"/>
      <c r="W58" s="1743"/>
      <c r="X58" s="1743"/>
      <c r="Y58" s="1743"/>
      <c r="Z58" s="1743"/>
      <c r="AA58" s="1743"/>
      <c r="AB58" s="1743"/>
      <c r="AC58" s="1743"/>
    </row>
    <row r="59" spans="1:29" s="1663" customFormat="1" ht="12.75">
      <c r="A59" s="1711" t="s">
        <v>957</v>
      </c>
      <c r="B59" s="1712" t="e">
        <f t="shared" si="17"/>
        <v>#DIV/0!</v>
      </c>
      <c r="C59" s="1471">
        <f t="shared" si="16"/>
        <v>0</v>
      </c>
      <c r="D59" s="1713">
        <v>0.25</v>
      </c>
      <c r="E59" s="1719">
        <f>'数据-汇总表'!E12</f>
        <v>0</v>
      </c>
      <c r="F59" s="1710" t="e">
        <f t="shared" si="15"/>
        <v>#DIV/0!</v>
      </c>
      <c r="G59" s="1720" t="s">
        <v>370</v>
      </c>
      <c r="H59" s="1716">
        <f>IF(G59="商业",项目基本情况!B43,IF(G59="办公",项目基本情况!C43,IF(G59="住宅",项目基本情况!D43,项目基本情况!E43)))</f>
        <v>0</v>
      </c>
      <c r="I59" s="1740">
        <f>SUMIF(修正!$A$45:$A$56,H59,修正!G45:G56)</f>
        <v>0</v>
      </c>
      <c r="J59" s="1744"/>
      <c r="K59" s="1742"/>
      <c r="L59" s="1743"/>
      <c r="M59" s="1743"/>
      <c r="N59" s="1743"/>
      <c r="O59" s="1743"/>
      <c r="P59" s="1743"/>
      <c r="Q59" s="1743"/>
      <c r="R59" s="1743"/>
      <c r="S59" s="1743"/>
      <c r="T59" s="1743"/>
      <c r="U59" s="1743"/>
      <c r="V59" s="1743"/>
      <c r="W59" s="1743"/>
      <c r="X59" s="1743"/>
      <c r="Y59" s="1743"/>
      <c r="Z59" s="1743"/>
      <c r="AA59" s="1743"/>
      <c r="AB59" s="1743"/>
      <c r="AC59" s="1743"/>
    </row>
    <row r="60" spans="1:29" s="1663" customFormat="1" ht="12.75">
      <c r="A60" s="1711" t="s">
        <v>958</v>
      </c>
      <c r="B60" s="1712" t="e">
        <f t="shared" si="17"/>
        <v>#DIV/0!</v>
      </c>
      <c r="C60" s="1471">
        <f t="shared" si="16"/>
        <v>0.15</v>
      </c>
      <c r="D60" s="1713">
        <v>0.25</v>
      </c>
      <c r="E60" s="1719">
        <f>'数据-汇总表'!E13</f>
        <v>0</v>
      </c>
      <c r="F60" s="1710" t="e">
        <f t="shared" si="15"/>
        <v>#DIV/0!</v>
      </c>
      <c r="G60" s="1720" t="s">
        <v>368</v>
      </c>
      <c r="H60" s="1716" t="str">
        <f>IF(G60="商业",项目基本情况!B43,IF(G60="办公",项目基本情况!C43,IF(G60="住宅",项目基本情况!D43,项目基本情况!E43)))</f>
        <v>八级</v>
      </c>
      <c r="I60" s="1740">
        <f>SUMIF(修正!$A$45:$A$56,H60,修正!H45:H56)</f>
        <v>0.15</v>
      </c>
      <c r="J60" s="1744"/>
      <c r="K60" s="1742"/>
      <c r="L60" s="1743"/>
      <c r="M60" s="1743"/>
      <c r="N60" s="1743"/>
      <c r="O60" s="1743"/>
      <c r="P60" s="1743"/>
      <c r="Q60" s="1743"/>
      <c r="R60" s="1743"/>
      <c r="S60" s="1743"/>
      <c r="T60" s="1743"/>
      <c r="U60" s="1743"/>
      <c r="V60" s="1743"/>
      <c r="W60" s="1743"/>
      <c r="X60" s="1743"/>
      <c r="Y60" s="1743"/>
      <c r="Z60" s="1743"/>
      <c r="AA60" s="1743"/>
      <c r="AB60" s="1743"/>
      <c r="AC60" s="1743"/>
    </row>
    <row r="61" spans="1:29" s="1663" customFormat="1" ht="12.75">
      <c r="A61" s="1711" t="s">
        <v>959</v>
      </c>
      <c r="B61" s="1712" t="e">
        <f t="shared" si="17"/>
        <v>#DIV/0!</v>
      </c>
      <c r="C61" s="1471">
        <f t="shared" si="16"/>
        <v>0</v>
      </c>
      <c r="D61" s="1713">
        <v>0.25</v>
      </c>
      <c r="E61" s="1719">
        <f>'数据-汇总表'!E14</f>
        <v>0</v>
      </c>
      <c r="F61" s="1710" t="e">
        <f t="shared" si="15"/>
        <v>#DIV/0!</v>
      </c>
      <c r="G61" s="1715" t="s">
        <v>952</v>
      </c>
      <c r="H61" s="1717">
        <f>项目基本情况!B43</f>
        <v>0</v>
      </c>
      <c r="I61" s="1740">
        <f>SUMIF(修正!$A$45:$A$56,H61,修正!H45:H56)</f>
        <v>0</v>
      </c>
      <c r="J61" s="1744"/>
      <c r="K61" s="1742"/>
      <c r="L61" s="1743"/>
      <c r="M61" s="1743"/>
      <c r="N61" s="1743"/>
      <c r="O61" s="1743"/>
      <c r="P61" s="1743"/>
      <c r="Q61" s="1743"/>
      <c r="R61" s="1743"/>
      <c r="S61" s="1743"/>
      <c r="T61" s="1743"/>
      <c r="U61" s="1743"/>
      <c r="V61" s="1743"/>
      <c r="W61" s="1743"/>
      <c r="X61" s="1743"/>
      <c r="Y61" s="1743"/>
      <c r="Z61" s="1743"/>
      <c r="AA61" s="1743"/>
      <c r="AB61" s="1743"/>
      <c r="AC61" s="1743"/>
    </row>
    <row r="62" spans="1:29" s="1663" customFormat="1" ht="12.75">
      <c r="A62" s="1711" t="s">
        <v>960</v>
      </c>
      <c r="B62" s="1712" t="e">
        <f t="shared" si="17"/>
        <v>#DIV/0!</v>
      </c>
      <c r="C62" s="1471">
        <f t="shared" si="16"/>
        <v>0</v>
      </c>
      <c r="D62" s="1713">
        <v>0.25</v>
      </c>
      <c r="E62" s="1719">
        <f>'数据-汇总表'!E15</f>
        <v>0</v>
      </c>
      <c r="F62" s="1710" t="e">
        <f t="shared" si="15"/>
        <v>#DIV/0!</v>
      </c>
      <c r="G62" s="1721" t="s">
        <v>956</v>
      </c>
      <c r="H62" s="1722">
        <f>项目基本情况!C43</f>
        <v>0</v>
      </c>
      <c r="I62" s="1740">
        <f>SUMIF(修正!$A$45:$A$56,H62,修正!H45:H56)</f>
        <v>0</v>
      </c>
      <c r="J62" s="1744"/>
      <c r="K62" s="1742"/>
      <c r="L62" s="1743"/>
      <c r="M62" s="1743"/>
      <c r="N62" s="1743"/>
      <c r="O62" s="1743"/>
      <c r="P62" s="1743"/>
      <c r="Q62" s="1743"/>
      <c r="R62" s="1743"/>
      <c r="S62" s="1743"/>
      <c r="T62" s="1743"/>
      <c r="U62" s="1743"/>
      <c r="V62" s="1743"/>
      <c r="W62" s="1743"/>
      <c r="X62" s="1743"/>
      <c r="Y62" s="1743"/>
      <c r="Z62" s="1743"/>
      <c r="AA62" s="1743"/>
      <c r="AB62" s="1743"/>
      <c r="AC62" s="1743"/>
    </row>
    <row r="63" spans="1:29" s="1663" customFormat="1" ht="12.75">
      <c r="A63" s="1723" t="s">
        <v>961</v>
      </c>
      <c r="B63" s="1724" t="s">
        <v>962</v>
      </c>
      <c r="C63" s="1724" t="s">
        <v>962</v>
      </c>
      <c r="D63" s="1724" t="s">
        <v>962</v>
      </c>
      <c r="E63" s="1724">
        <f>IF(B43="楼面地价",SUM(E53:E62),'数据-汇总表'!D3)</f>
        <v>25406.38</v>
      </c>
      <c r="F63" s="1725" t="e">
        <f>IF(B43="楼面地价",SUM(F53:F62),ROUND(C45*E63/10000,0))</f>
        <v>#DIV/0!</v>
      </c>
      <c r="G63" s="1726"/>
      <c r="H63" s="1726"/>
      <c r="I63" s="1726"/>
      <c r="J63" s="1726"/>
      <c r="K63" s="1745"/>
      <c r="L63" s="1743"/>
      <c r="M63" s="1743"/>
      <c r="N63" s="1743"/>
      <c r="O63" s="1743"/>
      <c r="P63" s="1743"/>
      <c r="Q63" s="1743"/>
      <c r="R63" s="1743"/>
      <c r="S63" s="1743"/>
      <c r="T63" s="1743"/>
      <c r="U63" s="1743"/>
      <c r="V63" s="1743"/>
      <c r="W63" s="1743"/>
      <c r="X63" s="1743"/>
      <c r="Y63" s="1743"/>
      <c r="Z63" s="1743"/>
      <c r="AA63" s="1743"/>
      <c r="AB63" s="1743"/>
      <c r="AC63" s="1743"/>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1746" t="str">
        <f>YEAR(C9)&amp;"-"&amp;MONTH(C9)&amp;"-1"</f>
        <v>2021-10-1</v>
      </c>
      <c r="D65" s="1747">
        <f>EDATE(C65,-3)</f>
        <v>44378</v>
      </c>
      <c r="E65" s="1747">
        <f t="shared" ref="E65:N65" si="18">EDATE(D65,-3)</f>
        <v>44287</v>
      </c>
      <c r="F65" s="1747">
        <f t="shared" si="18"/>
        <v>44197</v>
      </c>
      <c r="G65" s="1747">
        <f t="shared" si="18"/>
        <v>44105</v>
      </c>
      <c r="H65" s="1747">
        <f t="shared" si="18"/>
        <v>44013</v>
      </c>
      <c r="I65" s="1747">
        <f t="shared" si="18"/>
        <v>43922</v>
      </c>
      <c r="J65" s="1747">
        <f t="shared" si="18"/>
        <v>43831</v>
      </c>
      <c r="K65" s="1747">
        <f t="shared" si="18"/>
        <v>43739</v>
      </c>
      <c r="L65" s="1747">
        <f t="shared" si="18"/>
        <v>43647</v>
      </c>
      <c r="M65" s="1747">
        <f t="shared" si="18"/>
        <v>43556</v>
      </c>
      <c r="N65" s="1747">
        <f t="shared" si="18"/>
        <v>43466</v>
      </c>
      <c r="O65" s="334"/>
      <c r="P65" s="334"/>
      <c r="Q65" s="334"/>
      <c r="R65" s="334"/>
      <c r="S65" s="334"/>
      <c r="T65" s="334"/>
      <c r="U65" s="334"/>
      <c r="V65" s="334"/>
      <c r="W65" s="334"/>
      <c r="X65" s="334"/>
      <c r="Y65" s="334"/>
      <c r="Z65" s="334"/>
      <c r="AA65" s="334"/>
      <c r="AB65" s="334"/>
      <c r="AC65" s="334"/>
    </row>
    <row r="66" spans="1:29" ht="21">
      <c r="A66" s="335" t="s">
        <v>963</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1748" t="s">
        <v>1133</v>
      </c>
      <c r="B67" s="340"/>
      <c r="C67" s="1749" t="str">
        <f>YEAR(C65)&amp;"-"&amp;ROUNDUP(MONTH(C65)/3,0)</f>
        <v>2021-4</v>
      </c>
      <c r="D67" s="1749" t="str">
        <f t="shared" ref="D67:N67" si="19">YEAR(D65)&amp;"-"&amp;ROUNDUP(MONTH(D65)/3,0)</f>
        <v>2021-3</v>
      </c>
      <c r="E67" s="1749" t="str">
        <f t="shared" si="19"/>
        <v>2021-2</v>
      </c>
      <c r="F67" s="1749" t="str">
        <f t="shared" si="19"/>
        <v>2021-1</v>
      </c>
      <c r="G67" s="1749" t="str">
        <f t="shared" si="19"/>
        <v>2020-4</v>
      </c>
      <c r="H67" s="1749" t="str">
        <f t="shared" si="19"/>
        <v>2020-3</v>
      </c>
      <c r="I67" s="1749" t="str">
        <f t="shared" si="19"/>
        <v>2020-2</v>
      </c>
      <c r="J67" s="1749" t="str">
        <f t="shared" si="19"/>
        <v>2020-1</v>
      </c>
      <c r="K67" s="1749" t="str">
        <f t="shared" si="19"/>
        <v>2019-4</v>
      </c>
      <c r="L67" s="1749" t="str">
        <f t="shared" si="19"/>
        <v>2019-3</v>
      </c>
      <c r="M67" s="1749" t="str">
        <f t="shared" si="19"/>
        <v>2019-2</v>
      </c>
      <c r="N67" s="1749" t="str">
        <f t="shared" si="19"/>
        <v>2019-1</v>
      </c>
      <c r="O67" s="1759"/>
      <c r="P67" s="416"/>
      <c r="Q67" s="462"/>
      <c r="R67" s="462"/>
      <c r="S67" s="462"/>
      <c r="T67" s="462"/>
      <c r="U67" s="462"/>
      <c r="V67" s="462"/>
      <c r="W67" s="462"/>
      <c r="X67" s="462"/>
      <c r="Y67" s="462"/>
      <c r="Z67" s="462"/>
      <c r="AA67" s="462"/>
      <c r="AB67" s="462"/>
      <c r="AC67" s="462"/>
    </row>
    <row r="68" spans="1:29" s="193" customFormat="1" ht="27.75" customHeight="1">
      <c r="A68" s="1750" t="s">
        <v>164</v>
      </c>
      <c r="B68" s="1751" t="str">
        <f>"北京市平均增长率"&amp;TEXT(基准地价!P24,"0.00%")</f>
        <v>北京市平均增长率1.22%</v>
      </c>
      <c r="C68" s="479">
        <v>100</v>
      </c>
      <c r="D68" s="482"/>
      <c r="E68" s="482"/>
      <c r="F68" s="482"/>
      <c r="G68" s="482"/>
      <c r="H68" s="482"/>
      <c r="I68" s="482"/>
      <c r="J68" s="482"/>
      <c r="K68" s="482"/>
      <c r="L68" s="482"/>
      <c r="M68" s="1760"/>
      <c r="N68" s="1761"/>
      <c r="O68" s="424"/>
      <c r="P68" s="419"/>
      <c r="Q68" s="463"/>
      <c r="R68" s="463"/>
      <c r="S68" s="463"/>
      <c r="T68" s="463"/>
      <c r="U68" s="463"/>
      <c r="V68" s="463"/>
      <c r="W68" s="463"/>
      <c r="X68" s="463"/>
      <c r="Y68" s="463"/>
      <c r="Z68" s="463"/>
      <c r="AA68" s="463"/>
      <c r="AB68" s="463"/>
      <c r="AC68" s="463"/>
    </row>
    <row r="69" spans="1:29" s="193" customFormat="1" ht="15">
      <c r="A69" s="347" t="s">
        <v>1065</v>
      </c>
      <c r="B69" s="348"/>
      <c r="C69" s="1752"/>
      <c r="D69" s="1753"/>
      <c r="E69" s="1753"/>
      <c r="F69" s="1753"/>
      <c r="G69" s="1753"/>
      <c r="H69" s="1753"/>
      <c r="I69" s="1753"/>
      <c r="J69" s="1753"/>
      <c r="K69" s="1753"/>
      <c r="L69" s="1753"/>
      <c r="M69" s="1753"/>
      <c r="N69" s="1753"/>
      <c r="O69" s="424"/>
      <c r="P69" s="419"/>
      <c r="Q69" s="419"/>
      <c r="R69" s="463"/>
      <c r="S69" s="463"/>
      <c r="T69" s="463"/>
      <c r="U69" s="463"/>
      <c r="V69" s="463"/>
      <c r="W69" s="463"/>
      <c r="X69" s="463"/>
      <c r="Y69" s="463"/>
      <c r="Z69" s="463"/>
      <c r="AA69" s="463"/>
      <c r="AB69" s="463"/>
      <c r="AC69" s="463"/>
    </row>
    <row r="70" spans="1:29" s="193" customFormat="1" ht="15">
      <c r="A70" s="351" t="s">
        <v>913</v>
      </c>
      <c r="B70" s="344"/>
      <c r="C70" s="352" t="s">
        <v>914</v>
      </c>
      <c r="D70" s="353"/>
      <c r="E70" s="353"/>
      <c r="F70" s="353"/>
      <c r="G70" s="353"/>
      <c r="H70" s="353"/>
      <c r="I70" s="353"/>
      <c r="J70" s="353"/>
      <c r="K70" s="353"/>
      <c r="L70" s="422"/>
      <c r="M70" s="423"/>
      <c r="N70" s="1762"/>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1762"/>
      <c r="O71" s="424"/>
      <c r="P71" s="419"/>
      <c r="Q71" s="419"/>
      <c r="R71" s="463"/>
      <c r="S71" s="463"/>
      <c r="T71" s="463"/>
      <c r="U71" s="463"/>
      <c r="V71" s="463"/>
      <c r="W71" s="463"/>
      <c r="X71" s="463"/>
      <c r="Y71" s="463"/>
      <c r="Z71" s="463"/>
      <c r="AA71" s="463"/>
      <c r="AB71" s="463"/>
      <c r="AC71" s="463"/>
    </row>
    <row r="72" spans="1:29">
      <c r="A72" s="354" t="s">
        <v>967</v>
      </c>
      <c r="B72" s="355" t="s">
        <v>968</v>
      </c>
      <c r="C72" s="357"/>
      <c r="D72" s="357"/>
      <c r="E72" s="357"/>
      <c r="F72" s="357"/>
      <c r="G72" s="357"/>
      <c r="H72" s="357"/>
      <c r="I72" s="357"/>
      <c r="J72" s="357"/>
      <c r="K72" s="426"/>
      <c r="L72" s="427"/>
      <c r="M72" s="428"/>
      <c r="N72" s="1763"/>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1764"/>
      <c r="O73" s="432"/>
      <c r="P73" s="430"/>
      <c r="Q73" s="419"/>
      <c r="R73" s="334"/>
      <c r="S73" s="334"/>
      <c r="T73" s="334"/>
      <c r="U73" s="334"/>
      <c r="V73" s="334"/>
      <c r="W73" s="334"/>
      <c r="X73" s="334"/>
      <c r="Y73" s="334"/>
      <c r="Z73" s="334"/>
      <c r="AA73" s="334"/>
      <c r="AB73" s="334"/>
      <c r="AC73" s="334"/>
    </row>
    <row r="74" spans="1:29" ht="27">
      <c r="A74" s="358"/>
      <c r="B74" s="361" t="s">
        <v>969</v>
      </c>
      <c r="C74" s="362"/>
      <c r="D74" s="362"/>
      <c r="E74" s="362"/>
      <c r="F74" s="362"/>
      <c r="G74" s="362"/>
      <c r="H74" s="362"/>
      <c r="I74" s="362"/>
      <c r="J74" s="362"/>
      <c r="K74" s="433"/>
      <c r="L74" s="434"/>
      <c r="M74" s="435"/>
      <c r="N74" s="1763"/>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1764"/>
      <c r="O75" s="432"/>
      <c r="P75" s="430"/>
      <c r="Q75" s="419"/>
      <c r="R75" s="334"/>
      <c r="S75" s="334"/>
      <c r="T75" s="334"/>
      <c r="U75" s="334"/>
      <c r="V75" s="334"/>
      <c r="W75" s="334"/>
      <c r="X75" s="334"/>
      <c r="Y75" s="334"/>
      <c r="Z75" s="334"/>
      <c r="AA75" s="334"/>
      <c r="AB75" s="334"/>
      <c r="AC75" s="334"/>
    </row>
    <row r="76" spans="1:29" ht="15">
      <c r="A76" s="358"/>
      <c r="B76" s="476" t="s">
        <v>970</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1764"/>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1763"/>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764"/>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1765"/>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1764"/>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1765"/>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1765"/>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1765"/>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1765"/>
      <c r="O84" s="442"/>
      <c r="P84" s="443"/>
      <c r="Q84" s="464"/>
      <c r="R84" s="465"/>
      <c r="S84" s="465"/>
      <c r="T84" s="465"/>
      <c r="U84" s="465"/>
      <c r="V84" s="465"/>
      <c r="W84" s="465"/>
      <c r="X84" s="465"/>
      <c r="Y84" s="465"/>
      <c r="Z84" s="465"/>
      <c r="AA84" s="465"/>
      <c r="AB84" s="465"/>
      <c r="AC84" s="465"/>
    </row>
    <row r="85" spans="1:29">
      <c r="A85" s="354" t="s">
        <v>971</v>
      </c>
      <c r="B85" s="355" t="s">
        <v>228</v>
      </c>
      <c r="C85" s="372" t="s">
        <v>246</v>
      </c>
      <c r="D85" s="372" t="s">
        <v>258</v>
      </c>
      <c r="E85" s="372" t="s">
        <v>269</v>
      </c>
      <c r="F85" s="372" t="s">
        <v>279</v>
      </c>
      <c r="G85" s="372" t="s">
        <v>287</v>
      </c>
      <c r="H85" s="356"/>
      <c r="I85" s="356"/>
      <c r="J85" s="356"/>
      <c r="K85" s="445"/>
      <c r="L85" s="446"/>
      <c r="M85" s="447"/>
      <c r="N85" s="1763"/>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1764"/>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1763"/>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1764"/>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1766"/>
      <c r="M89" s="495"/>
      <c r="N89" s="1762"/>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1764"/>
      <c r="O90" s="432"/>
      <c r="P90" s="430"/>
      <c r="Q90" s="419"/>
      <c r="R90" s="463"/>
      <c r="S90" s="463"/>
      <c r="T90" s="463"/>
      <c r="U90" s="463"/>
      <c r="V90" s="463"/>
      <c r="W90" s="463"/>
      <c r="X90" s="463"/>
      <c r="Y90" s="463"/>
      <c r="Z90" s="463"/>
      <c r="AA90" s="463"/>
      <c r="AB90" s="463"/>
      <c r="AC90" s="463"/>
    </row>
    <row r="91" spans="1:29" s="193" customFormat="1" ht="27">
      <c r="A91" s="478"/>
      <c r="B91" s="361" t="s">
        <v>924</v>
      </c>
      <c r="C91" s="372" t="s">
        <v>246</v>
      </c>
      <c r="D91" s="372" t="s">
        <v>258</v>
      </c>
      <c r="E91" s="372" t="s">
        <v>269</v>
      </c>
      <c r="F91" s="372" t="s">
        <v>279</v>
      </c>
      <c r="G91" s="372" t="s">
        <v>287</v>
      </c>
      <c r="H91" s="374"/>
      <c r="I91" s="374"/>
      <c r="J91" s="374"/>
      <c r="K91" s="374"/>
      <c r="L91" s="374"/>
      <c r="M91" s="495"/>
      <c r="N91" s="1762"/>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1764"/>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1754"/>
      <c r="I93" s="1754"/>
      <c r="J93" s="1754"/>
      <c r="K93" s="1754"/>
      <c r="L93" s="1767"/>
      <c r="M93" s="1768"/>
      <c r="N93" s="1765"/>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1755"/>
      <c r="I94" s="1755"/>
      <c r="J94" s="1755"/>
      <c r="K94" s="1755"/>
      <c r="L94" s="1755"/>
      <c r="M94" s="1769"/>
      <c r="N94" s="1765"/>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1754"/>
      <c r="I95" s="1754"/>
      <c r="J95" s="1754"/>
      <c r="K95" s="1754"/>
      <c r="L95" s="1754"/>
      <c r="M95" s="1768"/>
      <c r="N95" s="1765"/>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1770"/>
      <c r="N96" s="1765"/>
      <c r="O96" s="442"/>
      <c r="P96" s="443"/>
      <c r="Q96" s="464"/>
      <c r="R96" s="465"/>
      <c r="S96" s="465"/>
      <c r="T96" s="465"/>
      <c r="U96" s="465"/>
      <c r="V96" s="465"/>
      <c r="W96" s="465"/>
      <c r="X96" s="465"/>
      <c r="Y96" s="465"/>
      <c r="Z96" s="465"/>
      <c r="AA96" s="465"/>
      <c r="AB96" s="465"/>
      <c r="AC96" s="465"/>
    </row>
    <row r="97" spans="1:29" ht="15">
      <c r="A97" s="358"/>
      <c r="B97" s="361" t="str">
        <f>B29</f>
        <v>临街状况</v>
      </c>
      <c r="C97" s="362" t="s">
        <v>972</v>
      </c>
      <c r="D97" s="362" t="s">
        <v>973</v>
      </c>
      <c r="E97" s="362" t="s">
        <v>974</v>
      </c>
      <c r="F97" s="362" t="s">
        <v>975</v>
      </c>
      <c r="G97" s="362"/>
      <c r="H97" s="362"/>
      <c r="I97" s="362"/>
      <c r="J97" s="362"/>
      <c r="K97" s="433"/>
      <c r="L97" s="434"/>
      <c r="M97" s="435"/>
      <c r="N97" s="1763"/>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764"/>
      <c r="O98" s="432"/>
      <c r="P98" s="430"/>
      <c r="Q98" s="419"/>
      <c r="R98" s="334"/>
      <c r="S98" s="334"/>
      <c r="T98" s="334"/>
      <c r="U98" s="334"/>
      <c r="V98" s="334"/>
      <c r="W98" s="334"/>
      <c r="X98" s="334"/>
      <c r="Y98" s="334"/>
      <c r="Z98" s="334"/>
      <c r="AA98" s="334"/>
      <c r="AB98" s="334"/>
      <c r="AC98" s="334"/>
    </row>
    <row r="99" spans="1:29" ht="27">
      <c r="A99" s="358"/>
      <c r="B99" s="361" t="s">
        <v>925</v>
      </c>
      <c r="C99" s="369"/>
      <c r="D99" s="369"/>
      <c r="E99" s="369"/>
      <c r="F99" s="369"/>
      <c r="G99" s="369"/>
      <c r="H99" s="477"/>
      <c r="I99" s="477"/>
      <c r="J99" s="477"/>
      <c r="K99" s="487"/>
      <c r="L99" s="488"/>
      <c r="M99" s="489"/>
      <c r="N99" s="1763"/>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764"/>
      <c r="O100" s="432"/>
      <c r="P100" s="430"/>
      <c r="Q100" s="419"/>
      <c r="R100" s="334"/>
      <c r="S100" s="334"/>
      <c r="T100" s="334"/>
      <c r="U100" s="334"/>
      <c r="V100" s="334"/>
      <c r="W100" s="334"/>
      <c r="X100" s="334"/>
      <c r="Y100" s="334"/>
      <c r="Z100" s="334"/>
      <c r="AA100" s="334"/>
      <c r="AB100" s="334"/>
      <c r="AC100" s="334"/>
    </row>
    <row r="101" spans="1:29" ht="15">
      <c r="A101" s="358"/>
      <c r="B101" s="361" t="s">
        <v>926</v>
      </c>
      <c r="C101" s="477"/>
      <c r="D101" s="477"/>
      <c r="E101" s="477"/>
      <c r="F101" s="477"/>
      <c r="G101" s="477"/>
      <c r="H101" s="477"/>
      <c r="I101" s="477"/>
      <c r="J101" s="477"/>
      <c r="K101" s="487"/>
      <c r="L101" s="488"/>
      <c r="M101" s="489"/>
      <c r="N101" s="1763"/>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764"/>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1763"/>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1764"/>
      <c r="O104" s="432"/>
      <c r="P104" s="430"/>
      <c r="Q104" s="419"/>
      <c r="R104" s="334"/>
      <c r="S104" s="334"/>
      <c r="T104" s="334"/>
      <c r="U104" s="334"/>
      <c r="V104" s="334"/>
      <c r="W104" s="334"/>
      <c r="X104" s="334"/>
      <c r="Y104" s="334"/>
      <c r="Z104" s="334"/>
      <c r="AA104" s="334"/>
      <c r="AB104" s="334"/>
      <c r="AC104" s="334"/>
    </row>
    <row r="105" spans="1:29">
      <c r="A105" s="1678"/>
      <c r="B105" s="361">
        <f>B34</f>
        <v>111</v>
      </c>
      <c r="C105" s="369"/>
      <c r="D105" s="369"/>
      <c r="E105" s="369"/>
      <c r="F105" s="369"/>
      <c r="G105" s="477"/>
      <c r="H105" s="477"/>
      <c r="I105" s="477"/>
      <c r="J105" s="477"/>
      <c r="K105" s="487"/>
      <c r="L105" s="488"/>
      <c r="M105" s="489"/>
      <c r="N105" s="1763"/>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1764"/>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1765"/>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1756"/>
      <c r="H108" s="1756"/>
      <c r="I108" s="1756"/>
      <c r="J108" s="1756"/>
      <c r="K108" s="1756"/>
      <c r="L108" s="1756"/>
      <c r="M108" s="1771"/>
      <c r="N108" s="1764"/>
      <c r="O108" s="432"/>
      <c r="P108" s="443"/>
      <c r="Q108" s="464"/>
      <c r="R108" s="465"/>
      <c r="S108" s="465"/>
      <c r="T108" s="465"/>
      <c r="U108" s="465"/>
      <c r="V108" s="465"/>
      <c r="W108" s="465"/>
      <c r="X108" s="465"/>
      <c r="Y108" s="465"/>
      <c r="Z108" s="465"/>
      <c r="AA108" s="465"/>
      <c r="AB108" s="465"/>
      <c r="AC108" s="465"/>
    </row>
    <row r="109" spans="1:29">
      <c r="A109" s="354" t="s">
        <v>976</v>
      </c>
      <c r="B109" s="355" t="s">
        <v>929</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772" t="str">
        <f t="shared" si="25"/>
        <v>(含)-</v>
      </c>
      <c r="L109" s="1773" t="str">
        <f t="shared" si="25"/>
        <v>(含)-</v>
      </c>
      <c r="M109" s="1774" t="str">
        <f>M110&amp;"(含)"&amp;"-"&amp;P110</f>
        <v>(含)-</v>
      </c>
      <c r="N109" s="1763"/>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1763"/>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1764"/>
      <c r="O111" s="432"/>
      <c r="P111" s="430"/>
      <c r="Q111" s="419"/>
      <c r="R111" s="334"/>
      <c r="S111" s="334"/>
      <c r="T111" s="334"/>
      <c r="U111" s="334"/>
      <c r="V111" s="334"/>
      <c r="W111" s="334"/>
      <c r="X111" s="334"/>
      <c r="Y111" s="334"/>
      <c r="Z111" s="334"/>
      <c r="AA111" s="334"/>
      <c r="AB111" s="334"/>
      <c r="AC111" s="334"/>
    </row>
    <row r="112" spans="1:29">
      <c r="A112" s="481"/>
      <c r="B112" s="361" t="s">
        <v>930</v>
      </c>
      <c r="C112" s="477"/>
      <c r="D112" s="477"/>
      <c r="E112" s="477"/>
      <c r="F112" s="477"/>
      <c r="G112" s="477"/>
      <c r="H112" s="477"/>
      <c r="I112" s="477"/>
      <c r="J112" s="477"/>
      <c r="K112" s="487"/>
      <c r="L112" s="488"/>
      <c r="M112" s="489"/>
      <c r="N112" s="1763"/>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1764"/>
      <c r="O113" s="432"/>
      <c r="P113" s="430"/>
      <c r="Q113" s="419"/>
      <c r="R113" s="334"/>
      <c r="S113" s="334"/>
      <c r="T113" s="334"/>
      <c r="U113" s="334"/>
      <c r="V113" s="334"/>
      <c r="W113" s="334"/>
      <c r="X113" s="334"/>
      <c r="Y113" s="334"/>
      <c r="Z113" s="334"/>
      <c r="AA113" s="334"/>
      <c r="AB113" s="334"/>
      <c r="AC113" s="334"/>
    </row>
    <row r="114" spans="1:29" s="195" customFormat="1">
      <c r="A114" s="483"/>
      <c r="B114" s="373" t="s">
        <v>932</v>
      </c>
      <c r="C114" s="1757"/>
      <c r="D114" s="1757"/>
      <c r="E114" s="1757"/>
      <c r="F114" s="1757"/>
      <c r="G114" s="1757"/>
      <c r="H114" s="477"/>
      <c r="I114" s="477"/>
      <c r="J114" s="477"/>
      <c r="K114" s="487"/>
      <c r="L114" s="488"/>
      <c r="M114" s="489"/>
      <c r="N114" s="1765"/>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1765"/>
      <c r="O115" s="442"/>
      <c r="P115" s="443"/>
      <c r="Q115" s="464"/>
      <c r="R115" s="465"/>
      <c r="S115" s="465"/>
      <c r="T115" s="465"/>
      <c r="U115" s="465"/>
      <c r="V115" s="465"/>
      <c r="W115" s="465"/>
      <c r="X115" s="465"/>
      <c r="Y115" s="465"/>
      <c r="Z115" s="465"/>
      <c r="AA115" s="465"/>
      <c r="AB115" s="465"/>
      <c r="AC115" s="465"/>
    </row>
    <row r="116" spans="1:29">
      <c r="A116" s="481"/>
      <c r="B116" s="361" t="s">
        <v>933</v>
      </c>
      <c r="C116" s="369"/>
      <c r="D116" s="369"/>
      <c r="E116" s="477"/>
      <c r="F116" s="477"/>
      <c r="G116" s="477"/>
      <c r="H116" s="477"/>
      <c r="I116" s="477"/>
      <c r="J116" s="477"/>
      <c r="K116" s="487"/>
      <c r="L116" s="488"/>
      <c r="M116" s="489"/>
      <c r="N116" s="1763"/>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1764"/>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1763"/>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1764"/>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1763"/>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1764"/>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1765"/>
      <c r="O122" s="442"/>
      <c r="P122" s="443"/>
      <c r="Q122" s="464"/>
      <c r="R122" s="465"/>
      <c r="S122" s="465"/>
      <c r="T122" s="465"/>
      <c r="U122" s="465"/>
      <c r="V122" s="465"/>
      <c r="W122" s="465"/>
      <c r="X122" s="465"/>
      <c r="Y122" s="465"/>
      <c r="Z122" s="465"/>
      <c r="AA122" s="465"/>
      <c r="AB122" s="465"/>
      <c r="AC122" s="465"/>
    </row>
    <row r="123" spans="1:29" s="195" customFormat="1" ht="15">
      <c r="A123" s="555"/>
      <c r="B123" s="1758"/>
      <c r="C123" s="557"/>
      <c r="D123" s="557"/>
      <c r="E123" s="557"/>
      <c r="F123" s="557"/>
      <c r="G123" s="561"/>
      <c r="H123" s="561"/>
      <c r="I123" s="561"/>
      <c r="J123" s="561"/>
      <c r="K123" s="561"/>
      <c r="L123" s="561"/>
      <c r="M123" s="570"/>
      <c r="N123" s="1765"/>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AA6:AA8"/>
    <mergeCell ref="AB6:AB8"/>
    <mergeCell ref="AC6:AC8"/>
    <mergeCell ref="P6:Q8"/>
    <mergeCell ref="R6:S8"/>
    <mergeCell ref="T6:U8"/>
    <mergeCell ref="V6:W8"/>
    <mergeCell ref="Y6:Z8"/>
  </mergeCells>
  <phoneticPr fontId="231" type="noConversion"/>
  <conditionalFormatting sqref="F44">
    <cfRule type="expression" dxfId="137" priority="4">
      <formula>$D$44="简单平均"</formula>
    </cfRule>
  </conditionalFormatting>
  <conditionalFormatting sqref="H44">
    <cfRule type="expression" dxfId="136" priority="3">
      <formula>$D$44="简单平均"</formula>
    </cfRule>
  </conditionalFormatting>
  <conditionalFormatting sqref="J44">
    <cfRule type="expression" dxfId="135" priority="2">
      <formula>$D$44="简单平均"</formula>
    </cfRule>
  </conditionalFormatting>
  <conditionalFormatting sqref="E48">
    <cfRule type="expression" dxfId="134" priority="13" stopIfTrue="1">
      <formula>$F$48="超过30%"</formula>
    </cfRule>
  </conditionalFormatting>
  <conditionalFormatting sqref="G48">
    <cfRule type="expression" dxfId="133" priority="9" stopIfTrue="1">
      <formula>$H$48="超过30%"</formula>
    </cfRule>
  </conditionalFormatting>
  <conditionalFormatting sqref="I48">
    <cfRule type="expression" dxfId="132" priority="7" stopIfTrue="1">
      <formula>$J$48="超过30%"</formula>
    </cfRule>
  </conditionalFormatting>
  <conditionalFormatting sqref="E49">
    <cfRule type="expression" dxfId="131" priority="51" stopIfTrue="1">
      <formula>#REF!+$F$49="超过20%"</formula>
    </cfRule>
  </conditionalFormatting>
  <conditionalFormatting sqref="G49">
    <cfRule type="expression" dxfId="130" priority="8" stopIfTrue="1">
      <formula>$H$49="超过20%"</formula>
    </cfRule>
  </conditionalFormatting>
  <conditionalFormatting sqref="I49">
    <cfRule type="expression" dxfId="129" priority="6" stopIfTrue="1">
      <formula>$J$49="超过20%"</formula>
    </cfRule>
  </conditionalFormatting>
  <conditionalFormatting sqref="E50">
    <cfRule type="expression" dxfId="128" priority="10" stopIfTrue="1">
      <formula>$F$50="超过30%"</formula>
    </cfRule>
  </conditionalFormatting>
  <conditionalFormatting sqref="F50">
    <cfRule type="containsText" dxfId="127" priority="15" stopIfTrue="1" operator="containsText" text="超过">
      <formula>NOT(ISERROR(SEARCH("超过",F50)))</formula>
    </cfRule>
  </conditionalFormatting>
  <conditionalFormatting sqref="G50">
    <cfRule type="expression" dxfId="126" priority="12" stopIfTrue="1">
      <formula>$H$50="超过30%"</formula>
    </cfRule>
  </conditionalFormatting>
  <conditionalFormatting sqref="H50">
    <cfRule type="containsText" dxfId="125" priority="16" stopIfTrue="1" operator="containsText" text="超过">
      <formula>NOT(ISERROR(SEARCH("超过",H50)))</formula>
    </cfRule>
  </conditionalFormatting>
  <conditionalFormatting sqref="I50">
    <cfRule type="expression" dxfId="124" priority="5" stopIfTrue="1">
      <formula>$J$50="超过30%"</formula>
    </cfRule>
  </conditionalFormatting>
  <conditionalFormatting sqref="J50">
    <cfRule type="containsText" dxfId="123" priority="17" stopIfTrue="1" operator="containsText" text="超过">
      <formula>NOT(ISERROR(SEARCH("超过",J50)))</formula>
    </cfRule>
  </conditionalFormatting>
  <conditionalFormatting sqref="F9:F42 H9:H42 J9:J42">
    <cfRule type="cellIs" dxfId="122" priority="1" operator="notEqual">
      <formula>100</formula>
    </cfRule>
  </conditionalFormatting>
  <conditionalFormatting sqref="F48 H48 J48">
    <cfRule type="containsText" dxfId="121" priority="18" stopIfTrue="1" operator="containsText" text="超过">
      <formula>NOT(ISERROR(SEARCH("超过",F48)))</formula>
    </cfRule>
  </conditionalFormatting>
  <conditionalFormatting sqref="F49 H49 J49">
    <cfRule type="containsText" dxfId="120" priority="14" stopIfTrue="1" operator="containsText" text="超过">
      <formula>NOT(ISERROR(SEARCH("超过",F49)))</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6 E26 G26 I26" xr:uid="{00000000-0002-0000-1500-000001000000}">
      <formula1>公共配套设施</formula1>
    </dataValidation>
    <dataValidation type="list" allowBlank="1" showInputMessage="1" showErrorMessage="1" sqref="C10 E10 G10 I10" xr:uid="{00000000-0002-0000-1500-000002000000}">
      <formula1>套工交易情况</formula1>
    </dataValidation>
    <dataValidation type="list" allowBlank="1" showInputMessage="1" showErrorMessage="1" sqref="C18 E18 G18 I18" xr:uid="{00000000-0002-0000-1500-000003000000}">
      <formula1>产业集聚程度</formula1>
    </dataValidation>
    <dataValidation type="list" allowBlank="1" showInputMessage="1" showErrorMessage="1" sqref="C11 E11 G11 I11" xr:uid="{00000000-0002-0000-1500-000004000000}">
      <formula1>套工用途</formula1>
    </dataValidation>
    <dataValidation type="list" allowBlank="1" showInputMessage="1" showErrorMessage="1" sqref="C24 E24 G24 I24" xr:uid="{00000000-0002-0000-1500-000005000000}">
      <formula1>环境</formula1>
    </dataValidation>
    <dataValidation type="list" allowBlank="1" showInputMessage="1" showErrorMessage="1" sqref="C28 E28 G28 I28" xr:uid="{00000000-0002-0000-1500-000006000000}">
      <formula1>基础设施水平</formula1>
    </dataValidation>
    <dataValidation type="list" allowBlank="1" showInputMessage="1" showErrorMessage="1" sqref="C20 E20 G20 I20" xr:uid="{00000000-0002-0000-1500-000007000000}">
      <formula1>交通便捷度</formula1>
    </dataValidation>
    <dataValidation type="list" allowBlank="1" showInputMessage="1" showErrorMessage="1" sqref="G60" xr:uid="{00000000-0002-0000-1500-000008000000}">
      <formula1>"住宅,工业"</formula1>
    </dataValidation>
    <dataValidation type="list" allowBlank="1" showInputMessage="1" showErrorMessage="1" sqref="C39 E39 G39 I39" xr:uid="{00000000-0002-0000-1500-000009000000}">
      <formula1>套工工程地质条件</formula1>
    </dataValidation>
    <dataValidation type="list" allowBlank="1" showInputMessage="1" showErrorMessage="1" sqref="C22 E22 G22 I22" xr:uid="{00000000-0002-0000-1500-00000A000000}">
      <formula1>区域土地利用方向</formula1>
    </dataValidation>
    <dataValidation type="list" allowBlank="1" showInputMessage="1" showErrorMessage="1" sqref="C37 E37 G37 I37" xr:uid="{00000000-0002-0000-1500-00000B000000}">
      <formula1>套工宗地形状</formula1>
    </dataValidation>
    <dataValidation type="list" allowBlank="1" showInputMessage="1" showErrorMessage="1" sqref="C29 E29 G29 I29" xr:uid="{00000000-0002-0000-1500-00000C000000}">
      <formula1>临街状况</formula1>
    </dataValidation>
    <dataValidation type="list" allowBlank="1" showInputMessage="1" showErrorMessage="1" sqref="D44" xr:uid="{00000000-0002-0000-1500-00000D000000}">
      <formula1>"简单平均,加权平均"</formula1>
    </dataValidation>
    <dataValidation type="list" allowBlank="1" showInputMessage="1" showErrorMessage="1" sqref="C31 E31 G31 I31" xr:uid="{00000000-0002-0000-1500-00000E000000}">
      <formula1>套工临街等级</formula1>
    </dataValidation>
    <dataValidation type="list" allowBlank="1" showInputMessage="1" showErrorMessage="1" sqref="E32 G32 I32" xr:uid="{00000000-0002-0000-1500-00000F000000}">
      <formula1>套工土地级别</formula1>
    </dataValidation>
    <dataValidation type="list" allowBlank="1" showInputMessage="1" showErrorMessage="1" sqref="C38 E38 G38 I38" xr:uid="{00000000-0002-0000-1500-000010000000}">
      <formula1>套工开发程度</formula1>
    </dataValidation>
    <dataValidation type="list" allowBlank="1" showInputMessage="1" showErrorMessage="1" sqref="C52" xr:uid="{00000000-0002-0000-1500-000011000000}">
      <formula1>"北京市系数,其他省市系数"</formula1>
    </dataValidation>
    <dataValidation type="list" allowBlank="1" showInputMessage="1" showErrorMessage="1" sqref="G59" xr:uid="{00000000-0002-0000-1500-000012000000}">
      <formula1>"商业,办公,住宅,工业"</formula1>
    </dataValidation>
    <dataValidation type="list" allowBlank="1" showInputMessage="1" showErrorMessage="1" sqref="D54:D62" xr:uid="{00000000-0002-0000-1500-000013000000}">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7"/>
  <sheetViews>
    <sheetView topLeftCell="J24" workbookViewId="0">
      <selection activeCell="M43" sqref="M43"/>
    </sheetView>
  </sheetViews>
  <sheetFormatPr defaultColWidth="9" defaultRowHeight="13.5"/>
  <cols>
    <col min="4" max="4" width="14.75" customWidth="1"/>
    <col min="5" max="5" width="21.125" customWidth="1"/>
    <col min="12" max="12" width="25.75" customWidth="1"/>
    <col min="13" max="13" width="23.5" customWidth="1"/>
    <col min="17" max="17" width="15.25" customWidth="1"/>
  </cols>
  <sheetData>
    <row r="1" spans="1:20" s="3300" customFormat="1" ht="12" customHeight="1">
      <c r="A1" s="3790" t="s">
        <v>1354</v>
      </c>
      <c r="B1" s="3790" t="s">
        <v>2330</v>
      </c>
      <c r="C1" s="3790"/>
      <c r="D1" s="3790"/>
      <c r="E1" s="3790" t="s">
        <v>2331</v>
      </c>
      <c r="F1" s="3790" t="s">
        <v>2332</v>
      </c>
      <c r="G1" s="3790" t="s">
        <v>2333</v>
      </c>
      <c r="H1" s="3790" t="s">
        <v>2334</v>
      </c>
      <c r="I1" s="3790" t="s">
        <v>2335</v>
      </c>
      <c r="J1" s="3790" t="s">
        <v>2336</v>
      </c>
      <c r="K1" s="3790"/>
      <c r="L1" s="3790" t="s">
        <v>2337</v>
      </c>
      <c r="M1" s="3790" t="s">
        <v>2338</v>
      </c>
      <c r="N1" s="3790"/>
      <c r="O1" s="3790"/>
      <c r="P1" s="3790"/>
      <c r="Q1" s="3790"/>
      <c r="R1" s="3790"/>
      <c r="S1" s="3790"/>
      <c r="T1" s="3790"/>
    </row>
    <row r="2" spans="1:20" s="3300" customFormat="1" ht="12" customHeight="1">
      <c r="A2" s="3790"/>
      <c r="B2" s="3790"/>
      <c r="C2" s="3790"/>
      <c r="D2" s="3790"/>
      <c r="E2" s="3790"/>
      <c r="F2" s="3790"/>
      <c r="G2" s="3790"/>
      <c r="H2" s="3790"/>
      <c r="I2" s="3790"/>
      <c r="J2" s="3790"/>
      <c r="K2" s="3790"/>
      <c r="L2" s="3790"/>
      <c r="M2" s="3790" t="s">
        <v>2339</v>
      </c>
      <c r="N2" s="3790" t="s">
        <v>2340</v>
      </c>
      <c r="O2" s="3790"/>
      <c r="P2" s="3790" t="s">
        <v>2341</v>
      </c>
      <c r="Q2" s="3790"/>
      <c r="R2" s="3790"/>
      <c r="S2" s="3790"/>
      <c r="T2" s="3790"/>
    </row>
    <row r="3" spans="1:20" s="3300" customFormat="1" ht="18.95" customHeight="1">
      <c r="A3" s="3790"/>
      <c r="B3" s="3790"/>
      <c r="C3" s="3790"/>
      <c r="D3" s="3790"/>
      <c r="E3" s="3790"/>
      <c r="F3" s="3790"/>
      <c r="G3" s="3790"/>
      <c r="H3" s="3790"/>
      <c r="I3" s="3790"/>
      <c r="J3" s="3301" t="s">
        <v>2330</v>
      </c>
      <c r="K3" s="3301" t="s">
        <v>2332</v>
      </c>
      <c r="L3" s="3790"/>
      <c r="M3" s="3790"/>
      <c r="N3" s="3790"/>
      <c r="O3" s="3790"/>
      <c r="P3" s="3301" t="s">
        <v>2342</v>
      </c>
      <c r="Q3" s="3301" t="s">
        <v>2343</v>
      </c>
      <c r="R3" s="3301" t="s">
        <v>1119</v>
      </c>
      <c r="S3" s="3301" t="s">
        <v>2344</v>
      </c>
      <c r="T3" s="3302" t="s">
        <v>2345</v>
      </c>
    </row>
    <row r="4" spans="1:20" s="3299" customFormat="1" ht="139.15" customHeight="1">
      <c r="A4" s="3298">
        <v>13</v>
      </c>
      <c r="B4" s="3789" t="s">
        <v>2320</v>
      </c>
      <c r="C4" s="3789"/>
      <c r="D4" s="3789"/>
      <c r="E4" s="3298" t="s">
        <v>2321</v>
      </c>
      <c r="F4" s="3298" t="s">
        <v>2322</v>
      </c>
      <c r="G4" s="3298" t="s">
        <v>2323</v>
      </c>
      <c r="H4" s="3298" t="s">
        <v>2324</v>
      </c>
      <c r="I4" s="3298" t="s">
        <v>2325</v>
      </c>
      <c r="J4" s="3298" t="s">
        <v>2326</v>
      </c>
      <c r="K4" s="3298" t="s">
        <v>2327</v>
      </c>
      <c r="L4" s="3298" t="s">
        <v>2328</v>
      </c>
      <c r="M4" s="3298" t="s">
        <v>2329</v>
      </c>
      <c r="N4" s="3789" t="s">
        <v>1204</v>
      </c>
      <c r="O4" s="3789"/>
      <c r="P4"/>
      <c r="Q4" s="3298" t="s">
        <v>2346</v>
      </c>
      <c r="R4"/>
      <c r="S4"/>
      <c r="T4"/>
    </row>
    <row r="6" spans="1:20" s="5" customFormat="1">
      <c r="A6" s="5" t="s">
        <v>675</v>
      </c>
      <c r="B6" s="5" t="s">
        <v>1355</v>
      </c>
      <c r="C6" s="5" t="s">
        <v>2670</v>
      </c>
      <c r="D6" s="5" t="s">
        <v>2671</v>
      </c>
      <c r="E6" s="5" t="s">
        <v>2672</v>
      </c>
      <c r="F6" s="5" t="s">
        <v>2673</v>
      </c>
      <c r="G6" s="5" t="s">
        <v>2674</v>
      </c>
      <c r="H6" s="5" t="s">
        <v>2675</v>
      </c>
      <c r="I6" s="5" t="s">
        <v>2676</v>
      </c>
      <c r="J6" s="5" t="s">
        <v>2677</v>
      </c>
      <c r="K6" s="5" t="s">
        <v>2678</v>
      </c>
    </row>
    <row r="7" spans="1:20" s="5" customFormat="1" ht="14.25" hidden="1">
      <c r="A7" s="5" t="s">
        <v>2679</v>
      </c>
      <c r="B7" s="5" t="s">
        <v>2319</v>
      </c>
      <c r="C7" s="5" t="s">
        <v>2319</v>
      </c>
      <c r="D7" s="5" t="s">
        <v>2319</v>
      </c>
      <c r="E7" s="5" t="s">
        <v>2319</v>
      </c>
      <c r="F7" s="5">
        <v>324</v>
      </c>
      <c r="G7" s="5">
        <v>48628</v>
      </c>
      <c r="H7" s="3370">
        <v>73659</v>
      </c>
      <c r="I7" s="5">
        <v>358184.54</v>
      </c>
      <c r="J7" s="5">
        <v>1105.51</v>
      </c>
      <c r="K7" s="5">
        <v>150</v>
      </c>
    </row>
    <row r="8" spans="1:20" s="5" customFormat="1" ht="14.25" hidden="1">
      <c r="A8" s="5" t="s">
        <v>2680</v>
      </c>
      <c r="B8" s="5" t="s">
        <v>1438</v>
      </c>
      <c r="C8" s="5" t="s">
        <v>2681</v>
      </c>
      <c r="D8" s="5" t="s">
        <v>2680</v>
      </c>
      <c r="E8" s="5" t="s">
        <v>2682</v>
      </c>
      <c r="F8" s="5">
        <v>233</v>
      </c>
      <c r="G8" s="5">
        <v>30468</v>
      </c>
      <c r="H8" s="3370">
        <v>83016</v>
      </c>
      <c r="I8" s="5">
        <v>252933.15</v>
      </c>
      <c r="J8" s="5">
        <v>1085.55</v>
      </c>
      <c r="K8" s="5">
        <v>131</v>
      </c>
    </row>
    <row r="9" spans="1:20" s="3371" customFormat="1">
      <c r="A9" s="3371" t="s">
        <v>2683</v>
      </c>
      <c r="B9" s="3371" t="s">
        <v>1438</v>
      </c>
      <c r="C9" s="3371" t="s">
        <v>2681</v>
      </c>
      <c r="D9" s="3371" t="s">
        <v>2683</v>
      </c>
      <c r="E9" s="3371" t="s">
        <v>2684</v>
      </c>
      <c r="F9" s="3371">
        <v>54</v>
      </c>
      <c r="G9" s="3371">
        <v>6035</v>
      </c>
      <c r="H9" s="3371">
        <v>55093</v>
      </c>
      <c r="I9" s="3371">
        <v>33250.11</v>
      </c>
      <c r="J9" s="3371">
        <v>615.74</v>
      </c>
      <c r="K9" s="3371">
        <v>112</v>
      </c>
    </row>
    <row r="10" spans="1:20" s="3371" customFormat="1">
      <c r="A10" s="3371" t="s">
        <v>2685</v>
      </c>
      <c r="B10" s="3371" t="s">
        <v>1438</v>
      </c>
      <c r="C10" s="3371" t="s">
        <v>2681</v>
      </c>
      <c r="D10" s="3371" t="s">
        <v>2686</v>
      </c>
      <c r="E10" s="3371" t="s">
        <v>2687</v>
      </c>
      <c r="F10" s="3371">
        <v>8</v>
      </c>
      <c r="G10" s="3371">
        <v>1805</v>
      </c>
      <c r="H10" s="3371">
        <v>53873</v>
      </c>
      <c r="I10" s="3371">
        <v>9722.2800000000007</v>
      </c>
      <c r="J10" s="3371">
        <v>1215.29</v>
      </c>
      <c r="K10" s="3371">
        <v>226</v>
      </c>
    </row>
    <row r="11" spans="1:20" s="5" customFormat="1" ht="14.25" hidden="1">
      <c r="A11" s="5" t="s">
        <v>2688</v>
      </c>
      <c r="B11" s="5" t="s">
        <v>1438</v>
      </c>
      <c r="C11" s="5" t="s">
        <v>2681</v>
      </c>
      <c r="D11" s="5" t="s">
        <v>2689</v>
      </c>
      <c r="E11" s="5" t="s">
        <v>2690</v>
      </c>
      <c r="F11" s="5">
        <v>8</v>
      </c>
      <c r="G11" s="5">
        <v>1870</v>
      </c>
      <c r="H11" s="3370">
        <v>71466</v>
      </c>
      <c r="I11" s="5">
        <v>13363.29</v>
      </c>
      <c r="J11" s="5">
        <v>1670.41</v>
      </c>
      <c r="K11" s="5">
        <v>234</v>
      </c>
    </row>
    <row r="12" spans="1:20" s="5" customFormat="1" hidden="1">
      <c r="A12" s="5" t="s">
        <v>2691</v>
      </c>
      <c r="B12" s="5" t="s">
        <v>1438</v>
      </c>
      <c r="C12" s="5" t="s">
        <v>2681</v>
      </c>
      <c r="D12" s="5" t="s">
        <v>2319</v>
      </c>
      <c r="E12" s="5" t="s">
        <v>2319</v>
      </c>
      <c r="F12" s="5">
        <v>6</v>
      </c>
      <c r="G12" s="5">
        <v>2538</v>
      </c>
      <c r="H12" s="5">
        <v>63178</v>
      </c>
      <c r="I12" s="5">
        <v>16032.5</v>
      </c>
      <c r="J12" s="5">
        <v>2672.08</v>
      </c>
      <c r="K12" s="5">
        <v>423</v>
      </c>
    </row>
    <row r="13" spans="1:20" s="3371" customFormat="1" hidden="1">
      <c r="A13" s="3371" t="s">
        <v>2692</v>
      </c>
      <c r="B13" s="3371" t="s">
        <v>1438</v>
      </c>
      <c r="C13" s="3371" t="s">
        <v>2681</v>
      </c>
      <c r="D13" s="3371" t="s">
        <v>2692</v>
      </c>
      <c r="E13" s="3371" t="s">
        <v>2693</v>
      </c>
      <c r="F13" s="3371">
        <v>6</v>
      </c>
      <c r="G13" s="3371">
        <v>4684</v>
      </c>
      <c r="H13" s="3371">
        <v>56703</v>
      </c>
      <c r="I13" s="3371">
        <v>26559.63</v>
      </c>
      <c r="J13" s="3371">
        <v>4426.6099999999997</v>
      </c>
      <c r="K13" s="3371">
        <v>781</v>
      </c>
    </row>
    <row r="14" spans="1:20" s="3371" customFormat="1">
      <c r="A14" s="3371" t="s">
        <v>2694</v>
      </c>
      <c r="B14" s="3371" t="s">
        <v>1438</v>
      </c>
      <c r="C14" s="3371" t="s">
        <v>2681</v>
      </c>
      <c r="D14" s="3371" t="s">
        <v>2694</v>
      </c>
      <c r="E14" s="3371" t="s">
        <v>2695</v>
      </c>
      <c r="F14" s="3371">
        <v>3</v>
      </c>
      <c r="G14" s="3371">
        <v>390</v>
      </c>
      <c r="H14" s="3371">
        <v>56927</v>
      </c>
      <c r="I14" s="3371">
        <v>2218.2199999999998</v>
      </c>
      <c r="J14" s="3371">
        <v>739.41</v>
      </c>
      <c r="K14" s="3371">
        <v>130</v>
      </c>
    </row>
    <row r="15" spans="1:20" s="5" customFormat="1" ht="14.25" hidden="1">
      <c r="A15" s="5" t="s">
        <v>2696</v>
      </c>
      <c r="B15" s="5" t="s">
        <v>1438</v>
      </c>
      <c r="C15" s="5" t="s">
        <v>2681</v>
      </c>
      <c r="D15" s="5" t="s">
        <v>2697</v>
      </c>
      <c r="E15" s="5" t="s">
        <v>2698</v>
      </c>
      <c r="F15" s="5">
        <v>3</v>
      </c>
      <c r="G15" s="5">
        <v>338</v>
      </c>
      <c r="H15" s="3370">
        <v>70328</v>
      </c>
      <c r="I15" s="5">
        <v>2374.61</v>
      </c>
      <c r="J15" s="5">
        <v>791.54</v>
      </c>
      <c r="K15" s="5">
        <v>113</v>
      </c>
    </row>
    <row r="16" spans="1:20" s="5" customFormat="1" hidden="1">
      <c r="A16" s="5" t="s">
        <v>2699</v>
      </c>
      <c r="B16" s="5" t="s">
        <v>1438</v>
      </c>
      <c r="C16" s="5" t="s">
        <v>2681</v>
      </c>
      <c r="D16" s="5" t="s">
        <v>2319</v>
      </c>
      <c r="E16" s="5" t="s">
        <v>2319</v>
      </c>
      <c r="F16" s="5">
        <v>2</v>
      </c>
      <c r="G16" s="5">
        <v>195</v>
      </c>
      <c r="H16" s="5">
        <v>26622</v>
      </c>
      <c r="I16" s="5">
        <v>520</v>
      </c>
      <c r="J16" s="5">
        <v>260</v>
      </c>
      <c r="K16" s="5">
        <v>98</v>
      </c>
    </row>
    <row r="17" spans="1:11" s="5" customFormat="1" hidden="1">
      <c r="A17" s="5" t="s">
        <v>2700</v>
      </c>
      <c r="B17" s="5" t="s">
        <v>1438</v>
      </c>
      <c r="C17" s="5" t="s">
        <v>2681</v>
      </c>
      <c r="D17" s="5" t="s">
        <v>2701</v>
      </c>
      <c r="E17" s="5" t="s">
        <v>2702</v>
      </c>
      <c r="F17" s="5">
        <v>1</v>
      </c>
      <c r="G17" s="5">
        <v>305</v>
      </c>
      <c r="H17" s="5">
        <v>39650</v>
      </c>
      <c r="I17" s="5">
        <v>1210.75</v>
      </c>
      <c r="J17" s="5">
        <v>1210.75</v>
      </c>
      <c r="K17" s="5">
        <v>305</v>
      </c>
    </row>
  </sheetData>
  <mergeCells count="15">
    <mergeCell ref="B4:D4"/>
    <mergeCell ref="N4:O4"/>
    <mergeCell ref="A1:A3"/>
    <mergeCell ref="B1:D3"/>
    <mergeCell ref="E1:E3"/>
    <mergeCell ref="F1:F3"/>
    <mergeCell ref="G1:G3"/>
    <mergeCell ref="H1:H3"/>
    <mergeCell ref="I1:I3"/>
    <mergeCell ref="J1:K2"/>
    <mergeCell ref="L1:L3"/>
    <mergeCell ref="M1:T1"/>
    <mergeCell ref="M2:M3"/>
    <mergeCell ref="N2:O3"/>
    <mergeCell ref="P2:T2"/>
  </mergeCells>
  <phoneticPr fontId="231" type="noConversion"/>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18"/>
  <sheetViews>
    <sheetView view="pageBreakPreview" topLeftCell="A11" zoomScale="85" zoomScaleNormal="60" workbookViewId="0">
      <selection activeCell="E20" sqref="E20"/>
    </sheetView>
  </sheetViews>
  <sheetFormatPr defaultColWidth="12" defaultRowHeight="12"/>
  <cols>
    <col min="1" max="1" width="9.75" style="1314" customWidth="1"/>
    <col min="2" max="2" width="20.875" style="1315" customWidth="1"/>
    <col min="3" max="4" width="12" style="1316"/>
    <col min="5" max="5" width="14.625" style="1316" customWidth="1"/>
    <col min="6" max="8" width="12" style="1316"/>
    <col min="9" max="9" width="12.25" style="1316" customWidth="1"/>
    <col min="10" max="10" width="12" style="1316"/>
    <col min="11" max="11" width="9.625" style="1313" customWidth="1"/>
    <col min="12" max="12" width="12" style="1316"/>
    <col min="13" max="14" width="10.625" style="1316" customWidth="1"/>
    <col min="15" max="17" width="12" style="1316"/>
    <col min="18" max="18" width="12" style="1314"/>
    <col min="19" max="22" width="15.5" style="1314" customWidth="1"/>
    <col min="23" max="28" width="12" style="1316"/>
    <col min="29" max="29" width="9.375" style="1314" customWidth="1"/>
    <col min="30" max="35" width="9.375" style="1317" customWidth="1"/>
    <col min="36" max="39" width="9.375" style="1314" customWidth="1"/>
    <col min="40" max="41" width="9.375" style="1316" customWidth="1"/>
    <col min="42" max="16384" width="12" style="1316"/>
  </cols>
  <sheetData>
    <row r="1" spans="1:39" ht="20.25">
      <c r="A1" s="1318" t="s">
        <v>1134</v>
      </c>
      <c r="B1" s="1319"/>
      <c r="C1" s="1320" t="s">
        <v>380</v>
      </c>
      <c r="D1" s="1321">
        <f>SUM(D29:D30,D33:D39)</f>
        <v>63500</v>
      </c>
      <c r="E1" s="1320" t="s">
        <v>383</v>
      </c>
      <c r="F1" s="1322"/>
      <c r="G1" s="1323"/>
      <c r="H1" s="1323"/>
      <c r="I1" s="1323"/>
      <c r="J1" s="1323"/>
      <c r="K1" s="1509"/>
      <c r="L1" s="1510" t="s">
        <v>1135</v>
      </c>
      <c r="M1" s="1511">
        <f>SUMPRODUCT((区片价!B5:B9=I2)*(区片价!C3:F3=E2)*(区片价!C5:F9))</f>
        <v>0</v>
      </c>
      <c r="N1" s="1512">
        <f>SUMPRODUCT((因素修正幅度!B5:B9=I2)*(因素修正幅度!C3:F3=E2)*(因素修正幅度!C5:F9))</f>
        <v>0</v>
      </c>
      <c r="O1" s="1509"/>
      <c r="P1" s="1509"/>
      <c r="Q1" s="1509"/>
      <c r="R1" s="1600" t="s">
        <v>1136</v>
      </c>
      <c r="S1" s="1600" t="s">
        <v>1137</v>
      </c>
      <c r="T1" s="1600" t="s">
        <v>1138</v>
      </c>
      <c r="U1" s="1600" t="s">
        <v>1139</v>
      </c>
      <c r="V1" s="1600" t="s">
        <v>602</v>
      </c>
      <c r="W1" s="1509"/>
      <c r="X1" s="1509"/>
      <c r="Y1" s="1509"/>
      <c r="Z1" s="1509"/>
      <c r="AA1" s="1509"/>
      <c r="AB1" s="1509"/>
      <c r="AC1" s="1610"/>
    </row>
    <row r="2" spans="1:39" ht="15.75">
      <c r="A2" s="1320" t="s">
        <v>1140</v>
      </c>
      <c r="B2" s="1324">
        <f ca="1">C26</f>
        <v>67361</v>
      </c>
      <c r="C2" s="1325" t="s">
        <v>1010</v>
      </c>
      <c r="D2" s="1326" t="s">
        <v>345</v>
      </c>
      <c r="E2" s="1327" t="s">
        <v>368</v>
      </c>
      <c r="F2" s="1326" t="s">
        <v>217</v>
      </c>
      <c r="G2" s="1328" t="str">
        <f>IF(E2="商业",项目基本情况!B43,IF(E2="办公",项目基本情况!C43,IF(E2="住宅",项目基本情况!D43,项目基本情况!E43)))</f>
        <v>八级</v>
      </c>
      <c r="H2" s="1326" t="s">
        <v>415</v>
      </c>
      <c r="I2" s="1513" t="str">
        <f>IF(E2="商业",项目基本情况!B44,IF(E2="办公",项目基本情况!C44,IF(E2="住宅",项目基本情况!D44,项目基本情况!E44)))</f>
        <v>Ⅷ-02</v>
      </c>
      <c r="J2" s="1514"/>
      <c r="K2" s="1515"/>
      <c r="L2" s="1516" t="s">
        <v>1141</v>
      </c>
      <c r="M2" s="1517">
        <f>SUMPRODUCT((区片价!B10:B28=I2)*(区片价!C3:F3=E2)*(区片价!C10:F28))</f>
        <v>0</v>
      </c>
      <c r="N2" s="1518">
        <f>SUMPRODUCT((因素修正幅度!B10:B28=I2)*(因素修正幅度!C3:F3=E2)*(因素修正幅度!C10:F28))</f>
        <v>0</v>
      </c>
      <c r="O2" s="1515"/>
      <c r="P2" s="1509"/>
      <c r="Q2" s="1509"/>
      <c r="R2" s="1601">
        <v>1</v>
      </c>
      <c r="S2" s="1601">
        <f>ROUND(IF(G3&gt;1,IF(R2&lt;7,SUMPRODUCT((B93:B98=R2)*(C92:N92=G2)*(C93:N98)),SUMIF(C92:N92,G2,C100:N100)),IF(R2&lt;7,SUMPRODUCT((B102:B107=R2)*(C92:N92=G2)*(C102:N107)),SUMIF(C92:N92,G2,C109:N109))),4)</f>
        <v>1.9419999999999999</v>
      </c>
      <c r="T2" s="1601">
        <f ca="1">ROUND($C$5*$C$18*$C$19*$C$20*S2*$C$24,0)</f>
        <v>23813</v>
      </c>
      <c r="U2" s="1602"/>
      <c r="V2" s="1601">
        <f ca="1">ROUND(T2*U2/10000,0)</f>
        <v>0</v>
      </c>
      <c r="W2" s="1509"/>
      <c r="X2" s="1509"/>
      <c r="Y2" s="1509"/>
      <c r="Z2" s="1509"/>
      <c r="AA2" s="1509"/>
      <c r="AB2" s="1509"/>
      <c r="AC2" s="1610"/>
    </row>
    <row r="3" spans="1:39" ht="24">
      <c r="A3" s="1329" t="s">
        <v>894</v>
      </c>
      <c r="B3" s="1324">
        <f ca="1">ROUND(B2*10000/D1,0)</f>
        <v>10608</v>
      </c>
      <c r="C3" s="1325" t="s">
        <v>1142</v>
      </c>
      <c r="D3" s="1326" t="s">
        <v>1143</v>
      </c>
      <c r="E3" s="1330" t="s">
        <v>1144</v>
      </c>
      <c r="F3" s="1331" t="s">
        <v>2664</v>
      </c>
      <c r="G3" s="1332">
        <f>IF(F3="宗地容积率",'数据-汇总表'!I4,IF(F3="估价对象容积率",'数据-汇总表'!I6,'数据-汇总表'!I7))</f>
        <v>2.5</v>
      </c>
      <c r="H3" s="1333" t="s">
        <v>1145</v>
      </c>
      <c r="I3" s="1519"/>
      <c r="J3" s="1514" t="s">
        <v>1146</v>
      </c>
      <c r="K3" s="1515"/>
      <c r="L3" s="1516" t="s">
        <v>1147</v>
      </c>
      <c r="M3" s="1517">
        <f>SUMPRODUCT((区片价!B29:B48=I2)*(区片价!C3:F3=E2)*(区片价!C29:F48))</f>
        <v>0</v>
      </c>
      <c r="N3" s="1518">
        <f>SUMPRODUCT((因素修正幅度!B29:B48=I2)*(因素修正幅度!C3:F3=E2)*(因素修正幅度!C29:F48))</f>
        <v>0</v>
      </c>
      <c r="O3" s="1515"/>
      <c r="P3" s="1509"/>
      <c r="Q3" s="1509"/>
      <c r="R3" s="1601">
        <v>2</v>
      </c>
      <c r="S3" s="1601">
        <f>ROUND(IF(G3&gt;1,IF(R3&lt;7,SUMPRODUCT((B93:B98=R3)*(C92:N92=G2)*(C93:N98)),SUMIF(C92:N92,G2,C100:N100)),IF(R3&lt;7,SUMPRODUCT((B102:B107=R3)*(C92:N92=G2)*(C102:N107)),SUMIF(C92:N92,G2,C109:N109))),4)</f>
        <v>1.2799</v>
      </c>
      <c r="T3" s="1601">
        <f t="shared" ref="T3:T16" ca="1" si="0">ROUND($C$5*$C$18*$C$19*$C$20*S3*$C$24,0)</f>
        <v>15694</v>
      </c>
      <c r="U3" s="1602"/>
      <c r="V3" s="1601">
        <f t="shared" ref="V3:V16" ca="1" si="1">ROUND(T3*U3/10000,0)</f>
        <v>0</v>
      </c>
      <c r="W3" s="1509"/>
      <c r="X3" s="1509"/>
      <c r="Y3" s="1509"/>
      <c r="Z3" s="1509"/>
      <c r="AA3" s="1509"/>
      <c r="AB3" s="1509"/>
      <c r="AC3" s="1610"/>
    </row>
    <row r="4" spans="1:39" ht="28.5">
      <c r="A4" s="1334" t="s">
        <v>1148</v>
      </c>
      <c r="B4" s="1335" t="e">
        <f ca="1">ROUND(B2*10000/F1,0)</f>
        <v>#DIV/0!</v>
      </c>
      <c r="C4" s="1336" t="s">
        <v>1142</v>
      </c>
      <c r="D4" s="1336" t="e">
        <f ca="1">ROUND(B2/(F1/666.67),0)</f>
        <v>#DIV/0!</v>
      </c>
      <c r="E4" s="1336" t="s">
        <v>1149</v>
      </c>
      <c r="F4" s="1337"/>
      <c r="G4" s="1337"/>
      <c r="H4" s="1337"/>
      <c r="I4" s="1337"/>
      <c r="J4" s="1520"/>
      <c r="K4" s="1521"/>
      <c r="L4" s="1516" t="s">
        <v>1150</v>
      </c>
      <c r="M4" s="1517">
        <f>SUMPRODUCT((区片价!B49:B75=I2)*(区片价!C3:F3=E2)*(区片价!C49:F75))</f>
        <v>0</v>
      </c>
      <c r="N4" s="1518">
        <f>SUMPRODUCT((因素修正幅度!B49:B75=I2)*(因素修正幅度!C3:F3=E2)*(因素修正幅度!C49:F75))</f>
        <v>0</v>
      </c>
      <c r="O4" s="1521"/>
      <c r="P4" s="1509"/>
      <c r="Q4" s="1509"/>
      <c r="R4" s="1601">
        <v>3</v>
      </c>
      <c r="S4" s="1601">
        <f>ROUND(IF(G3&gt;1,IF(R4&lt;7,SUMPRODUCT((B93:B98=R4)*(C92:N92=G2)*(C93:N98)),SUMIF(C92:N92,G2,C100:N100)),IF(R4&lt;7,SUMPRODUCT((B102:B107=R4)*(C92:N92=G2)*(C102:N107)),SUMIF(C92:N92,G2,C109:N109))),4)</f>
        <v>1.0072000000000001</v>
      </c>
      <c r="T4" s="1601">
        <f t="shared" ca="1" si="0"/>
        <v>12350</v>
      </c>
      <c r="U4" s="1602"/>
      <c r="V4" s="1601">
        <f t="shared" ca="1" si="1"/>
        <v>0</v>
      </c>
      <c r="W4" s="1509"/>
      <c r="X4" s="1509"/>
      <c r="Y4" s="1509"/>
      <c r="Z4" s="1509"/>
      <c r="AA4" s="1509"/>
      <c r="AB4" s="1509"/>
      <c r="AC4" s="1610"/>
    </row>
    <row r="5" spans="1:39" s="1312" customFormat="1" ht="15">
      <c r="A5" s="1338" t="s">
        <v>826</v>
      </c>
      <c r="B5" s="1339" t="s">
        <v>1151</v>
      </c>
      <c r="C5" s="1340">
        <f>ROUND(IF(E2="商业",C6*C7+C16,(IF(E2="住宅",C6*C12+C16,C6+C16))),0)</f>
        <v>6632</v>
      </c>
      <c r="D5" s="1341">
        <f>ROUND(C6+C16,0)</f>
        <v>6027</v>
      </c>
      <c r="E5" s="1341"/>
      <c r="F5" s="1342"/>
      <c r="G5" s="1343"/>
      <c r="H5" s="1343"/>
      <c r="I5" s="1343"/>
      <c r="J5" s="1522"/>
      <c r="K5" s="1523"/>
      <c r="L5" s="1516" t="s">
        <v>1152</v>
      </c>
      <c r="M5" s="1517">
        <f>SUMPRODUCT((区片价!B76:B109=I2)*(区片价!C3:F3=E2)*(区片价!C76:F109))</f>
        <v>0</v>
      </c>
      <c r="N5" s="1518">
        <f>SUMPRODUCT((因素修正幅度!B76:B109=I2)*(因素修正幅度!C3:F3=E2)*(因素修正幅度!C76:F109))</f>
        <v>0</v>
      </c>
      <c r="O5" s="1523"/>
      <c r="P5" s="1524"/>
      <c r="Q5" s="1509"/>
      <c r="R5" s="1601">
        <v>4</v>
      </c>
      <c r="S5" s="1601">
        <f>ROUND(IF(G3&gt;1,IF(R5&lt;7,SUMPRODUCT((B93:B98=R5)*(C92:N92=G2)*(C93:N98)),SUMIF(C92:N92,G2,C100:N100)),IF(R5&lt;7,SUMPRODUCT((B102:B107=R5)*(C92:N92=G2)*(C102:N107)),SUMIF(C92:N92,G2,C109:N109))),4)</f>
        <v>0.75249999999999995</v>
      </c>
      <c r="T5" s="1601">
        <f t="shared" ca="1" si="0"/>
        <v>9227</v>
      </c>
      <c r="U5" s="1602"/>
      <c r="V5" s="1601">
        <f t="shared" ca="1" si="1"/>
        <v>0</v>
      </c>
      <c r="W5" s="1509"/>
      <c r="X5" s="1509"/>
      <c r="Y5" s="1509"/>
      <c r="Z5" s="1509"/>
      <c r="AA5" s="1509"/>
      <c r="AB5" s="1509"/>
      <c r="AC5" s="1612"/>
      <c r="AD5" s="1613"/>
      <c r="AE5" s="1613"/>
      <c r="AF5" s="1613"/>
      <c r="AG5" s="1613"/>
      <c r="AH5" s="1613"/>
      <c r="AI5" s="1613"/>
      <c r="AJ5" s="1622"/>
      <c r="AK5" s="1622"/>
      <c r="AL5" s="1622"/>
      <c r="AM5" s="1622"/>
    </row>
    <row r="6" spans="1:39" ht="15">
      <c r="A6" s="1344" t="s">
        <v>1153</v>
      </c>
      <c r="B6" s="1345" t="s">
        <v>1151</v>
      </c>
      <c r="C6" s="1346">
        <f>SUMIF(L1:L12,基准地价!G2,M1:M12)</f>
        <v>6050</v>
      </c>
      <c r="D6" s="1347" t="s">
        <v>1154</v>
      </c>
      <c r="E6" s="1348"/>
      <c r="F6" s="1348"/>
      <c r="G6" s="1349"/>
      <c r="H6" s="1349"/>
      <c r="I6" s="1349"/>
      <c r="J6" s="1525"/>
      <c r="K6" s="1526"/>
      <c r="L6" s="1516" t="s">
        <v>1155</v>
      </c>
      <c r="M6" s="1517">
        <f>SUMPRODUCT((区片价!B110:B157=I2)*(区片价!C3:F3=E2)*(区片价!C110:F157))</f>
        <v>0</v>
      </c>
      <c r="N6" s="1518">
        <f>SUMPRODUCT((因素修正幅度!B110:B157=I2)*(因素修正幅度!C3:F3=E2)*(因素修正幅度!C110:F157))</f>
        <v>0</v>
      </c>
      <c r="O6" s="1526"/>
      <c r="P6" s="1527"/>
      <c r="Q6" s="1509"/>
      <c r="R6" s="1601">
        <v>5</v>
      </c>
      <c r="S6" s="1601">
        <f>ROUND(IF(G3&gt;1,IF(R6&lt;7,SUMPRODUCT((B93:B98=R6)*(C92:N92=G2)*(C93:N98)),SUMIF(C92:N92,G2,C100:N100)),IF(R6&lt;7,SUMPRODUCT((B102:B107=R6)*(C92:N92=G2)*(C102:N107)),SUMIF(C92:N92,G2,C109:N109))),4)</f>
        <v>0.56589999999999996</v>
      </c>
      <c r="T6" s="1601">
        <f t="shared" ca="1" si="0"/>
        <v>6939</v>
      </c>
      <c r="U6" s="1602"/>
      <c r="V6" s="1601">
        <f t="shared" ca="1" si="1"/>
        <v>0</v>
      </c>
      <c r="W6" s="1509"/>
      <c r="X6" s="1509"/>
      <c r="Y6" s="1509"/>
      <c r="Z6" s="1509"/>
      <c r="AA6" s="1509"/>
      <c r="AB6" s="1509"/>
      <c r="AC6" s="1612"/>
      <c r="AD6" s="1613"/>
      <c r="AE6" s="1613"/>
      <c r="AF6" s="1613"/>
      <c r="AG6" s="1613"/>
      <c r="AH6" s="1613"/>
      <c r="AI6" s="1613"/>
      <c r="AJ6" s="1622"/>
    </row>
    <row r="7" spans="1:39" ht="24">
      <c r="A7" s="3798" t="str">
        <f>IF(E2="商业",IF(C8="不临58条商业街","",2),"")</f>
        <v/>
      </c>
      <c r="B7" s="1350" t="s">
        <v>1156</v>
      </c>
      <c r="C7" s="1351">
        <f>IF(C8="不临58条商业街",1,ROUND(1+(1.6*E8+1.2*E9+0.8*E10+0.4*E11)*C9,4))</f>
        <v>1</v>
      </c>
      <c r="D7" s="1352" t="s">
        <v>1157</v>
      </c>
      <c r="E7" s="1353"/>
      <c r="F7" s="1354"/>
      <c r="G7" s="1355"/>
      <c r="H7" s="1355"/>
      <c r="I7" s="1355"/>
      <c r="J7" s="1528"/>
      <c r="K7" s="1526"/>
      <c r="L7" s="1516" t="s">
        <v>1158</v>
      </c>
      <c r="M7" s="1517">
        <f>SUMPRODUCT((区片价!B158:B205=I2)*(区片价!C3:F3=E2)*(区片价!C158:F205))</f>
        <v>0</v>
      </c>
      <c r="N7" s="1518">
        <f>SUMPRODUCT((因素修正幅度!B158:B205=I2)*(因素修正幅度!C3:F3=E2)*(因素修正幅度!C158:F205))</f>
        <v>0</v>
      </c>
      <c r="O7" s="1526"/>
      <c r="P7" s="1527"/>
      <c r="Q7" s="1509"/>
      <c r="R7" s="1601">
        <v>6</v>
      </c>
      <c r="S7" s="1601">
        <f>ROUND(IF(G3&gt;1,IF(R7&lt;7,SUMPRODUCT((B93:B98=R7)*(C92:N92=G2)*(C93:N98)),SUMIF(C92:N92,G2,C100:N100)),IF(R7&lt;7,SUMPRODUCT((B102:B107=R7)*(C92:N92=G2)*(C102:N107)),SUMIF(C92:N92,G2,C109:N109))),4)</f>
        <v>0.45250000000000001</v>
      </c>
      <c r="T7" s="1601">
        <f t="shared" ca="1" si="0"/>
        <v>5549</v>
      </c>
      <c r="U7" s="1602"/>
      <c r="V7" s="1601">
        <f t="shared" ca="1" si="1"/>
        <v>0</v>
      </c>
      <c r="W7" s="1603" t="s">
        <v>1159</v>
      </c>
      <c r="X7" s="1604" t="str">
        <f>G2</f>
        <v>八级</v>
      </c>
      <c r="Y7" s="1604" t="s">
        <v>1160</v>
      </c>
      <c r="Z7" s="1614">
        <f>G3</f>
        <v>2.5</v>
      </c>
      <c r="AA7" s="1607"/>
      <c r="AB7" s="1607"/>
      <c r="AC7" s="1553"/>
      <c r="AD7" s="1615"/>
      <c r="AE7" s="1615"/>
      <c r="AF7" s="1615"/>
      <c r="AG7" s="1615"/>
      <c r="AH7" s="1615"/>
      <c r="AI7" s="1615"/>
      <c r="AJ7" s="1623"/>
    </row>
    <row r="8" spans="1:39" ht="25.5">
      <c r="A8" s="3799"/>
      <c r="B8" s="1333" t="s">
        <v>1161</v>
      </c>
      <c r="C8" s="1356" t="s">
        <v>1162</v>
      </c>
      <c r="D8" s="1357" t="s">
        <v>1163</v>
      </c>
      <c r="E8" s="1358" t="e">
        <f>ROUND(C11/E7,4)</f>
        <v>#DIV/0!</v>
      </c>
      <c r="F8" s="1359" t="s">
        <v>1164</v>
      </c>
      <c r="G8" s="1360"/>
      <c r="H8" s="1360"/>
      <c r="I8" s="1360"/>
      <c r="J8" s="1529"/>
      <c r="K8" s="1526"/>
      <c r="L8" s="1516" t="s">
        <v>1165</v>
      </c>
      <c r="M8" s="1517">
        <f>SUMPRODUCT((区片价!B206:B244=I2)*(区片价!C3:F3=E2)*(区片价!C206:F244))</f>
        <v>6050</v>
      </c>
      <c r="N8" s="1518">
        <f>SUMPRODUCT((因素修正幅度!B206:B244=I2)*(因素修正幅度!C3:F3=E2)*(因素修正幅度!C206:F244))</f>
        <v>0.15</v>
      </c>
      <c r="O8" s="1526"/>
      <c r="P8" s="1509"/>
      <c r="Q8" s="1509"/>
      <c r="R8" s="1601">
        <v>7</v>
      </c>
      <c r="S8" s="1602"/>
      <c r="T8" s="1601">
        <f t="shared" ca="1" si="0"/>
        <v>0</v>
      </c>
      <c r="U8" s="1602"/>
      <c r="V8" s="1601">
        <f t="shared" ca="1" si="1"/>
        <v>0</v>
      </c>
      <c r="W8" s="3792" t="s">
        <v>1166</v>
      </c>
      <c r="X8" s="3793"/>
      <c r="Y8" s="1448" t="s">
        <v>1167</v>
      </c>
      <c r="Z8" s="1448" t="s">
        <v>1168</v>
      </c>
      <c r="AA8" s="1448" t="s">
        <v>1169</v>
      </c>
      <c r="AB8" s="1448" t="s">
        <v>1170</v>
      </c>
      <c r="AC8" s="1448" t="s">
        <v>1171</v>
      </c>
      <c r="AD8" s="1448" t="s">
        <v>1172</v>
      </c>
      <c r="AE8" s="1448" t="s">
        <v>1173</v>
      </c>
      <c r="AF8" s="1448" t="s">
        <v>1174</v>
      </c>
      <c r="AG8" s="1448" t="s">
        <v>1175</v>
      </c>
      <c r="AH8" s="1448" t="s">
        <v>1176</v>
      </c>
      <c r="AI8" s="1448" t="s">
        <v>1177</v>
      </c>
      <c r="AJ8" s="1448" t="s">
        <v>1178</v>
      </c>
    </row>
    <row r="9" spans="1:39" ht="15">
      <c r="A9" s="3799"/>
      <c r="B9" s="1333" t="s">
        <v>1179</v>
      </c>
      <c r="C9" s="1361">
        <f>SUMIF(修正!C59:C119,C8,修正!E59:E119)</f>
        <v>0</v>
      </c>
      <c r="D9" s="1362" t="s">
        <v>1180</v>
      </c>
      <c r="E9" s="1362" t="e">
        <f>ROUND(C11/E7,4)</f>
        <v>#DIV/0!</v>
      </c>
      <c r="F9" s="1359" t="s">
        <v>1181</v>
      </c>
      <c r="G9" s="1360"/>
      <c r="H9" s="1360"/>
      <c r="I9" s="1360"/>
      <c r="J9" s="1529"/>
      <c r="K9" s="1526"/>
      <c r="L9" s="1516" t="s">
        <v>1182</v>
      </c>
      <c r="M9" s="1517">
        <f>SUMPRODUCT((区片价!B245:B289=I2)*(区片价!C3:F3=E2)*(区片价!C245:F289))</f>
        <v>0</v>
      </c>
      <c r="N9" s="1518">
        <f>SUMPRODUCT((因素修正幅度!B245:B289=I2)*(因素修正幅度!C3:F3=E2)*(因素修正幅度!C245:F289))</f>
        <v>0</v>
      </c>
      <c r="O9" s="1526"/>
      <c r="P9" s="1509"/>
      <c r="Q9" s="1509"/>
      <c r="R9" s="1601">
        <v>8</v>
      </c>
      <c r="S9" s="1602"/>
      <c r="T9" s="1601">
        <f t="shared" ca="1" si="0"/>
        <v>0</v>
      </c>
      <c r="U9" s="1602"/>
      <c r="V9" s="1601">
        <f t="shared" ca="1" si="1"/>
        <v>0</v>
      </c>
      <c r="W9" s="3791" t="s">
        <v>1183</v>
      </c>
      <c r="X9" s="1605" t="s">
        <v>1184</v>
      </c>
      <c r="Y9" s="1616"/>
      <c r="Z9" s="1617">
        <f t="shared" ref="Z9:AJ9" si="2">$Y$9</f>
        <v>0</v>
      </c>
      <c r="AA9" s="1617">
        <f t="shared" si="2"/>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9" ht="15">
      <c r="A10" s="3799"/>
      <c r="B10" s="1333" t="s">
        <v>1185</v>
      </c>
      <c r="C10" s="1362">
        <f>SUMIF(修正!C59:C119,C8,修正!F59:F119)</f>
        <v>0</v>
      </c>
      <c r="D10" s="1362" t="s">
        <v>1186</v>
      </c>
      <c r="E10" s="1362" t="e">
        <f>ROUND(C11/E7,4)</f>
        <v>#DIV/0!</v>
      </c>
      <c r="F10" s="1359" t="s">
        <v>1187</v>
      </c>
      <c r="G10" s="1360"/>
      <c r="H10" s="1360"/>
      <c r="I10" s="1360"/>
      <c r="J10" s="1529"/>
      <c r="K10" s="1526"/>
      <c r="L10" s="1516" t="s">
        <v>1188</v>
      </c>
      <c r="M10" s="1517">
        <f>SUMPRODUCT((区片价!B290:B316=I2)*(区片价!C3:F3=E2)*(区片价!C290:F316))</f>
        <v>0</v>
      </c>
      <c r="N10" s="1518">
        <f>SUMPRODUCT((因素修正幅度!B290:B316=I2)*(因素修正幅度!C3:F3=E2)*(因素修正幅度!C290:F316))</f>
        <v>0</v>
      </c>
      <c r="O10" s="1526"/>
      <c r="P10" s="1509"/>
      <c r="Q10" s="1509"/>
      <c r="R10" s="1601">
        <v>9</v>
      </c>
      <c r="S10" s="1602"/>
      <c r="T10" s="1601">
        <f t="shared" ca="1" si="0"/>
        <v>0</v>
      </c>
      <c r="U10" s="1602"/>
      <c r="V10" s="1601">
        <f t="shared" ca="1" si="1"/>
        <v>0</v>
      </c>
      <c r="W10" s="3791"/>
      <c r="X10" s="1605">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9" ht="15.75" customHeight="1">
      <c r="A11" s="3799"/>
      <c r="B11" s="1363" t="s">
        <v>1189</v>
      </c>
      <c r="C11" s="1364">
        <f>C10/4</f>
        <v>0</v>
      </c>
      <c r="D11" s="1364" t="s">
        <v>1190</v>
      </c>
      <c r="E11" s="1364" t="e">
        <f>ROUND(C11/E7,4)</f>
        <v>#DIV/0!</v>
      </c>
      <c r="F11" s="1365" t="s">
        <v>1191</v>
      </c>
      <c r="G11" s="1366"/>
      <c r="H11" s="1366"/>
      <c r="I11" s="1366"/>
      <c r="J11" s="1530"/>
      <c r="K11" s="1526"/>
      <c r="L11" s="1516" t="s">
        <v>1192</v>
      </c>
      <c r="M11" s="1517">
        <f>SUMPRODUCT((区片价!B317:B337=I2)*(区片价!C3:F3=E2)*(区片价!C317:F337))</f>
        <v>0</v>
      </c>
      <c r="N11" s="1518">
        <f>SUMPRODUCT((因素修正幅度!B317:B337=I2)*(因素修正幅度!C3:F3=E2)*(因素修正幅度!C317:F337))</f>
        <v>0</v>
      </c>
      <c r="O11" s="1526"/>
      <c r="P11" s="1509"/>
      <c r="Q11" s="1509"/>
      <c r="R11" s="1601">
        <v>10</v>
      </c>
      <c r="S11" s="1602"/>
      <c r="T11" s="1601">
        <f t="shared" ca="1" si="0"/>
        <v>0</v>
      </c>
      <c r="U11" s="1602"/>
      <c r="V11" s="1601">
        <f t="shared" ca="1" si="1"/>
        <v>0</v>
      </c>
      <c r="W11" s="3791" t="s">
        <v>1193</v>
      </c>
      <c r="X11" s="1362" t="s">
        <v>1160</v>
      </c>
      <c r="Y11" s="1513">
        <f>$G$3</f>
        <v>2.5</v>
      </c>
      <c r="Z11" s="1513">
        <f t="shared" ref="Z11:AJ11" si="3">$G$3</f>
        <v>2.5</v>
      </c>
      <c r="AA11" s="1513">
        <f t="shared" si="3"/>
        <v>2.5</v>
      </c>
      <c r="AB11" s="1513">
        <f t="shared" si="3"/>
        <v>2.5</v>
      </c>
      <c r="AC11" s="1513">
        <f t="shared" si="3"/>
        <v>2.5</v>
      </c>
      <c r="AD11" s="1513">
        <f t="shared" si="3"/>
        <v>2.5</v>
      </c>
      <c r="AE11" s="1513">
        <f t="shared" si="3"/>
        <v>2.5</v>
      </c>
      <c r="AF11" s="1513">
        <f t="shared" si="3"/>
        <v>2.5</v>
      </c>
      <c r="AG11" s="1513">
        <f t="shared" si="3"/>
        <v>2.5</v>
      </c>
      <c r="AH11" s="1513">
        <f t="shared" si="3"/>
        <v>2.5</v>
      </c>
      <c r="AI11" s="1513">
        <f t="shared" si="3"/>
        <v>2.5</v>
      </c>
      <c r="AJ11" s="1513">
        <f t="shared" si="3"/>
        <v>2.5</v>
      </c>
    </row>
    <row r="12" spans="1:39" ht="24.75">
      <c r="A12" s="3798" t="s">
        <v>1194</v>
      </c>
      <c r="B12" s="1367" t="s">
        <v>1195</v>
      </c>
      <c r="C12" s="1351">
        <f>ROUND(C15*D15*E15*F15*G15*H15*I15*J15,4)</f>
        <v>1.1000000000000001</v>
      </c>
      <c r="D12" s="1368" t="s">
        <v>1196</v>
      </c>
      <c r="E12" s="1369"/>
      <c r="F12" s="1369"/>
      <c r="G12" s="1370"/>
      <c r="H12" s="1370"/>
      <c r="I12" s="1370"/>
      <c r="J12" s="1531"/>
      <c r="K12" s="1526"/>
      <c r="L12" s="1532" t="s">
        <v>1197</v>
      </c>
      <c r="M12" s="1533">
        <f>SUMPRODUCT((区片价!B338:B344=I2)*(区片价!C3:F3=E2)*(区片价!C338:F344))</f>
        <v>0</v>
      </c>
      <c r="N12" s="1534">
        <f>SUMPRODUCT((因素修正幅度!B338:B344=I2)*(因素修正幅度!C3:F3=E2)*(因素修正幅度!C338:F344))</f>
        <v>0</v>
      </c>
      <c r="O12" s="1526"/>
      <c r="P12" s="1509"/>
      <c r="Q12" s="1509"/>
      <c r="R12" s="1601">
        <v>11</v>
      </c>
      <c r="S12" s="1602"/>
      <c r="T12" s="1601">
        <f t="shared" ca="1" si="0"/>
        <v>0</v>
      </c>
      <c r="U12" s="1602"/>
      <c r="V12" s="1601">
        <f t="shared" ca="1" si="1"/>
        <v>0</v>
      </c>
      <c r="W12" s="3791"/>
      <c r="X12" s="1606" t="s">
        <v>1198</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9" ht="24">
      <c r="A13" s="3800"/>
      <c r="B13" s="1371" t="s">
        <v>1199</v>
      </c>
      <c r="C13" s="1372" t="s">
        <v>1200</v>
      </c>
      <c r="D13" s="1248" t="s">
        <v>1201</v>
      </c>
      <c r="E13" s="1248" t="s">
        <v>1202</v>
      </c>
      <c r="F13" s="1373" t="s">
        <v>1203</v>
      </c>
      <c r="G13" s="1374" t="s">
        <v>1204</v>
      </c>
      <c r="H13" s="1375" t="s">
        <v>1204</v>
      </c>
      <c r="I13" s="1535" t="s">
        <v>1204</v>
      </c>
      <c r="J13" s="1536" t="s">
        <v>1204</v>
      </c>
      <c r="K13" s="1537"/>
      <c r="L13" s="1537"/>
      <c r="M13" s="1537"/>
      <c r="N13" s="1537"/>
      <c r="O13" s="1537"/>
      <c r="P13" s="1509"/>
      <c r="Q13" s="1509"/>
      <c r="R13" s="1601">
        <v>12</v>
      </c>
      <c r="S13" s="1602"/>
      <c r="T13" s="1601">
        <f t="shared" ca="1" si="0"/>
        <v>0</v>
      </c>
      <c r="U13" s="1602"/>
      <c r="V13" s="1601">
        <f t="shared" ca="1" si="1"/>
        <v>0</v>
      </c>
      <c r="W13" s="3791"/>
      <c r="X13" s="1606"/>
      <c r="Y13" s="1618">
        <f>(-0.163*(Y12^2)-0.59*Y12+7617)*(10^(-4))/Y11</f>
        <v>0.30468000000000001</v>
      </c>
      <c r="Z13" s="1618">
        <f t="shared" ref="Z13:AJ13" si="5">(-0.163*(Z12^2)-0.59*Z12+7617)*(10^(-4))/Z11</f>
        <v>0.30468000000000001</v>
      </c>
      <c r="AA13" s="1618">
        <f t="shared" si="5"/>
        <v>0.30468000000000001</v>
      </c>
      <c r="AB13" s="1618">
        <f t="shared" si="5"/>
        <v>0.30468000000000001</v>
      </c>
      <c r="AC13" s="1618">
        <f t="shared" si="5"/>
        <v>0.30468000000000001</v>
      </c>
      <c r="AD13" s="1618">
        <f t="shared" si="5"/>
        <v>0.30468000000000001</v>
      </c>
      <c r="AE13" s="1618">
        <f t="shared" si="5"/>
        <v>0.30468000000000001</v>
      </c>
      <c r="AF13" s="1618">
        <f t="shared" si="5"/>
        <v>0.30468000000000001</v>
      </c>
      <c r="AG13" s="1618">
        <f t="shared" si="5"/>
        <v>0.30468000000000001</v>
      </c>
      <c r="AH13" s="1618">
        <f t="shared" si="5"/>
        <v>0.30468000000000001</v>
      </c>
      <c r="AI13" s="1618">
        <f t="shared" si="5"/>
        <v>0.30468000000000001</v>
      </c>
      <c r="AJ13" s="1618">
        <f t="shared" si="5"/>
        <v>0.30468000000000001</v>
      </c>
    </row>
    <row r="14" spans="1:39" ht="12.75" customHeight="1">
      <c r="A14" s="3800"/>
      <c r="B14" s="1376"/>
      <c r="C14" s="1377" t="s">
        <v>1204</v>
      </c>
      <c r="D14" s="1378" t="s">
        <v>1205</v>
      </c>
      <c r="E14" s="1378" t="s">
        <v>1204</v>
      </c>
      <c r="F14" s="1379" t="s">
        <v>1206</v>
      </c>
      <c r="G14" s="1380" t="s">
        <v>1207</v>
      </c>
      <c r="H14" s="1381"/>
      <c r="I14" s="1538"/>
      <c r="J14" s="1539"/>
      <c r="K14" s="1540"/>
      <c r="L14" s="1540"/>
      <c r="M14" s="1540"/>
      <c r="N14" s="1540"/>
      <c r="O14" s="1540"/>
      <c r="P14" s="1509"/>
      <c r="Q14" s="1509"/>
      <c r="R14" s="1601">
        <v>13</v>
      </c>
      <c r="S14" s="1602"/>
      <c r="T14" s="1601">
        <f t="shared" ca="1" si="0"/>
        <v>0</v>
      </c>
      <c r="U14" s="1602"/>
      <c r="V14" s="1601">
        <f t="shared" ca="1" si="1"/>
        <v>0</v>
      </c>
      <c r="W14" s="1509"/>
      <c r="X14" s="1509"/>
      <c r="Y14" s="1509"/>
      <c r="Z14" s="1509"/>
      <c r="AA14" s="1509"/>
      <c r="AB14" s="1509"/>
      <c r="AC14" s="1610"/>
    </row>
    <row r="15" spans="1:39" ht="13.5" customHeight="1">
      <c r="A15" s="3801"/>
      <c r="B15" s="1382" t="s">
        <v>1208</v>
      </c>
      <c r="C15" s="1364">
        <f>IF(C14="有",1.1,1)</f>
        <v>1</v>
      </c>
      <c r="D15" s="1364">
        <f>IF(D14="有",1.1,1)</f>
        <v>1.1000000000000001</v>
      </c>
      <c r="E15" s="1364">
        <f>IF(E14="有",1.1,1)</f>
        <v>1</v>
      </c>
      <c r="F15" s="1364">
        <f>IF(F14="500米范围内",1.2,IF(F14="500-1000米",1.1,1))</f>
        <v>1</v>
      </c>
      <c r="G15" s="1383">
        <v>1</v>
      </c>
      <c r="H15" s="1383">
        <v>1</v>
      </c>
      <c r="I15" s="1383">
        <v>1</v>
      </c>
      <c r="J15" s="1541">
        <v>1</v>
      </c>
      <c r="K15" s="1542"/>
      <c r="L15" s="1542"/>
      <c r="M15" s="1542"/>
      <c r="N15" s="1542"/>
      <c r="O15" s="1542"/>
      <c r="P15" s="1509"/>
      <c r="Q15" s="1509"/>
      <c r="R15" s="1601">
        <v>14</v>
      </c>
      <c r="S15" s="1602"/>
      <c r="T15" s="1601">
        <f t="shared" ca="1" si="0"/>
        <v>0</v>
      </c>
      <c r="U15" s="1602"/>
      <c r="V15" s="1601">
        <f t="shared" ca="1" si="1"/>
        <v>0</v>
      </c>
      <c r="W15" s="1509"/>
      <c r="X15" s="1509"/>
      <c r="Y15" s="1509"/>
      <c r="Z15" s="1509"/>
      <c r="AA15" s="1509"/>
      <c r="AB15" s="1509"/>
      <c r="AC15" s="1610"/>
    </row>
    <row r="16" spans="1:39" ht="24.6" customHeight="1">
      <c r="A16" s="3798" t="s">
        <v>879</v>
      </c>
      <c r="B16" s="1350" t="s">
        <v>1209</v>
      </c>
      <c r="C16" s="1384">
        <f>ROUND(IF(F17="与级别开发程度一致",0,(G17-E17)/C17),0)</f>
        <v>-23</v>
      </c>
      <c r="D16" s="3794" t="s">
        <v>1210</v>
      </c>
      <c r="E16" s="3795"/>
      <c r="F16" s="3794" t="s">
        <v>1211</v>
      </c>
      <c r="G16" s="3795"/>
      <c r="H16" s="1385" t="s">
        <v>1296</v>
      </c>
      <c r="I16" s="1385" t="s">
        <v>1297</v>
      </c>
      <c r="J16" s="1385" t="s">
        <v>1299</v>
      </c>
      <c r="K16" s="1385"/>
      <c r="L16" s="1385"/>
      <c r="M16" s="1385"/>
      <c r="N16" s="1385"/>
      <c r="O16" s="1543" t="s">
        <v>1303</v>
      </c>
      <c r="P16" s="1509"/>
      <c r="Q16" s="1607"/>
      <c r="R16" s="1601">
        <v>15</v>
      </c>
      <c r="S16" s="1602"/>
      <c r="T16" s="1601">
        <f t="shared" ca="1" si="0"/>
        <v>0</v>
      </c>
      <c r="U16" s="1602"/>
      <c r="V16" s="1601">
        <f t="shared" ca="1" si="1"/>
        <v>0</v>
      </c>
      <c r="W16" s="1607"/>
      <c r="X16" s="1607"/>
      <c r="Y16" s="1607"/>
      <c r="Z16" s="1607"/>
      <c r="AA16" s="1607"/>
      <c r="AB16" s="1607"/>
      <c r="AC16" s="1553"/>
    </row>
    <row r="17" spans="1:40" ht="24">
      <c r="A17" s="3802"/>
      <c r="B17" s="1386" t="s">
        <v>1212</v>
      </c>
      <c r="C17" s="1387">
        <f>SUMPRODUCT((修正!A2:A5=E2)*(修正!B1:M1=G2)*(修正!B2:M5))</f>
        <v>1.5</v>
      </c>
      <c r="D17" s="1388" t="str">
        <f>IF(OR(G2="八级",G2="九级",G2="十级",G2="十一级",G2="十二级"),"五通一平","七通一平")</f>
        <v>五通一平</v>
      </c>
      <c r="E17" s="1389">
        <f>SUMPRODUCT((修正!B1:M1=G2)*(修正!B15:M15))</f>
        <v>155</v>
      </c>
      <c r="F17" s="1390" t="s">
        <v>2663</v>
      </c>
      <c r="G17" s="1389">
        <f>SUM(H17:O17)</f>
        <v>120</v>
      </c>
      <c r="H17" s="1391">
        <f>SUMPRODUCT((七通一平=H16)*(修正!B1:M1=G2)*(修正!B6:M14))</f>
        <v>50</v>
      </c>
      <c r="I17" s="1391">
        <f>SUMPRODUCT((七通一平=I16)*(修正!B1:M1=G2)*(修正!B6:M14))</f>
        <v>40</v>
      </c>
      <c r="J17" s="1391">
        <f>SUMPRODUCT((七通一平=J16)*(修正!B1:M1=G2)*(修正!B6:M14))</f>
        <v>20</v>
      </c>
      <c r="K17" s="1391">
        <f>SUMPRODUCT((七通一平=K16)*(修正!B1:M1=G2)*(修正!B6:M14))</f>
        <v>0</v>
      </c>
      <c r="L17" s="1391">
        <f>SUMPRODUCT((七通一平=L16)*(修正!B1:M1=G2)*(修正!B6:M14))</f>
        <v>0</v>
      </c>
      <c r="M17" s="1391">
        <f>SUMPRODUCT((七通一平=M16)*(修正!B1:M1=G2)*(修正!B6:M14))</f>
        <v>0</v>
      </c>
      <c r="N17" s="1391">
        <f>SUMPRODUCT((七通一平=N16)*(修正!B1:M1=G2)*(修正!B6:M14))</f>
        <v>0</v>
      </c>
      <c r="O17" s="1544">
        <f>SUMPRODUCT((七通一平=O16)*(修正!B1:M1=G2)*(修正!B6:M14))</f>
        <v>10</v>
      </c>
      <c r="P17" s="1509"/>
      <c r="Q17" s="1607"/>
      <c r="R17" s="1553"/>
      <c r="S17" s="1553"/>
      <c r="T17" s="1553"/>
      <c r="U17" s="1553"/>
      <c r="V17" s="1553"/>
      <c r="W17" s="1607"/>
      <c r="X17" s="1607"/>
      <c r="Y17" s="1607"/>
      <c r="Z17" s="1607"/>
      <c r="AA17" s="1607"/>
      <c r="AB17" s="1607"/>
      <c r="AC17" s="1553"/>
      <c r="AH17" s="1313"/>
      <c r="AI17" s="1313"/>
      <c r="AJ17" s="1316"/>
      <c r="AK17" s="1316"/>
      <c r="AL17" s="1316"/>
      <c r="AM17" s="1316"/>
    </row>
    <row r="18" spans="1:40" s="1312" customFormat="1" ht="15">
      <c r="A18" s="1392" t="s">
        <v>835</v>
      </c>
      <c r="B18" s="1393" t="s">
        <v>1213</v>
      </c>
      <c r="C18" s="1394">
        <f>SUMIF(修正!C18:C39,E3,修正!E18:E39)</f>
        <v>1</v>
      </c>
      <c r="D18" s="1395"/>
      <c r="E18" s="1396"/>
      <c r="F18" s="1397"/>
      <c r="G18" s="1398"/>
      <c r="H18" s="1398"/>
      <c r="I18" s="1398"/>
      <c r="J18" s="1545"/>
      <c r="K18" s="1523"/>
      <c r="L18" s="1398"/>
      <c r="M18" s="1398"/>
      <c r="N18" s="1398"/>
      <c r="O18" s="1398"/>
      <c r="P18" s="1546"/>
      <c r="Q18" s="1608"/>
      <c r="R18" s="1608"/>
      <c r="S18" s="1608"/>
      <c r="T18" s="1608"/>
      <c r="U18" s="1608"/>
      <c r="V18" s="1608"/>
      <c r="W18" s="1553"/>
      <c r="X18" s="1553"/>
      <c r="Y18" s="1553"/>
      <c r="Z18" s="1553"/>
      <c r="AA18" s="1607"/>
      <c r="AB18" s="1607"/>
      <c r="AC18" s="1569"/>
      <c r="AD18" s="1619"/>
      <c r="AE18" s="1619"/>
      <c r="AF18" s="1619"/>
      <c r="AG18" s="1619"/>
      <c r="AH18" s="1317"/>
      <c r="AI18" s="1317"/>
      <c r="AJ18" s="1314"/>
      <c r="AK18" s="1314"/>
      <c r="AL18" s="1314"/>
    </row>
    <row r="19" spans="1:40" s="1312" customFormat="1" ht="27">
      <c r="A19" s="1399" t="s">
        <v>840</v>
      </c>
      <c r="B19" s="1400" t="s">
        <v>1214</v>
      </c>
      <c r="C19" s="1401">
        <f>ROUND(IF(H19="按公示增长率计算",SUMPRODUCT((地价!A3:A36=YEAR(G19)&amp;"-"&amp;ROUNDUP(MONTH(G19)/3,0))*(地价!X2:AB2=E2)*(地价!X3:AB36)),IF(H19="地价指数",M20/M19,(1+I19)^O19)),4)</f>
        <v>1.7797000000000001</v>
      </c>
      <c r="D19" s="1402" t="s">
        <v>1215</v>
      </c>
      <c r="E19" s="1403">
        <v>41640</v>
      </c>
      <c r="F19" s="1402" t="s">
        <v>351</v>
      </c>
      <c r="G19" s="1404">
        <f>'数据-取费表'!B2</f>
        <v>44484</v>
      </c>
      <c r="H19" s="1405" t="s">
        <v>1216</v>
      </c>
      <c r="I19" s="1547" t="str">
        <f>IF(H19="季度增幅（自定义）",SUMIF(N21:N24,E2,O21:O24),"")</f>
        <v/>
      </c>
      <c r="J19" s="1548"/>
      <c r="K19" s="1523"/>
      <c r="L19" s="1549" t="s">
        <v>1217</v>
      </c>
      <c r="M19" s="1550">
        <f>ROUND(SUMIF(地价!B2:F2,E2,地价!B36:F36),0)</f>
        <v>423</v>
      </c>
      <c r="N19" s="1551" t="s">
        <v>1218</v>
      </c>
      <c r="O19" s="1552">
        <f>ROUNDDOWN(DATEDIF(E19,G19,"M")/3,0)</f>
        <v>31</v>
      </c>
      <c r="P19" s="1553"/>
      <c r="Q19" s="1609"/>
      <c r="R19" s="1569"/>
      <c r="S19" s="1569"/>
      <c r="T19" s="1569"/>
      <c r="U19" s="1569"/>
      <c r="V19" s="1569"/>
      <c r="W19" s="1569"/>
      <c r="X19" s="1569"/>
      <c r="Y19" s="1317"/>
      <c r="Z19" s="1317"/>
      <c r="AA19" s="1317"/>
      <c r="AB19" s="1317"/>
      <c r="AC19" s="1619"/>
      <c r="AD19" s="1620"/>
      <c r="AE19" s="1621"/>
      <c r="AF19" s="1314"/>
      <c r="AG19" s="1622"/>
      <c r="AH19" s="1622"/>
      <c r="AI19" s="1622"/>
    </row>
    <row r="20" spans="1:40" s="1312" customFormat="1" ht="27">
      <c r="A20" s="1392" t="s">
        <v>843</v>
      </c>
      <c r="B20" s="1406" t="s">
        <v>1219</v>
      </c>
      <c r="C20" s="1407">
        <f ca="1">ROUND(POWER(1+G20,J20-I20)*(POWER(1+G20,I20)-1)/(POWER(1+G20,J20)-1),4)</f>
        <v>1</v>
      </c>
      <c r="D20" s="1408" t="s">
        <v>1220</v>
      </c>
      <c r="E20" s="1409">
        <f ca="1">存贷款利率!I4/100</f>
        <v>4.3499999999999997E-2</v>
      </c>
      <c r="F20" s="1408" t="s">
        <v>1221</v>
      </c>
      <c r="G20" s="1410">
        <f ca="1">SUMIF(M26:P26,E2,M28:P28)</f>
        <v>0.05</v>
      </c>
      <c r="H20" s="1408" t="s">
        <v>1222</v>
      </c>
      <c r="I20" s="1554">
        <f>SUMIF('数据-取费表'!C6:C15,E2,'数据-取费表'!F6:F15)/COUNTIF('数据-取费表'!C6:C15,E2)</f>
        <v>70</v>
      </c>
      <c r="J20" s="1555">
        <f>IF(E2="住宅",70,IF(E2="商业",40,50))</f>
        <v>70</v>
      </c>
      <c r="K20" s="1542"/>
      <c r="L20" s="1556" t="s">
        <v>1223</v>
      </c>
      <c r="M20" s="1557">
        <f>ROUND(SUMPRODUCT((地价!A4:A36=YEAR(G19)&amp;"-"&amp;ROUNDUP(MONTH(G19)/3,0))*(地价!B2:F2=E2)*(地价!B4:F36)),0)</f>
        <v>729</v>
      </c>
      <c r="N20" s="1558" t="s">
        <v>1224</v>
      </c>
      <c r="O20" s="1559" t="s">
        <v>1225</v>
      </c>
      <c r="P20" s="1560" t="s">
        <v>1226</v>
      </c>
      <c r="Q20" s="1609"/>
      <c r="R20" s="1569"/>
      <c r="S20" s="1569"/>
      <c r="T20" s="1569"/>
      <c r="U20" s="1569"/>
      <c r="V20" s="1569"/>
      <c r="W20" s="1569"/>
      <c r="X20" s="1569"/>
      <c r="Y20" s="1619"/>
      <c r="Z20" s="1619"/>
      <c r="AA20" s="1619"/>
      <c r="AB20" s="1619"/>
      <c r="AC20" s="1619"/>
      <c r="AD20" s="1619"/>
    </row>
    <row r="21" spans="1:40" s="1312" customFormat="1" ht="14.25">
      <c r="A21" s="1411" t="s">
        <v>867</v>
      </c>
      <c r="B21" s="1412" t="s">
        <v>176</v>
      </c>
      <c r="C21" s="1413">
        <f>IF(B21="容积率修正",IF(G3&lt;=10,D22,J22),C23)</f>
        <v>0.86509999999999998</v>
      </c>
      <c r="D21" s="1414"/>
      <c r="E21" s="1414"/>
      <c r="F21" s="1414"/>
      <c r="G21" s="1414"/>
      <c r="H21" s="1414"/>
      <c r="I21" s="1414"/>
      <c r="J21" s="1561"/>
      <c r="K21" s="1523"/>
      <c r="L21" s="1414"/>
      <c r="M21" s="1414"/>
      <c r="N21" s="1562" t="s">
        <v>369</v>
      </c>
      <c r="O21" s="1563"/>
      <c r="P21" s="1564">
        <f>SUMPRODUCT((地价!A3:A36=YEAR(G19)&amp;"-"&amp;ROUNDUP(MONTH(G19)/3,0))*(地价!AD2:AH2=N21)*(地价!AD3:AH36))</f>
        <v>1.0500000000000001E-2</v>
      </c>
      <c r="Q21" s="1609"/>
      <c r="R21" s="1569"/>
      <c r="S21" s="1569"/>
      <c r="T21" s="1569"/>
      <c r="U21" s="1569"/>
      <c r="V21" s="1569"/>
      <c r="W21" s="1569"/>
      <c r="X21" s="1569"/>
      <c r="Y21" s="1317"/>
      <c r="Z21" s="1317"/>
      <c r="AA21" s="1317"/>
      <c r="AB21" s="1317"/>
      <c r="AC21" s="1619"/>
      <c r="AD21" s="1619"/>
    </row>
    <row r="22" spans="1:40" s="1312" customFormat="1" ht="14.25">
      <c r="A22" s="1415" t="s">
        <v>1153</v>
      </c>
      <c r="B22" s="1416" t="s">
        <v>1227</v>
      </c>
      <c r="C22" s="1417" t="s">
        <v>1228</v>
      </c>
      <c r="D22" s="1417">
        <f>IF(E22=G22,F22,IF(G3&lt;=10,ROUND(F22+(H22-F22)*(G3-E22)/(G22-E22),4),"——"))</f>
        <v>0.86509999999999998</v>
      </c>
      <c r="E22" s="1332">
        <f>ROUNDDOWN(G3,1)</f>
        <v>2.5</v>
      </c>
      <c r="F22" s="141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0.86509999999999998</v>
      </c>
      <c r="G22" s="1332">
        <f>ROUNDUP(G3,1)</f>
        <v>2.5</v>
      </c>
      <c r="H22" s="14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0.86509999999999998</v>
      </c>
      <c r="I22" s="1417" t="s">
        <v>1229</v>
      </c>
      <c r="J22" s="1417" t="str">
        <f>IF(G3&gt;10,D113,"——")</f>
        <v>——</v>
      </c>
      <c r="K22" s="1565"/>
      <c r="L22" s="1414"/>
      <c r="M22" s="1414"/>
      <c r="N22" s="1562" t="s">
        <v>370</v>
      </c>
      <c r="O22" s="1563"/>
      <c r="P22" s="1564">
        <f>SUMPRODUCT((地价!A3:A36=YEAR(G19)&amp;"-"&amp;ROUNDUP(MONTH(G19)/3,0))*(地价!AD2:AH2=N22)*(地价!AD3:AH36))</f>
        <v>1.0500000000000001E-2</v>
      </c>
      <c r="Q22" s="1609"/>
      <c r="R22" s="1569"/>
      <c r="S22" s="1569"/>
      <c r="T22" s="1569"/>
      <c r="U22" s="1569"/>
      <c r="V22" s="1569"/>
      <c r="W22" s="1569"/>
      <c r="X22" s="1569"/>
      <c r="Y22" s="1619"/>
      <c r="Z22" s="1619"/>
      <c r="AA22" s="1619"/>
      <c r="AB22" s="1619"/>
      <c r="AC22" s="1619"/>
      <c r="AD22" s="1619"/>
    </row>
    <row r="23" spans="1:40" ht="15">
      <c r="A23" s="1415" t="s">
        <v>1194</v>
      </c>
      <c r="B23" s="1416" t="s">
        <v>1230</v>
      </c>
      <c r="C23" s="1418">
        <f>ROUND(IF(G3&gt;1,IF(I3&lt;7,SUMPRODUCT((B93:B98=I3)*(C92:N92=G2)*(C93:N98)),SUMIF(C92:N92,G2,C100:N100)),IF(I3&lt;7,SUMPRODUCT((B102:B107=I3)*(C92:N92=G2)*(C102:N107)),SUMIF(C92:N92,G2,C109:N109))),4)</f>
        <v>0</v>
      </c>
      <c r="D23" s="1419"/>
      <c r="E23" s="1419"/>
      <c r="F23" s="1420"/>
      <c r="G23" s="1421"/>
      <c r="H23" s="1422"/>
      <c r="I23" s="1566"/>
      <c r="J23" s="1566"/>
      <c r="K23" s="1567"/>
      <c r="L23" s="1323"/>
      <c r="M23" s="1323"/>
      <c r="N23" s="1562" t="s">
        <v>368</v>
      </c>
      <c r="O23" s="1563"/>
      <c r="P23" s="1564">
        <f>SUMPRODUCT((地价!A3:A36=YEAR(G19)&amp;"-"&amp;ROUNDUP(MONTH(G19)/3,0))*(地价!AD2:AH2=N23)*(地价!AD3:AH36))</f>
        <v>1.83E-2</v>
      </c>
      <c r="Q23" s="1609"/>
      <c r="R23" s="1569"/>
      <c r="S23" s="1569"/>
      <c r="T23" s="1569"/>
      <c r="U23" s="1569"/>
      <c r="V23" s="1569"/>
      <c r="W23" s="1569"/>
      <c r="X23" s="1569"/>
      <c r="Y23" s="1317"/>
      <c r="Z23" s="1317"/>
      <c r="AA23" s="1317"/>
      <c r="AB23" s="1317"/>
      <c r="AC23" s="1317"/>
      <c r="AE23" s="1314"/>
      <c r="AF23" s="1314"/>
      <c r="AG23" s="1314"/>
      <c r="AH23" s="1314"/>
      <c r="AI23" s="1314"/>
      <c r="AJ23" s="1316"/>
      <c r="AK23" s="1316"/>
      <c r="AL23" s="1316"/>
      <c r="AM23" s="1316"/>
    </row>
    <row r="24" spans="1:40" s="1312" customFormat="1" ht="15">
      <c r="A24" s="1423" t="s">
        <v>1231</v>
      </c>
      <c r="B24" s="1339" t="s">
        <v>1232</v>
      </c>
      <c r="C24" s="1424">
        <f>SUMIF(A44:A87,E2,B44:B87)</f>
        <v>1.0388999999999999</v>
      </c>
      <c r="D24" s="1425"/>
      <c r="E24" s="1426"/>
      <c r="F24" s="1426"/>
      <c r="G24" s="1426"/>
      <c r="H24" s="1426"/>
      <c r="I24" s="1426"/>
      <c r="J24" s="1426"/>
      <c r="K24" s="1567"/>
      <c r="L24" s="1414"/>
      <c r="M24" s="1414"/>
      <c r="N24" s="1562" t="s">
        <v>164</v>
      </c>
      <c r="O24" s="1568"/>
      <c r="P24" s="1564">
        <f>SUMPRODUCT((地价!A3:A36=YEAR(G19)&amp;"-"&amp;ROUNDUP(MONTH(G19)/3,0))*(地价!AD2:AH2=N24)*(地价!AD3:AH36))</f>
        <v>1.2200000000000001E-2</v>
      </c>
      <c r="Q24" s="1609"/>
      <c r="R24" s="1569"/>
      <c r="S24" s="1569"/>
      <c r="T24" s="1569"/>
      <c r="U24" s="1569"/>
      <c r="V24" s="1569"/>
      <c r="W24" s="1569"/>
      <c r="X24" s="1569"/>
      <c r="Y24" s="1619"/>
      <c r="Z24" s="1619"/>
      <c r="AA24" s="1619"/>
      <c r="AB24" s="1619"/>
      <c r="AC24" s="1619"/>
      <c r="AD24" s="1619"/>
    </row>
    <row r="25" spans="1:40" ht="14.25">
      <c r="A25" s="1423" t="s">
        <v>1233</v>
      </c>
      <c r="B25" s="1427" t="s">
        <v>1234</v>
      </c>
      <c r="C25" s="1428"/>
      <c r="D25" s="1355"/>
      <c r="E25" s="1355"/>
      <c r="F25" s="1429"/>
      <c r="G25" s="1355"/>
      <c r="H25" s="1355"/>
      <c r="I25" s="1355"/>
      <c r="J25" s="1528"/>
      <c r="K25" s="1526"/>
      <c r="L25" s="1569"/>
      <c r="M25" s="1569"/>
      <c r="N25" s="1570" t="s">
        <v>965</v>
      </c>
      <c r="O25" s="1571"/>
      <c r="P25" s="1572">
        <f>SUMPRODUCT((地价!A3:A36=YEAR(G19)&amp;"-"&amp;ROUNDUP(MONTH(G19)/3,0))*(地价!AD2:AH2=N25)*(地价!AD3:AH36))</f>
        <v>1.66E-2</v>
      </c>
      <c r="Q25" s="1609"/>
      <c r="R25" s="1569"/>
      <c r="S25" s="1569"/>
      <c r="T25" s="1569"/>
      <c r="U25" s="1569"/>
      <c r="V25" s="1569"/>
      <c r="W25" s="1569"/>
      <c r="X25" s="1569"/>
      <c r="Y25" s="1317"/>
      <c r="Z25" s="1317"/>
      <c r="AA25" s="1317"/>
      <c r="AB25" s="1317"/>
      <c r="AC25" s="1317"/>
      <c r="AE25" s="1314"/>
      <c r="AF25" s="1314"/>
      <c r="AG25" s="1314"/>
      <c r="AH25" s="1314"/>
      <c r="AI25" s="1316"/>
      <c r="AJ25" s="1316"/>
      <c r="AK25" s="1316"/>
      <c r="AL25" s="1316"/>
      <c r="AM25" s="1316"/>
    </row>
    <row r="26" spans="1:40" ht="14.25">
      <c r="A26" s="1430"/>
      <c r="B26" s="1416" t="s">
        <v>1235</v>
      </c>
      <c r="C26" s="1431">
        <f ca="1">IF(B21="容积率修正",E29+SUM(E33:E39),SUM(V2:V16)+SUM(E33:E39))</f>
        <v>67361</v>
      </c>
      <c r="D26" s="1432"/>
      <c r="E26" s="1381"/>
      <c r="F26" s="1433"/>
      <c r="G26" s="1381"/>
      <c r="H26" s="1381"/>
      <c r="I26" s="1381"/>
      <c r="J26" s="1573"/>
      <c r="K26" s="1526"/>
      <c r="L26" s="1574" t="s">
        <v>345</v>
      </c>
      <c r="M26" s="1352" t="s">
        <v>369</v>
      </c>
      <c r="N26" s="1352" t="s">
        <v>370</v>
      </c>
      <c r="O26" s="1352" t="s">
        <v>368</v>
      </c>
      <c r="P26" s="1575" t="s">
        <v>164</v>
      </c>
      <c r="Q26" s="1609"/>
      <c r="R26" s="1569"/>
      <c r="S26" s="1569"/>
      <c r="T26" s="1569"/>
      <c r="U26" s="1569"/>
      <c r="V26" s="1569"/>
      <c r="W26" s="1569"/>
      <c r="X26" s="1569"/>
      <c r="Y26" s="1619"/>
      <c r="Z26" s="1619"/>
      <c r="AA26" s="1619"/>
      <c r="AB26" s="1619"/>
      <c r="AC26" s="1317"/>
      <c r="AE26" s="1314"/>
      <c r="AF26" s="1314"/>
      <c r="AG26" s="1314"/>
      <c r="AH26" s="1314"/>
      <c r="AI26" s="1316"/>
      <c r="AJ26" s="1316"/>
      <c r="AK26" s="1316"/>
      <c r="AL26" s="1316"/>
      <c r="AM26" s="1316"/>
    </row>
    <row r="27" spans="1:40" ht="14.25">
      <c r="A27" s="1430"/>
      <c r="B27" s="1434" t="s">
        <v>1236</v>
      </c>
      <c r="C27" s="1435">
        <f ca="1">E30+SUM(I33:I39)</f>
        <v>0</v>
      </c>
      <c r="D27" s="1436"/>
      <c r="E27" s="1437"/>
      <c r="F27" s="1438"/>
      <c r="G27" s="1437"/>
      <c r="H27" s="1437"/>
      <c r="I27" s="1437"/>
      <c r="J27" s="1576"/>
      <c r="K27" s="1526"/>
      <c r="L27" s="1577" t="s">
        <v>1237</v>
      </c>
      <c r="M27" s="1361">
        <v>0.25</v>
      </c>
      <c r="N27" s="1361">
        <v>0.2</v>
      </c>
      <c r="O27" s="1361">
        <v>0.15</v>
      </c>
      <c r="P27" s="1578">
        <v>0.1</v>
      </c>
      <c r="Q27" s="1569"/>
      <c r="R27" s="1609"/>
      <c r="S27" s="1609"/>
      <c r="T27" s="1609"/>
      <c r="U27" s="1609"/>
      <c r="V27" s="1609"/>
      <c r="W27" s="1569"/>
      <c r="X27" s="1569"/>
      <c r="Y27" s="1569"/>
      <c r="Z27" s="1569"/>
      <c r="AA27" s="1569"/>
      <c r="AB27" s="1569"/>
      <c r="AC27" s="1569"/>
    </row>
    <row r="28" spans="1:40" ht="14.25">
      <c r="A28" s="1439"/>
      <c r="B28" s="1440" t="s">
        <v>1238</v>
      </c>
      <c r="C28" s="1441" t="s">
        <v>1239</v>
      </c>
      <c r="D28" s="1441" t="s">
        <v>380</v>
      </c>
      <c r="E28" s="1442" t="s">
        <v>602</v>
      </c>
      <c r="F28" s="1443"/>
      <c r="G28" s="1370"/>
      <c r="H28" s="1370"/>
      <c r="I28" s="1370"/>
      <c r="J28" s="1531"/>
      <c r="K28" s="1526"/>
      <c r="L28" s="1579" t="s">
        <v>1221</v>
      </c>
      <c r="M28" s="1580">
        <f ca="1">ROUND($E$20*(1+M27),3)</f>
        <v>5.3999999999999999E-2</v>
      </c>
      <c r="N28" s="1580">
        <f ca="1">ROUND($E$20*(1+N27),3)</f>
        <v>5.1999999999999998E-2</v>
      </c>
      <c r="O28" s="1580">
        <f ca="1">ROUND($E$20*(1+O27),3)</f>
        <v>0.05</v>
      </c>
      <c r="P28" s="1581">
        <f ca="1">ROUND($E$20*(1+P27),3)</f>
        <v>4.8000000000000001E-2</v>
      </c>
      <c r="Q28" s="1569"/>
      <c r="R28" s="1609"/>
      <c r="S28" s="1609"/>
      <c r="T28" s="1609"/>
      <c r="U28" s="1609"/>
      <c r="V28" s="1609"/>
      <c r="W28" s="1569"/>
      <c r="X28" s="1569"/>
      <c r="Y28" s="1569"/>
      <c r="Z28" s="1569"/>
      <c r="AA28" s="1569"/>
      <c r="AB28" s="1569"/>
      <c r="AC28" s="1569"/>
      <c r="AD28" s="1619"/>
      <c r="AE28" s="1619"/>
      <c r="AF28" s="1619"/>
      <c r="AG28" s="1619"/>
    </row>
    <row r="29" spans="1:40" ht="14.25">
      <c r="A29" s="1444"/>
      <c r="B29" s="1445" t="s">
        <v>1240</v>
      </c>
      <c r="C29" s="1446">
        <f ca="1">ROUND(C5*C18*C19*C20*C21*C24,0)</f>
        <v>10608</v>
      </c>
      <c r="D29" s="1447">
        <f>'数据-汇总表'!F19</f>
        <v>63500</v>
      </c>
      <c r="E29" s="1448">
        <f ca="1">ROUND(C29*D29/10000,0)</f>
        <v>67361</v>
      </c>
      <c r="F29" s="1449" t="s">
        <v>1241</v>
      </c>
      <c r="G29" s="1450"/>
      <c r="H29" s="1450"/>
      <c r="I29" s="1450"/>
      <c r="J29" s="1582"/>
      <c r="K29" s="1583"/>
      <c r="L29" s="1583"/>
      <c r="M29" s="1583"/>
      <c r="N29" s="1583"/>
      <c r="O29" s="1583"/>
      <c r="P29" s="1509"/>
      <c r="Q29" s="1569"/>
      <c r="R29" s="1569"/>
      <c r="S29" s="1569"/>
      <c r="T29" s="1569"/>
      <c r="U29" s="1569"/>
      <c r="V29" s="1569"/>
      <c r="W29" s="1609"/>
      <c r="X29" s="1609"/>
      <c r="Y29" s="1609"/>
      <c r="Z29" s="1609"/>
      <c r="AA29" s="1609"/>
      <c r="AB29" s="1569"/>
      <c r="AC29" s="1569"/>
      <c r="AD29" s="1569"/>
      <c r="AE29" s="1569"/>
      <c r="AF29" s="1569"/>
      <c r="AG29" s="1569"/>
      <c r="AH29" s="1569"/>
      <c r="AJ29" s="1317"/>
      <c r="AK29" s="1317"/>
      <c r="AL29" s="1317"/>
      <c r="AM29" s="1313"/>
      <c r="AN29" s="1313"/>
    </row>
    <row r="30" spans="1:40" ht="24">
      <c r="A30" s="1451"/>
      <c r="B30" s="1452" t="s">
        <v>1242</v>
      </c>
      <c r="C30" s="1391">
        <f ca="1">ROUND(IF(E2="工业",C29*M39,C29*M38),0)</f>
        <v>2652</v>
      </c>
      <c r="D30" s="1453"/>
      <c r="E30" s="1448">
        <f ca="1">ROUND(C30*D30/10000,0)</f>
        <v>0</v>
      </c>
      <c r="F30" s="1454" t="s">
        <v>1243</v>
      </c>
      <c r="G30" s="1455"/>
      <c r="H30" s="1455"/>
      <c r="I30" s="1455"/>
      <c r="J30" s="1584"/>
      <c r="K30" s="1526"/>
      <c r="L30" s="1526"/>
      <c r="M30" s="1526"/>
      <c r="N30" s="1526"/>
      <c r="O30" s="1526"/>
      <c r="P30" s="1509"/>
      <c r="Q30" s="1509"/>
      <c r="R30" s="1509"/>
      <c r="S30" s="1509"/>
      <c r="T30" s="1509"/>
      <c r="U30" s="1509"/>
      <c r="V30" s="1509"/>
      <c r="W30" s="1610"/>
      <c r="X30" s="1610"/>
      <c r="Y30" s="1610"/>
      <c r="Z30" s="1610"/>
      <c r="AA30" s="1610"/>
      <c r="AB30" s="1509"/>
      <c r="AC30" s="1509"/>
      <c r="AD30" s="1509"/>
      <c r="AE30" s="1509"/>
      <c r="AF30" s="1509"/>
      <c r="AG30" s="1509"/>
      <c r="AH30" s="1509"/>
      <c r="AI30" s="1619"/>
      <c r="AJ30" s="1619"/>
      <c r="AK30" s="1619"/>
      <c r="AL30" s="1619"/>
      <c r="AM30" s="1313"/>
      <c r="AN30" s="1313"/>
    </row>
    <row r="31" spans="1:40">
      <c r="A31" s="1456"/>
      <c r="B31" s="1457" t="s">
        <v>1244</v>
      </c>
      <c r="C31" s="1458" t="s">
        <v>1245</v>
      </c>
      <c r="D31" s="1370"/>
      <c r="E31" s="1458"/>
      <c r="F31" s="1458"/>
      <c r="G31" s="1368" t="s">
        <v>1243</v>
      </c>
      <c r="H31" s="1370"/>
      <c r="I31" s="1585"/>
      <c r="J31" s="1531"/>
      <c r="K31" s="1526"/>
      <c r="L31" s="1526"/>
      <c r="M31" s="1526"/>
      <c r="N31" s="1526"/>
      <c r="O31" s="1526"/>
      <c r="P31" s="1509"/>
      <c r="Q31" s="1509"/>
      <c r="R31" s="1509"/>
      <c r="S31" s="1509"/>
      <c r="T31" s="1509"/>
      <c r="U31" s="1509"/>
      <c r="V31" s="1509"/>
      <c r="W31" s="1610"/>
      <c r="X31" s="1610"/>
      <c r="Y31" s="1610"/>
      <c r="Z31" s="1610"/>
      <c r="AA31" s="1610"/>
      <c r="AB31" s="1509"/>
      <c r="AC31" s="1509"/>
      <c r="AD31" s="1509"/>
      <c r="AE31" s="1509"/>
      <c r="AF31" s="1509"/>
      <c r="AG31" s="1509"/>
      <c r="AH31" s="1509"/>
      <c r="AJ31" s="1317"/>
      <c r="AK31" s="1317"/>
      <c r="AL31" s="1317"/>
      <c r="AM31" s="1313"/>
      <c r="AN31" s="1313"/>
    </row>
    <row r="32" spans="1:40" ht="24">
      <c r="A32" s="1444"/>
      <c r="B32" s="1459"/>
      <c r="C32" s="1460" t="s">
        <v>1239</v>
      </c>
      <c r="D32" s="1461" t="s">
        <v>380</v>
      </c>
      <c r="E32" s="1461" t="s">
        <v>602</v>
      </c>
      <c r="F32" s="1321" t="s">
        <v>1246</v>
      </c>
      <c r="G32" s="1462" t="s">
        <v>1239</v>
      </c>
      <c r="H32" s="1462" t="s">
        <v>380</v>
      </c>
      <c r="I32" s="1462" t="s">
        <v>602</v>
      </c>
      <c r="J32" s="1586"/>
      <c r="K32" s="1587"/>
      <c r="L32" s="1587"/>
      <c r="M32" s="1587"/>
      <c r="N32" s="1587"/>
      <c r="O32" s="1587"/>
      <c r="P32" s="1509"/>
      <c r="Q32" s="1509"/>
      <c r="R32" s="1509"/>
      <c r="S32" s="1509"/>
      <c r="T32" s="1509"/>
      <c r="U32" s="1509"/>
      <c r="V32" s="1509"/>
      <c r="W32" s="1610"/>
      <c r="X32" s="1610"/>
      <c r="Y32" s="1610"/>
      <c r="Z32" s="1610"/>
      <c r="AA32" s="1610"/>
      <c r="AB32" s="1509"/>
      <c r="AC32" s="1509"/>
      <c r="AD32" s="1509"/>
      <c r="AE32" s="1509"/>
      <c r="AF32" s="1509"/>
      <c r="AG32" s="1509"/>
      <c r="AH32" s="1509"/>
      <c r="AI32" s="1313"/>
      <c r="AJ32" s="1313"/>
      <c r="AK32" s="1313"/>
      <c r="AL32" s="1313"/>
      <c r="AM32" s="1313"/>
      <c r="AN32" s="1313"/>
    </row>
    <row r="33" spans="1:44" ht="12.75">
      <c r="A33" s="3803"/>
      <c r="B33" s="1463" t="s">
        <v>1247</v>
      </c>
      <c r="C33" s="1446">
        <f ca="1">ROUND(D5*C19*C20*C24*F33,0)</f>
        <v>6686</v>
      </c>
      <c r="D33" s="1464"/>
      <c r="E33" s="1362">
        <f ca="1">ROUND(C33*D33/10000,0)</f>
        <v>0</v>
      </c>
      <c r="F33" s="1362">
        <f>SUMIF(修正!A45:A56,G2,修正!B45:B56)</f>
        <v>0.6</v>
      </c>
      <c r="G33" s="1362">
        <f t="shared" ref="G33" ca="1" si="6">ROUND(IF(E2="工业",C33*$M$39,C33*$M$38),0)</f>
        <v>1672</v>
      </c>
      <c r="H33" s="1362">
        <f>D33</f>
        <v>0</v>
      </c>
      <c r="I33" s="1362">
        <f ca="1">ROUND(G33*H33/10000,0)</f>
        <v>0</v>
      </c>
      <c r="J33" s="3803" t="s">
        <v>1248</v>
      </c>
      <c r="K33" s="1537"/>
      <c r="L33" s="1537"/>
      <c r="M33" s="1537"/>
      <c r="N33" s="1537"/>
      <c r="O33" s="1537"/>
      <c r="P33" s="1509"/>
      <c r="Q33" s="1509"/>
      <c r="R33" s="1509"/>
      <c r="S33" s="1509"/>
      <c r="T33" s="1509"/>
      <c r="U33" s="1509"/>
      <c r="V33" s="1509"/>
      <c r="W33" s="1610"/>
      <c r="X33" s="1610"/>
      <c r="Y33" s="1610"/>
      <c r="Z33" s="1610"/>
      <c r="AA33" s="1610"/>
      <c r="AB33" s="1509"/>
      <c r="AC33" s="1509"/>
      <c r="AD33" s="1509"/>
      <c r="AE33" s="1509"/>
      <c r="AF33" s="1509"/>
      <c r="AG33" s="1509"/>
      <c r="AH33" s="1610"/>
      <c r="AJ33" s="1317"/>
      <c r="AK33" s="1317"/>
      <c r="AL33" s="1317"/>
      <c r="AM33" s="1317"/>
      <c r="AN33" s="1317"/>
      <c r="AO33" s="1314"/>
      <c r="AP33" s="1314"/>
      <c r="AQ33" s="1314"/>
      <c r="AR33" s="1314"/>
    </row>
    <row r="34" spans="1:44" ht="12.75">
      <c r="A34" s="3804"/>
      <c r="B34" s="1372" t="s">
        <v>1249</v>
      </c>
      <c r="C34" s="1446">
        <f ca="1">ROUND(D5*C19*C20*C24*F34,0)</f>
        <v>3343</v>
      </c>
      <c r="D34" s="1464"/>
      <c r="E34" s="1362">
        <f t="shared" ref="E34:E39" ca="1" si="7">ROUND(C34*D34/10000,0)</f>
        <v>0</v>
      </c>
      <c r="F34" s="1362">
        <f>SUMIF(修正!A45:A56,G2,修正!C45:C56)</f>
        <v>0.3</v>
      </c>
      <c r="G34" s="1362">
        <f ca="1">ROUND(IF(E2="工业",C34*$M$39,C34*$M$38),0)</f>
        <v>836</v>
      </c>
      <c r="H34" s="1362">
        <f t="shared" ref="H34:H39" si="8">D34</f>
        <v>0</v>
      </c>
      <c r="I34" s="1362">
        <f t="shared" ref="I34:I39" ca="1" si="9">ROUND(G34*H34/10000,0)</f>
        <v>0</v>
      </c>
      <c r="J34" s="3804"/>
      <c r="K34" s="1537"/>
      <c r="L34" s="1537"/>
      <c r="M34" s="1537"/>
      <c r="N34" s="1537"/>
      <c r="O34" s="1537"/>
      <c r="P34" s="1509"/>
      <c r="Q34" s="1509"/>
      <c r="R34" s="1509"/>
      <c r="S34" s="1509"/>
      <c r="T34" s="1509"/>
      <c r="U34" s="1509"/>
      <c r="V34" s="1509"/>
      <c r="W34" s="1610"/>
      <c r="X34" s="1610"/>
      <c r="Y34" s="1610"/>
      <c r="Z34" s="1610"/>
      <c r="AA34" s="1610"/>
      <c r="AB34" s="1509"/>
      <c r="AC34" s="1509"/>
      <c r="AD34" s="1509"/>
      <c r="AE34" s="1509"/>
      <c r="AF34" s="1509"/>
      <c r="AG34" s="1509"/>
      <c r="AH34" s="1610"/>
      <c r="AJ34" s="1317"/>
      <c r="AK34" s="1317"/>
      <c r="AL34" s="1317"/>
      <c r="AM34" s="1317"/>
      <c r="AN34" s="1317"/>
      <c r="AO34" s="1314"/>
      <c r="AP34" s="1314"/>
      <c r="AQ34" s="1314"/>
      <c r="AR34" s="1314"/>
    </row>
    <row r="35" spans="1:44" ht="12.75">
      <c r="A35" s="3804"/>
      <c r="B35" s="1372" t="s">
        <v>1250</v>
      </c>
      <c r="C35" s="1446">
        <f ca="1">ROUND(D5*C19*C20*C24*F35,0)</f>
        <v>2229</v>
      </c>
      <c r="D35" s="1464"/>
      <c r="E35" s="1362">
        <f t="shared" ca="1" si="7"/>
        <v>0</v>
      </c>
      <c r="F35" s="1362">
        <f>SUMIF(修正!A45:A56,G2,修正!D45:D56)</f>
        <v>0.2</v>
      </c>
      <c r="G35" s="1362">
        <f ca="1">ROUND(IF(E2="工业",C35*$M$39,C35*$M$38),0)</f>
        <v>557</v>
      </c>
      <c r="H35" s="1362">
        <f t="shared" si="8"/>
        <v>0</v>
      </c>
      <c r="I35" s="1362">
        <f t="shared" ca="1" si="9"/>
        <v>0</v>
      </c>
      <c r="J35" s="3804"/>
      <c r="K35" s="1537"/>
      <c r="L35" s="1537"/>
      <c r="M35" s="1537"/>
      <c r="N35" s="1537"/>
      <c r="O35" s="1537"/>
      <c r="P35" s="1509"/>
      <c r="Q35" s="1509"/>
      <c r="R35" s="1509"/>
      <c r="S35" s="1509"/>
      <c r="T35" s="1509"/>
      <c r="U35" s="1509"/>
      <c r="V35" s="1509"/>
      <c r="W35" s="1610"/>
      <c r="X35" s="1610"/>
      <c r="Y35" s="1610"/>
      <c r="Z35" s="1610"/>
      <c r="AA35" s="1610"/>
      <c r="AB35" s="1509"/>
      <c r="AC35" s="1509"/>
      <c r="AD35" s="1509"/>
      <c r="AE35" s="1509"/>
      <c r="AF35" s="1509"/>
      <c r="AG35" s="1509"/>
      <c r="AH35" s="1610"/>
      <c r="AJ35" s="1317"/>
      <c r="AK35" s="1317"/>
      <c r="AL35" s="1317"/>
      <c r="AM35" s="1317"/>
      <c r="AN35" s="1317"/>
      <c r="AO35" s="1314"/>
      <c r="AP35" s="1314"/>
      <c r="AQ35" s="1314"/>
      <c r="AR35" s="1314"/>
    </row>
    <row r="36" spans="1:44" ht="12.75">
      <c r="A36" s="3805"/>
      <c r="B36" s="1372" t="s">
        <v>1251</v>
      </c>
      <c r="C36" s="1446">
        <f ca="1">ROUND(D5*C19*C20*C24*F36,0)</f>
        <v>2229</v>
      </c>
      <c r="D36" s="1464"/>
      <c r="E36" s="1362">
        <f t="shared" ca="1" si="7"/>
        <v>0</v>
      </c>
      <c r="F36" s="1362">
        <f>SUMIF(修正!A45:A56,G2,修正!E45:E56)</f>
        <v>0.2</v>
      </c>
      <c r="G36" s="1362">
        <f ca="1">ROUND(IF(E2="工业",C36*$M$39,C36*$M$38),0)</f>
        <v>557</v>
      </c>
      <c r="H36" s="1362">
        <f t="shared" si="8"/>
        <v>0</v>
      </c>
      <c r="I36" s="1362">
        <f t="shared" ca="1" si="9"/>
        <v>0</v>
      </c>
      <c r="J36" s="3805"/>
      <c r="K36" s="1537"/>
      <c r="L36" s="1537"/>
      <c r="M36" s="1537"/>
      <c r="N36" s="1537"/>
      <c r="O36" s="1537"/>
      <c r="P36" s="1509"/>
      <c r="Q36" s="1509"/>
      <c r="R36" s="1509"/>
      <c r="S36" s="1509"/>
      <c r="T36" s="1509"/>
      <c r="U36" s="1509"/>
      <c r="V36" s="1509"/>
      <c r="W36" s="1610"/>
      <c r="X36" s="1610"/>
      <c r="Y36" s="1610"/>
      <c r="Z36" s="1610"/>
      <c r="AA36" s="1610"/>
      <c r="AB36" s="1509"/>
      <c r="AC36" s="1509"/>
      <c r="AD36" s="1509"/>
      <c r="AE36" s="1509"/>
      <c r="AF36" s="1509"/>
      <c r="AG36" s="1509"/>
      <c r="AH36" s="1610"/>
      <c r="AJ36" s="1317"/>
      <c r="AK36" s="1317"/>
      <c r="AL36" s="1317"/>
      <c r="AM36" s="1317"/>
      <c r="AN36" s="1317"/>
      <c r="AO36" s="1314"/>
      <c r="AP36" s="1314"/>
      <c r="AQ36" s="1314"/>
      <c r="AR36" s="1314"/>
    </row>
    <row r="37" spans="1:44" ht="12.75">
      <c r="A37" s="1465"/>
      <c r="B37" s="1372" t="s">
        <v>1252</v>
      </c>
      <c r="C37" s="1362">
        <f ca="1">ROUND(D5*C19*C20*C24*F37,0)</f>
        <v>2229</v>
      </c>
      <c r="D37" s="1464"/>
      <c r="E37" s="1362">
        <f t="shared" ca="1" si="7"/>
        <v>0</v>
      </c>
      <c r="F37" s="1446">
        <f>SUMIF(修正!A45:A56,G2,修正!F45:F56)</f>
        <v>0.2</v>
      </c>
      <c r="G37" s="1362">
        <f ca="1">ROUND(IF(E2="工业",C37*$M$39,C37*$M$38),0)</f>
        <v>557</v>
      </c>
      <c r="H37" s="1362">
        <f t="shared" si="8"/>
        <v>0</v>
      </c>
      <c r="I37" s="1362">
        <f t="shared" ca="1" si="9"/>
        <v>0</v>
      </c>
      <c r="J37" s="1588"/>
      <c r="K37" s="1509"/>
      <c r="L37" s="1589" t="s">
        <v>1253</v>
      </c>
      <c r="M37" s="1590"/>
      <c r="N37" s="1509"/>
      <c r="O37" s="1509"/>
      <c r="P37" s="1509"/>
      <c r="Q37" s="1509"/>
      <c r="R37" s="1610"/>
      <c r="S37" s="1610"/>
      <c r="T37" s="1610"/>
      <c r="U37" s="1610"/>
      <c r="V37" s="1610"/>
      <c r="W37" s="1509"/>
      <c r="X37" s="1509"/>
      <c r="Y37" s="1509"/>
      <c r="Z37" s="1509"/>
      <c r="AA37" s="1509"/>
      <c r="AB37" s="1509"/>
      <c r="AC37" s="1610"/>
    </row>
    <row r="38" spans="1:44" ht="12.75">
      <c r="A38" s="1465"/>
      <c r="B38" s="1372" t="s">
        <v>1254</v>
      </c>
      <c r="C38" s="1362">
        <f ca="1">ROUND(D5*C19*C41*C24*F38,0)</f>
        <v>0</v>
      </c>
      <c r="D38" s="1464"/>
      <c r="E38" s="1362">
        <f t="shared" ca="1" si="7"/>
        <v>0</v>
      </c>
      <c r="F38" s="1446">
        <f>SUMIF(修正!A45:A56,G2,修正!G45:G56)</f>
        <v>0.2</v>
      </c>
      <c r="G38" s="1362">
        <f ca="1">ROUND(IF(E2="工业",C38*$M$39,C38*$M$38),0)</f>
        <v>0</v>
      </c>
      <c r="H38" s="1362">
        <f t="shared" si="8"/>
        <v>0</v>
      </c>
      <c r="I38" s="1362">
        <f t="shared" ca="1" si="9"/>
        <v>0</v>
      </c>
      <c r="J38" s="1588"/>
      <c r="K38" s="1509"/>
      <c r="L38" s="1591" t="s">
        <v>1255</v>
      </c>
      <c r="M38" s="1592">
        <v>0.25</v>
      </c>
      <c r="N38" s="1509"/>
      <c r="O38" s="1509"/>
      <c r="P38" s="1509"/>
      <c r="Q38" s="1509"/>
      <c r="R38" s="1610"/>
      <c r="S38" s="1610"/>
      <c r="T38" s="1610"/>
      <c r="U38" s="1610"/>
      <c r="V38" s="1610"/>
      <c r="W38" s="1509"/>
      <c r="X38" s="1509"/>
      <c r="Y38" s="1509"/>
      <c r="Z38" s="1509"/>
      <c r="AA38" s="1509"/>
      <c r="AB38" s="1509"/>
      <c r="AC38" s="1610"/>
    </row>
    <row r="39" spans="1:44" ht="12.75">
      <c r="A39" s="1451"/>
      <c r="B39" s="1466" t="s">
        <v>485</v>
      </c>
      <c r="C39" s="1391">
        <f ca="1">ROUND(D5*C19*C41*C24*F39,0)</f>
        <v>0</v>
      </c>
      <c r="D39" s="1467"/>
      <c r="E39" s="1391">
        <f t="shared" ca="1" si="7"/>
        <v>0</v>
      </c>
      <c r="F39" s="1468">
        <f>SUMIF(修正!A45:A56,G2,修正!H45:H56)</f>
        <v>0.15</v>
      </c>
      <c r="G39" s="1391">
        <f ca="1">ROUND(IF(E2="工业",C39*$M$39,C39*$M$38),0)</f>
        <v>0</v>
      </c>
      <c r="H39" s="1391">
        <f t="shared" si="8"/>
        <v>0</v>
      </c>
      <c r="I39" s="1391">
        <f t="shared" ca="1" si="9"/>
        <v>0</v>
      </c>
      <c r="J39" s="1593"/>
      <c r="K39" s="1509"/>
      <c r="L39" s="1594" t="s">
        <v>1256</v>
      </c>
      <c r="M39" s="1595">
        <v>0.15</v>
      </c>
      <c r="N39" s="1509"/>
      <c r="O39" s="1509"/>
      <c r="P39" s="1509"/>
      <c r="Q39" s="1509"/>
      <c r="R39" s="1610"/>
      <c r="S39" s="1610"/>
      <c r="T39" s="1610"/>
      <c r="U39" s="1610"/>
      <c r="V39" s="1610"/>
      <c r="W39" s="1509"/>
      <c r="X39" s="1509"/>
      <c r="Y39" s="1509"/>
      <c r="Z39" s="1509"/>
      <c r="AA39" s="1509"/>
      <c r="AB39" s="1509"/>
      <c r="AC39" s="1610"/>
    </row>
    <row r="40" spans="1:44" s="1313" customFormat="1">
      <c r="B40" s="1469"/>
      <c r="C40" s="1469"/>
      <c r="D40" s="1469"/>
      <c r="E40" s="1469"/>
      <c r="F40" s="1469"/>
      <c r="G40" s="1469"/>
      <c r="H40" s="1469"/>
      <c r="I40" s="1469"/>
      <c r="J40" s="1469"/>
      <c r="K40" s="1469"/>
      <c r="L40" s="1469"/>
      <c r="M40" s="1469"/>
      <c r="N40" s="1469"/>
      <c r="O40" s="1469"/>
      <c r="P40" s="1469"/>
      <c r="Q40" s="1469"/>
      <c r="R40" s="1611"/>
      <c r="S40" s="1611"/>
      <c r="T40" s="1611"/>
      <c r="U40" s="1611"/>
      <c r="V40" s="1611"/>
      <c r="W40" s="1469"/>
      <c r="X40" s="1469"/>
      <c r="Y40" s="1469"/>
      <c r="Z40" s="1469"/>
      <c r="AA40" s="1469"/>
      <c r="AB40" s="1469"/>
      <c r="AC40" s="1611"/>
      <c r="AD40" s="1317"/>
      <c r="AE40" s="1317"/>
      <c r="AF40" s="1317"/>
      <c r="AG40" s="1317"/>
      <c r="AH40" s="1317"/>
      <c r="AI40" s="1317"/>
      <c r="AJ40" s="1317"/>
      <c r="AK40" s="1317"/>
      <c r="AL40" s="1317"/>
      <c r="AM40" s="1317"/>
    </row>
    <row r="41" spans="1:44" s="1313" customFormat="1" ht="12.75">
      <c r="A41" s="1317"/>
      <c r="B41" s="1470" t="s">
        <v>1257</v>
      </c>
      <c r="C41" s="904">
        <f ca="1">ROUND(POWER(1+E41,H41-G41)*(POWER(1+E41,G41)-1)/(POWER(1+E41,H41)-1),4)</f>
        <v>0</v>
      </c>
      <c r="D41" s="1471" t="s">
        <v>1258</v>
      </c>
      <c r="E41" s="1472">
        <f ca="1">G20</f>
        <v>0.05</v>
      </c>
      <c r="F41" s="1471" t="s">
        <v>1259</v>
      </c>
      <c r="G41" s="1473"/>
      <c r="H41" s="1471">
        <v>50</v>
      </c>
      <c r="I41" s="1469"/>
      <c r="J41" s="1469"/>
      <c r="K41" s="1469"/>
      <c r="L41" s="1469"/>
      <c r="M41" s="1469"/>
      <c r="N41" s="1469"/>
      <c r="O41" s="1469"/>
      <c r="P41" s="1469"/>
      <c r="Q41" s="1469"/>
      <c r="R41" s="1611"/>
      <c r="S41" s="1611"/>
      <c r="T41" s="1611"/>
      <c r="U41" s="1611"/>
      <c r="V41" s="1611"/>
      <c r="W41" s="1469"/>
      <c r="X41" s="1469"/>
      <c r="Y41" s="1469"/>
      <c r="Z41" s="1469"/>
      <c r="AA41" s="1469"/>
      <c r="AB41" s="1469"/>
      <c r="AC41" s="1611"/>
      <c r="AD41" s="1317"/>
      <c r="AE41" s="1317"/>
      <c r="AF41" s="1317"/>
      <c r="AG41" s="1317"/>
      <c r="AH41" s="1317"/>
      <c r="AI41" s="1317"/>
      <c r="AJ41" s="1317"/>
      <c r="AK41" s="1317"/>
      <c r="AL41" s="1317"/>
      <c r="AM41" s="1317"/>
    </row>
    <row r="42" spans="1:44" s="1313" customFormat="1">
      <c r="A42" s="1317"/>
      <c r="B42" s="1474"/>
      <c r="C42" s="1469"/>
      <c r="D42" s="1469"/>
      <c r="E42" s="1469"/>
      <c r="F42" s="1469"/>
      <c r="G42" s="1469"/>
      <c r="H42" s="1469"/>
      <c r="I42" s="1469"/>
      <c r="J42" s="1469"/>
      <c r="K42" s="1469"/>
      <c r="L42" s="1469"/>
      <c r="M42" s="1469"/>
      <c r="N42" s="1469"/>
      <c r="O42" s="1469"/>
      <c r="P42" s="1469"/>
      <c r="Q42" s="1469"/>
      <c r="R42" s="1611"/>
      <c r="S42" s="1611"/>
      <c r="T42" s="1611"/>
      <c r="U42" s="1611"/>
      <c r="V42" s="1611"/>
      <c r="W42" s="1469"/>
      <c r="X42" s="1469"/>
      <c r="Y42" s="1469"/>
      <c r="Z42" s="1469"/>
      <c r="AA42" s="1469"/>
      <c r="AB42" s="1469"/>
      <c r="AC42" s="1611"/>
      <c r="AD42" s="1317"/>
      <c r="AE42" s="1317"/>
      <c r="AF42" s="1317"/>
      <c r="AG42" s="1317"/>
      <c r="AH42" s="1317"/>
      <c r="AI42" s="1317"/>
      <c r="AJ42" s="1317"/>
      <c r="AK42" s="1317"/>
      <c r="AL42" s="1317"/>
      <c r="AM42" s="1317"/>
    </row>
    <row r="43" spans="1:44" s="1313" customFormat="1">
      <c r="A43" s="1317"/>
      <c r="B43" s="1474"/>
      <c r="C43" s="1469"/>
      <c r="D43" s="1469"/>
      <c r="E43" s="1469"/>
      <c r="F43" s="1469"/>
      <c r="G43" s="1469"/>
      <c r="H43" s="1469"/>
      <c r="I43" s="1469"/>
      <c r="J43" s="1469"/>
      <c r="K43" s="1469"/>
      <c r="L43" s="1469"/>
      <c r="M43" s="1469"/>
      <c r="N43" s="1469"/>
      <c r="O43" s="1469"/>
      <c r="P43" s="1469"/>
      <c r="Q43" s="1469"/>
      <c r="R43" s="1611"/>
      <c r="S43" s="1611"/>
      <c r="T43" s="1611"/>
      <c r="U43" s="1611"/>
      <c r="V43" s="1611"/>
      <c r="W43" s="1469"/>
      <c r="X43" s="1469"/>
      <c r="Y43" s="1469"/>
      <c r="Z43" s="1469"/>
      <c r="AA43" s="1469"/>
      <c r="AB43" s="1469"/>
      <c r="AC43" s="1611"/>
      <c r="AD43" s="1317"/>
      <c r="AE43" s="1317"/>
      <c r="AF43" s="1317"/>
      <c r="AG43" s="1317"/>
      <c r="AH43" s="1317"/>
      <c r="AI43" s="1317"/>
      <c r="AJ43" s="1317"/>
      <c r="AK43" s="1317"/>
      <c r="AL43" s="1317"/>
      <c r="AM43" s="1317"/>
    </row>
    <row r="44" spans="1:44" s="1313" customFormat="1" ht="14.25">
      <c r="A44" s="1475" t="s">
        <v>1260</v>
      </c>
      <c r="B44" s="1476"/>
      <c r="C44" s="1477"/>
      <c r="D44" s="1478"/>
      <c r="E44" s="1478"/>
      <c r="F44" s="1479"/>
      <c r="G44" s="1233"/>
      <c r="H44" s="1479"/>
      <c r="I44" s="1233"/>
      <c r="J44" s="1233"/>
      <c r="K44" s="1233"/>
      <c r="L44" s="1233"/>
      <c r="M44" s="1233"/>
      <c r="O44" s="1469"/>
      <c r="P44" s="1469"/>
      <c r="Q44" s="1469"/>
      <c r="R44" s="1611"/>
      <c r="S44" s="1611"/>
      <c r="T44" s="1611"/>
      <c r="U44" s="1611"/>
      <c r="V44" s="1611"/>
      <c r="W44" s="1469"/>
      <c r="X44" s="1469"/>
      <c r="Y44" s="1469"/>
      <c r="Z44" s="1469"/>
      <c r="AA44" s="1469"/>
      <c r="AB44" s="1469"/>
      <c r="AC44" s="1611"/>
      <c r="AD44" s="1317"/>
      <c r="AE44" s="1317"/>
      <c r="AF44" s="1317"/>
      <c r="AG44" s="1317"/>
      <c r="AH44" s="1317"/>
      <c r="AI44" s="1317"/>
      <c r="AJ44" s="1317"/>
      <c r="AK44" s="1317"/>
      <c r="AL44" s="1317"/>
      <c r="AM44" s="1317"/>
    </row>
    <row r="45" spans="1:44" s="1313" customFormat="1" ht="15" hidden="1">
      <c r="A45" s="1480" t="s">
        <v>369</v>
      </c>
      <c r="B45" s="1481">
        <f>1+E47</f>
        <v>1</v>
      </c>
      <c r="C45" s="1482"/>
      <c r="D45" s="1483"/>
      <c r="E45" s="1484"/>
      <c r="F45" s="1485"/>
      <c r="G45" s="1479"/>
      <c r="H45" s="1479"/>
      <c r="I45" s="1233"/>
      <c r="J45" s="1233"/>
      <c r="K45" s="1233"/>
      <c r="L45" s="1233"/>
      <c r="M45" s="1233"/>
      <c r="O45" s="1469"/>
      <c r="P45" s="1469"/>
      <c r="Q45" s="1469"/>
      <c r="R45" s="1611"/>
      <c r="S45" s="1611"/>
      <c r="T45" s="1611"/>
      <c r="U45" s="1611"/>
      <c r="V45" s="1611"/>
      <c r="W45" s="1469"/>
      <c r="X45" s="1469"/>
      <c r="Y45" s="1469"/>
      <c r="Z45" s="1469"/>
      <c r="AA45" s="1469"/>
      <c r="AB45" s="1469"/>
      <c r="AC45" s="1611"/>
      <c r="AD45" s="1317"/>
      <c r="AE45" s="1317"/>
      <c r="AF45" s="1317"/>
      <c r="AG45" s="1317"/>
      <c r="AH45" s="1317"/>
      <c r="AI45" s="1317"/>
      <c r="AJ45" s="1317"/>
      <c r="AK45" s="1317"/>
      <c r="AL45" s="1317"/>
      <c r="AM45" s="1317"/>
    </row>
    <row r="46" spans="1:44" s="1313" customFormat="1" ht="24" hidden="1">
      <c r="A46" s="1281" t="s">
        <v>1261</v>
      </c>
      <c r="B46" s="1486" t="s">
        <v>1262</v>
      </c>
      <c r="C46" s="1487" t="s">
        <v>1263</v>
      </c>
      <c r="D46" s="1488" t="s">
        <v>1264</v>
      </c>
      <c r="E46" s="1489" t="s">
        <v>1265</v>
      </c>
      <c r="F46" s="1490" t="s">
        <v>1266</v>
      </c>
      <c r="G46" s="1488" t="s">
        <v>1267</v>
      </c>
      <c r="H46" s="1491" t="s">
        <v>1268</v>
      </c>
      <c r="I46" s="1488" t="s">
        <v>1269</v>
      </c>
      <c r="J46" s="1596" t="s">
        <v>250</v>
      </c>
      <c r="K46" s="1596" t="s">
        <v>262</v>
      </c>
      <c r="L46" s="1596" t="s">
        <v>272</v>
      </c>
      <c r="M46" s="1596" t="s">
        <v>282</v>
      </c>
      <c r="N46" s="1596" t="s">
        <v>289</v>
      </c>
      <c r="P46" s="1469"/>
      <c r="Q46" s="1469"/>
      <c r="R46" s="1611"/>
      <c r="S46" s="1611"/>
      <c r="T46" s="1611"/>
      <c r="U46" s="1611"/>
      <c r="V46" s="1611"/>
      <c r="W46" s="1469"/>
      <c r="X46" s="1469"/>
      <c r="Y46" s="1469"/>
      <c r="Z46" s="1469"/>
      <c r="AA46" s="1469"/>
      <c r="AB46" s="1469"/>
      <c r="AC46" s="1469"/>
      <c r="AD46" s="1611"/>
      <c r="AE46" s="1317"/>
      <c r="AF46" s="1317"/>
      <c r="AG46" s="1317"/>
      <c r="AH46" s="1317"/>
      <c r="AI46" s="1317"/>
      <c r="AJ46" s="1317"/>
      <c r="AK46" s="1317"/>
      <c r="AL46" s="1317"/>
      <c r="AM46" s="1317"/>
      <c r="AN46" s="1317"/>
    </row>
    <row r="47" spans="1:44" s="1313" customFormat="1" ht="36" hidden="1">
      <c r="A47" s="1281" t="s">
        <v>1270</v>
      </c>
      <c r="B47" s="1492" t="str">
        <f>估价对象房地状况!C16</f>
        <v>估价对象位于XX商圈，周边商业氛围成熟，人流量大，商业繁华度好</v>
      </c>
      <c r="C47" s="1493"/>
      <c r="D47" s="1494">
        <f t="shared" ref="D47:D55" si="10">SUMIF($J$46:$N$46,C47,J47:N47)</f>
        <v>0</v>
      </c>
      <c r="E47" s="1495">
        <f>ROUND(SUM(D47:D55),4)</f>
        <v>0</v>
      </c>
      <c r="F47" s="1496" t="str">
        <f>IF(E2="商业",SUMIF(L1:L12,G2,N1:N12),"——")</f>
        <v>——</v>
      </c>
      <c r="G47" s="1497"/>
      <c r="H47" s="1498" t="str">
        <f t="shared" ref="H47:H55" si="11">IFERROR(ROUNDDOWN(($F$47*I47/2),4),"——")</f>
        <v>——</v>
      </c>
      <c r="I47" s="1597">
        <v>0.33</v>
      </c>
      <c r="J47" s="1598">
        <f t="shared" ref="J47:J55" si="12">K47+$G47</f>
        <v>0</v>
      </c>
      <c r="K47" s="1598">
        <f t="shared" ref="K47:K55" si="13">$L47+$G47</f>
        <v>0</v>
      </c>
      <c r="L47" s="1598">
        <v>0</v>
      </c>
      <c r="M47" s="1598">
        <f t="shared" ref="M47:N55" si="14">L47-$G47</f>
        <v>0</v>
      </c>
      <c r="N47" s="1598">
        <f t="shared" si="14"/>
        <v>0</v>
      </c>
      <c r="P47" s="1469"/>
      <c r="Q47" s="1469"/>
      <c r="R47" s="1611"/>
      <c r="S47" s="1611"/>
      <c r="T47" s="1611"/>
      <c r="U47" s="1611"/>
      <c r="V47" s="1611"/>
      <c r="W47" s="1469"/>
      <c r="X47" s="1469"/>
      <c r="Y47" s="1469"/>
      <c r="Z47" s="1469"/>
      <c r="AA47" s="1469"/>
      <c r="AB47" s="1469"/>
      <c r="AC47" s="1469"/>
      <c r="AD47" s="1611"/>
      <c r="AE47" s="1317"/>
      <c r="AF47" s="1317"/>
      <c r="AG47" s="1317"/>
      <c r="AH47" s="1317"/>
      <c r="AI47" s="1317"/>
      <c r="AJ47" s="1317"/>
      <c r="AK47" s="1317"/>
      <c r="AL47" s="1317"/>
      <c r="AM47" s="1317"/>
      <c r="AN47" s="1317"/>
    </row>
    <row r="48" spans="1:44" s="1313" customFormat="1" ht="132" hidden="1">
      <c r="A48" s="1281" t="s">
        <v>649</v>
      </c>
      <c r="B48"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48" s="1493"/>
      <c r="D48" s="1494">
        <f t="shared" si="10"/>
        <v>0</v>
      </c>
      <c r="E48" s="1499"/>
      <c r="F48" s="1496"/>
      <c r="G48" s="1497"/>
      <c r="H48" s="1498" t="str">
        <f t="shared" si="11"/>
        <v>——</v>
      </c>
      <c r="I48" s="1597">
        <v>0.25</v>
      </c>
      <c r="J48" s="1598">
        <f t="shared" si="12"/>
        <v>0</v>
      </c>
      <c r="K48" s="1598">
        <f t="shared" si="13"/>
        <v>0</v>
      </c>
      <c r="L48" s="1598">
        <v>0</v>
      </c>
      <c r="M48" s="1598">
        <f t="shared" si="14"/>
        <v>0</v>
      </c>
      <c r="N48" s="1598">
        <f t="shared" si="14"/>
        <v>0</v>
      </c>
      <c r="P48" s="1469"/>
      <c r="Q48" s="1469"/>
      <c r="R48" s="1611"/>
      <c r="S48" s="1611"/>
      <c r="T48" s="1611"/>
      <c r="U48" s="1611"/>
      <c r="V48" s="1611"/>
      <c r="W48" s="1469"/>
      <c r="X48" s="1469"/>
      <c r="Y48" s="1469"/>
      <c r="Z48" s="1469"/>
      <c r="AA48" s="1469"/>
      <c r="AB48" s="1469"/>
      <c r="AC48" s="1469"/>
      <c r="AD48" s="1611"/>
      <c r="AE48" s="1317"/>
      <c r="AF48" s="1317"/>
      <c r="AG48" s="1317"/>
      <c r="AH48" s="1317"/>
      <c r="AI48" s="1317"/>
      <c r="AJ48" s="1317"/>
      <c r="AK48" s="1317"/>
      <c r="AL48" s="1317"/>
      <c r="AM48" s="1317"/>
      <c r="AN48" s="1317"/>
    </row>
    <row r="49" spans="1:40" s="1313" customFormat="1" ht="24" hidden="1">
      <c r="A49" s="1281" t="s">
        <v>660</v>
      </c>
      <c r="B49" s="1486">
        <f>估价对象房地状况!C19</f>
        <v>0</v>
      </c>
      <c r="C49" s="1493"/>
      <c r="D49" s="1494">
        <f t="shared" si="10"/>
        <v>0</v>
      </c>
      <c r="E49" s="1499"/>
      <c r="F49" s="1496"/>
      <c r="G49" s="1497"/>
      <c r="H49" s="1498" t="str">
        <f t="shared" si="11"/>
        <v>——</v>
      </c>
      <c r="I49" s="1597">
        <v>0.05</v>
      </c>
      <c r="J49" s="1598">
        <f t="shared" si="12"/>
        <v>0</v>
      </c>
      <c r="K49" s="1598">
        <f t="shared" si="13"/>
        <v>0</v>
      </c>
      <c r="L49" s="1598">
        <v>0</v>
      </c>
      <c r="M49" s="1598">
        <f t="shared" si="14"/>
        <v>0</v>
      </c>
      <c r="N49" s="1598">
        <f t="shared" si="14"/>
        <v>0</v>
      </c>
      <c r="P49" s="1469"/>
      <c r="Q49" s="1469"/>
      <c r="R49" s="1611"/>
      <c r="S49" s="1611"/>
      <c r="T49" s="1611"/>
      <c r="U49" s="1611"/>
      <c r="V49" s="1611"/>
      <c r="W49" s="1469"/>
      <c r="X49" s="1469"/>
      <c r="Y49" s="1469"/>
      <c r="Z49" s="1469"/>
      <c r="AA49" s="1469"/>
      <c r="AB49" s="1469"/>
      <c r="AC49" s="1469"/>
      <c r="AD49" s="1611"/>
      <c r="AE49" s="1317"/>
      <c r="AF49" s="1317"/>
      <c r="AG49" s="1317"/>
      <c r="AH49" s="1317"/>
      <c r="AI49" s="1317"/>
      <c r="AJ49" s="1317"/>
      <c r="AK49" s="1317"/>
      <c r="AL49" s="1317"/>
      <c r="AM49" s="1317"/>
      <c r="AN49" s="1317"/>
    </row>
    <row r="50" spans="1:40" s="1313" customFormat="1" ht="36" hidden="1">
      <c r="A50" s="1281" t="s">
        <v>1271</v>
      </c>
      <c r="B50" s="1500" t="s">
        <v>1272</v>
      </c>
      <c r="C50" s="1493"/>
      <c r="D50" s="1494">
        <f t="shared" si="10"/>
        <v>0</v>
      </c>
      <c r="E50" s="1499"/>
      <c r="F50" s="1496"/>
      <c r="G50" s="1497"/>
      <c r="H50" s="1498" t="str">
        <f t="shared" si="11"/>
        <v>——</v>
      </c>
      <c r="I50" s="1597">
        <v>0.05</v>
      </c>
      <c r="J50" s="1598">
        <f t="shared" si="12"/>
        <v>0</v>
      </c>
      <c r="K50" s="1598">
        <f t="shared" si="13"/>
        <v>0</v>
      </c>
      <c r="L50" s="1598">
        <v>0</v>
      </c>
      <c r="M50" s="1598">
        <f t="shared" si="14"/>
        <v>0</v>
      </c>
      <c r="N50" s="1598">
        <f t="shared" si="14"/>
        <v>0</v>
      </c>
      <c r="P50" s="1469"/>
      <c r="Q50" s="1469"/>
      <c r="R50" s="1611"/>
      <c r="S50" s="1611"/>
      <c r="T50" s="1611"/>
      <c r="U50" s="1611"/>
      <c r="V50" s="1611"/>
      <c r="W50" s="1469"/>
      <c r="X50" s="1469"/>
      <c r="Y50" s="1469"/>
      <c r="Z50" s="1469"/>
      <c r="AA50" s="1469"/>
      <c r="AB50" s="1469"/>
      <c r="AC50" s="1469"/>
      <c r="AD50" s="1611"/>
      <c r="AE50" s="1317"/>
      <c r="AF50" s="1317"/>
      <c r="AG50" s="1317"/>
      <c r="AH50" s="1317"/>
      <c r="AI50" s="1317"/>
      <c r="AJ50" s="1317"/>
      <c r="AK50" s="1317"/>
      <c r="AL50" s="1317"/>
      <c r="AM50" s="1317"/>
      <c r="AN50" s="1317"/>
    </row>
    <row r="51" spans="1:40" s="1313" customFormat="1" ht="24" hidden="1">
      <c r="A51" s="1281" t="s">
        <v>1273</v>
      </c>
      <c r="B51" s="1486" t="str">
        <f>估价对象房地状况!C24</f>
        <v>城市次干道-温泉路</v>
      </c>
      <c r="C51" s="1493"/>
      <c r="D51" s="1494">
        <f t="shared" si="10"/>
        <v>0</v>
      </c>
      <c r="E51" s="1499"/>
      <c r="F51" s="1496"/>
      <c r="G51" s="1497"/>
      <c r="H51" s="1498" t="str">
        <f t="shared" si="11"/>
        <v>——</v>
      </c>
      <c r="I51" s="1597">
        <v>0.08</v>
      </c>
      <c r="J51" s="1598">
        <f t="shared" si="12"/>
        <v>0</v>
      </c>
      <c r="K51" s="1598">
        <f t="shared" si="13"/>
        <v>0</v>
      </c>
      <c r="L51" s="1598">
        <v>0</v>
      </c>
      <c r="M51" s="1598">
        <f t="shared" si="14"/>
        <v>0</v>
      </c>
      <c r="N51" s="1598">
        <f t="shared" si="14"/>
        <v>0</v>
      </c>
      <c r="P51" s="1469"/>
      <c r="Q51" s="1469"/>
      <c r="R51" s="1611"/>
      <c r="S51" s="1611"/>
      <c r="T51" s="1611"/>
      <c r="U51" s="1611"/>
      <c r="V51" s="1611"/>
      <c r="W51" s="1469"/>
      <c r="X51" s="1469"/>
      <c r="Y51" s="1469"/>
      <c r="Z51" s="1469"/>
      <c r="AA51" s="1469"/>
      <c r="AB51" s="1469"/>
      <c r="AC51" s="1469"/>
      <c r="AD51" s="1611"/>
      <c r="AE51" s="1317"/>
      <c r="AF51" s="1317"/>
      <c r="AG51" s="1317"/>
      <c r="AH51" s="1317"/>
      <c r="AI51" s="1317"/>
      <c r="AJ51" s="1317"/>
      <c r="AK51" s="1317"/>
      <c r="AL51" s="1317"/>
      <c r="AM51" s="1317"/>
      <c r="AN51" s="1317"/>
    </row>
    <row r="52" spans="1:40" s="1313" customFormat="1" ht="24" hidden="1">
      <c r="A52" s="1281" t="s">
        <v>1274</v>
      </c>
      <c r="B52" s="1501" t="s">
        <v>1275</v>
      </c>
      <c r="C52" s="1493"/>
      <c r="D52" s="1494">
        <f t="shared" si="10"/>
        <v>0</v>
      </c>
      <c r="E52" s="1499"/>
      <c r="F52" s="1496"/>
      <c r="G52" s="1497"/>
      <c r="H52" s="1498" t="str">
        <f t="shared" si="11"/>
        <v>——</v>
      </c>
      <c r="I52" s="1597">
        <v>0.03</v>
      </c>
      <c r="J52" s="1598">
        <f t="shared" si="12"/>
        <v>0</v>
      </c>
      <c r="K52" s="1598">
        <f t="shared" si="13"/>
        <v>0</v>
      </c>
      <c r="L52" s="1598">
        <v>0</v>
      </c>
      <c r="M52" s="1598">
        <f t="shared" si="14"/>
        <v>0</v>
      </c>
      <c r="N52" s="1598">
        <f t="shared" si="14"/>
        <v>0</v>
      </c>
      <c r="P52" s="1469"/>
      <c r="Q52" s="1469"/>
      <c r="R52" s="1611"/>
      <c r="S52" s="1611"/>
      <c r="T52" s="1611"/>
      <c r="U52" s="1611"/>
      <c r="V52" s="1611"/>
      <c r="W52" s="1469"/>
      <c r="X52" s="1469"/>
      <c r="Y52" s="1469"/>
      <c r="Z52" s="1469"/>
      <c r="AA52" s="1469"/>
      <c r="AB52" s="1469"/>
      <c r="AC52" s="1469"/>
      <c r="AD52" s="1611"/>
      <c r="AE52" s="1317"/>
      <c r="AF52" s="1317"/>
      <c r="AG52" s="1317"/>
      <c r="AH52" s="1317"/>
      <c r="AI52" s="1317"/>
      <c r="AJ52" s="1317"/>
      <c r="AK52" s="1317"/>
      <c r="AL52" s="1317"/>
      <c r="AM52" s="1317"/>
      <c r="AN52" s="1317"/>
    </row>
    <row r="53" spans="1:40" s="1313" customFormat="1" ht="132" hidden="1">
      <c r="A53" s="1502" t="s">
        <v>1276</v>
      </c>
      <c r="B5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53" s="1493"/>
      <c r="D53" s="1494">
        <f t="shared" si="10"/>
        <v>0</v>
      </c>
      <c r="E53" s="1499"/>
      <c r="F53" s="1496"/>
      <c r="G53" s="1497"/>
      <c r="H53" s="1498" t="str">
        <f t="shared" si="11"/>
        <v>——</v>
      </c>
      <c r="I53" s="1597">
        <v>0.05</v>
      </c>
      <c r="J53" s="1598">
        <f t="shared" si="12"/>
        <v>0</v>
      </c>
      <c r="K53" s="1598">
        <f t="shared" si="13"/>
        <v>0</v>
      </c>
      <c r="L53" s="1598">
        <v>0</v>
      </c>
      <c r="M53" s="1598">
        <f t="shared" si="14"/>
        <v>0</v>
      </c>
      <c r="N53" s="1598">
        <f t="shared" si="14"/>
        <v>0</v>
      </c>
      <c r="P53" s="1469"/>
      <c r="Q53" s="1469"/>
      <c r="R53" s="1611"/>
      <c r="S53" s="1611"/>
      <c r="T53" s="1611"/>
      <c r="U53" s="1611"/>
      <c r="V53" s="1611"/>
      <c r="W53" s="1469"/>
      <c r="X53" s="1469"/>
      <c r="Y53" s="1469"/>
      <c r="Z53" s="1469"/>
      <c r="AA53" s="1469"/>
      <c r="AB53" s="1469"/>
      <c r="AC53" s="1469"/>
      <c r="AD53" s="1611"/>
      <c r="AE53" s="1317"/>
      <c r="AF53" s="1317"/>
      <c r="AG53" s="1317"/>
      <c r="AH53" s="1317"/>
      <c r="AI53" s="1317"/>
      <c r="AJ53" s="1317"/>
      <c r="AK53" s="1317"/>
      <c r="AL53" s="1317"/>
      <c r="AM53" s="1317"/>
      <c r="AN53" s="1317"/>
    </row>
    <row r="54" spans="1:40" s="1313" customFormat="1" ht="24" hidden="1">
      <c r="A54" s="1502" t="s">
        <v>1277</v>
      </c>
      <c r="B54" s="1486" t="str">
        <f>估价对象房地状况!C22</f>
        <v>估价对象所在区域基础设施水平-七通</v>
      </c>
      <c r="C54" s="1493"/>
      <c r="D54" s="1494">
        <f t="shared" si="10"/>
        <v>0</v>
      </c>
      <c r="E54" s="1499"/>
      <c r="F54" s="1496"/>
      <c r="G54" s="1497"/>
      <c r="H54" s="1498" t="str">
        <f t="shared" si="11"/>
        <v>——</v>
      </c>
      <c r="I54" s="1597">
        <v>0.1</v>
      </c>
      <c r="J54" s="1598">
        <f t="shared" si="12"/>
        <v>0</v>
      </c>
      <c r="K54" s="1598">
        <f t="shared" si="13"/>
        <v>0</v>
      </c>
      <c r="L54" s="1598">
        <v>0</v>
      </c>
      <c r="M54" s="1598">
        <f t="shared" si="14"/>
        <v>0</v>
      </c>
      <c r="N54" s="1598">
        <f t="shared" si="14"/>
        <v>0</v>
      </c>
      <c r="P54" s="1469"/>
      <c r="Q54" s="1469"/>
      <c r="R54" s="1611"/>
      <c r="S54" s="1611"/>
      <c r="T54" s="1611"/>
      <c r="U54" s="1611"/>
      <c r="V54" s="1611"/>
      <c r="W54" s="1469"/>
      <c r="X54" s="1469"/>
      <c r="Y54" s="1469"/>
      <c r="Z54" s="1469"/>
      <c r="AA54" s="1469"/>
      <c r="AB54" s="1469"/>
      <c r="AC54" s="1469"/>
      <c r="AD54" s="1611"/>
      <c r="AE54" s="1317"/>
      <c r="AF54" s="1317"/>
      <c r="AG54" s="1317"/>
      <c r="AH54" s="1317"/>
      <c r="AI54" s="1317"/>
      <c r="AJ54" s="1317"/>
      <c r="AK54" s="1317"/>
      <c r="AL54" s="1317"/>
      <c r="AM54" s="1317"/>
      <c r="AN54" s="1317"/>
    </row>
    <row r="55" spans="1:40" s="1313" customFormat="1" ht="96" hidden="1">
      <c r="A55" s="1504" t="s">
        <v>1278</v>
      </c>
      <c r="B55" s="1505"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55" s="1493"/>
      <c r="D55" s="1494">
        <f t="shared" si="10"/>
        <v>0</v>
      </c>
      <c r="E55" s="1506"/>
      <c r="F55" s="1496"/>
      <c r="G55" s="1497"/>
      <c r="H55" s="1498" t="str">
        <f t="shared" si="11"/>
        <v>——</v>
      </c>
      <c r="I55" s="1599">
        <v>0.06</v>
      </c>
      <c r="J55" s="1598">
        <f t="shared" si="12"/>
        <v>0</v>
      </c>
      <c r="K55" s="1598">
        <f t="shared" si="13"/>
        <v>0</v>
      </c>
      <c r="L55" s="1598">
        <v>0</v>
      </c>
      <c r="M55" s="1598">
        <f t="shared" si="14"/>
        <v>0</v>
      </c>
      <c r="N55" s="1598">
        <f t="shared" si="14"/>
        <v>0</v>
      </c>
      <c r="P55" s="1469"/>
      <c r="Q55" s="1469"/>
      <c r="R55" s="1611"/>
      <c r="S55" s="1611"/>
      <c r="T55" s="1611"/>
      <c r="U55" s="1611"/>
      <c r="V55" s="1611"/>
      <c r="W55" s="1469"/>
      <c r="X55" s="1469"/>
      <c r="Y55" s="1469"/>
      <c r="Z55" s="1469"/>
      <c r="AA55" s="1469"/>
      <c r="AB55" s="1469"/>
      <c r="AC55" s="1469"/>
      <c r="AD55" s="1611"/>
      <c r="AE55" s="1317"/>
      <c r="AF55" s="1317"/>
      <c r="AG55" s="1317"/>
      <c r="AH55" s="1317"/>
      <c r="AI55" s="1317"/>
      <c r="AJ55" s="1317"/>
      <c r="AK55" s="1317"/>
      <c r="AL55" s="1317"/>
      <c r="AM55" s="1317"/>
      <c r="AN55" s="1317"/>
    </row>
    <row r="56" spans="1:40" s="1313" customFormat="1" ht="15" hidden="1">
      <c r="A56" s="1480" t="s">
        <v>370</v>
      </c>
      <c r="B56" s="1481">
        <f>1+E58</f>
        <v>1</v>
      </c>
      <c r="C56" s="1507"/>
      <c r="D56" s="1483"/>
      <c r="E56" s="1484"/>
      <c r="F56" s="1485"/>
      <c r="G56" s="1479"/>
      <c r="H56" s="1479"/>
      <c r="I56" s="1479"/>
      <c r="J56" s="1233"/>
      <c r="K56" s="1233"/>
      <c r="L56" s="1233"/>
      <c r="M56" s="1233"/>
      <c r="N56" s="1233"/>
      <c r="P56" s="1469"/>
      <c r="Q56" s="1469"/>
      <c r="R56" s="1611"/>
      <c r="S56" s="1611"/>
      <c r="T56" s="1611"/>
      <c r="U56" s="1611"/>
      <c r="V56" s="1611"/>
      <c r="W56" s="1469"/>
      <c r="X56" s="1469"/>
      <c r="Y56" s="1469"/>
      <c r="Z56" s="1469"/>
      <c r="AA56" s="1469"/>
      <c r="AB56" s="1469"/>
      <c r="AC56" s="1469"/>
      <c r="AD56" s="1611"/>
      <c r="AE56" s="1317"/>
      <c r="AF56" s="1317"/>
      <c r="AG56" s="1317"/>
      <c r="AH56" s="1317"/>
      <c r="AI56" s="1317"/>
      <c r="AJ56" s="1317"/>
      <c r="AK56" s="1317"/>
      <c r="AL56" s="1317"/>
      <c r="AM56" s="1317"/>
      <c r="AN56" s="1317"/>
    </row>
    <row r="57" spans="1:40" s="1313" customFormat="1" ht="24" hidden="1">
      <c r="A57" s="1281" t="s">
        <v>1261</v>
      </c>
      <c r="B57" s="1486"/>
      <c r="C57" s="1487" t="s">
        <v>1263</v>
      </c>
      <c r="D57" s="1488" t="s">
        <v>1264</v>
      </c>
      <c r="E57" s="1489" t="s">
        <v>1265</v>
      </c>
      <c r="F57" s="1490" t="s">
        <v>1266</v>
      </c>
      <c r="G57" s="1488" t="s">
        <v>1267</v>
      </c>
      <c r="H57" s="1491" t="s">
        <v>1268</v>
      </c>
      <c r="I57" s="1488" t="s">
        <v>1269</v>
      </c>
      <c r="J57" s="1596" t="s">
        <v>250</v>
      </c>
      <c r="K57" s="1596" t="s">
        <v>262</v>
      </c>
      <c r="L57" s="1596" t="s">
        <v>272</v>
      </c>
      <c r="M57" s="1596" t="s">
        <v>282</v>
      </c>
      <c r="N57" s="1596" t="s">
        <v>289</v>
      </c>
      <c r="P57" s="1469"/>
      <c r="Q57" s="1469"/>
      <c r="R57" s="1611"/>
      <c r="S57" s="1611"/>
      <c r="T57" s="1611"/>
      <c r="U57" s="1611"/>
      <c r="V57" s="1611"/>
      <c r="W57" s="1469"/>
      <c r="X57" s="1469"/>
      <c r="Y57" s="1469"/>
      <c r="Z57" s="1469"/>
      <c r="AA57" s="1469"/>
      <c r="AB57" s="1469"/>
      <c r="AC57" s="1469"/>
      <c r="AD57" s="1611"/>
      <c r="AE57" s="1317"/>
      <c r="AF57" s="1317"/>
      <c r="AG57" s="1317"/>
      <c r="AH57" s="1317"/>
      <c r="AI57" s="1317"/>
      <c r="AJ57" s="1317"/>
      <c r="AK57" s="1317"/>
      <c r="AL57" s="1317"/>
      <c r="AM57" s="1317"/>
      <c r="AN57" s="1317"/>
    </row>
    <row r="58" spans="1:40" s="1313" customFormat="1" ht="36" hidden="1">
      <c r="A58" s="1281" t="s">
        <v>651</v>
      </c>
      <c r="B58" s="1492" t="str">
        <f>估价对象房地状况!C17</f>
        <v>估价对象位于XX商圈，周边办公楼项目较多，入驻率高，办公集聚程度较好</v>
      </c>
      <c r="C58" s="1493"/>
      <c r="D58" s="1494">
        <f t="shared" ref="D58:D66" si="15">SUMIF($J$57:$N$57,C58,J58:N58)</f>
        <v>0</v>
      </c>
      <c r="E58" s="1495">
        <f>ROUND(SUM(D58:D66),4)</f>
        <v>0</v>
      </c>
      <c r="F58" s="1496" t="str">
        <f>IF(E2="办公",SUMIF(L1:L12,G2,N1:N12),"——")</f>
        <v>——</v>
      </c>
      <c r="G58" s="1497"/>
      <c r="H58" s="1498" t="str">
        <f>IFERROR(ROUNDDOWN($F$58*I58/2,4),"——")</f>
        <v>——</v>
      </c>
      <c r="I58" s="1597">
        <v>0.24</v>
      </c>
      <c r="J58" s="1598">
        <f t="shared" ref="J58:J66" si="16">K58+$G58</f>
        <v>0</v>
      </c>
      <c r="K58" s="1598">
        <f t="shared" ref="K58:K66" si="17">$L58+$G58</f>
        <v>0</v>
      </c>
      <c r="L58" s="1598">
        <v>0</v>
      </c>
      <c r="M58" s="1598">
        <f t="shared" ref="M58:N66" si="18">L58-$G58</f>
        <v>0</v>
      </c>
      <c r="N58" s="1598">
        <f t="shared" si="18"/>
        <v>0</v>
      </c>
      <c r="P58" s="1469"/>
      <c r="Q58" s="1469"/>
      <c r="R58" s="1611"/>
      <c r="S58" s="1611"/>
      <c r="T58" s="1611"/>
      <c r="U58" s="1611"/>
      <c r="V58" s="1611"/>
      <c r="W58" s="1469"/>
      <c r="X58" s="1469"/>
      <c r="Y58" s="1469"/>
      <c r="Z58" s="1469"/>
      <c r="AA58" s="1469"/>
      <c r="AB58" s="1469"/>
      <c r="AC58" s="1469"/>
      <c r="AD58" s="1611"/>
      <c r="AE58" s="1317"/>
      <c r="AF58" s="1317"/>
      <c r="AG58" s="1317"/>
      <c r="AH58" s="1317"/>
      <c r="AI58" s="1317"/>
      <c r="AJ58" s="1317"/>
      <c r="AK58" s="1317"/>
      <c r="AL58" s="1317"/>
      <c r="AM58" s="1317"/>
      <c r="AN58" s="1317"/>
    </row>
    <row r="59" spans="1:40" s="1313" customFormat="1" ht="132" hidden="1">
      <c r="A59" s="1281" t="s">
        <v>649</v>
      </c>
      <c r="B59"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59" s="1493"/>
      <c r="D59" s="1494">
        <f t="shared" si="15"/>
        <v>0</v>
      </c>
      <c r="E59" s="1499"/>
      <c r="F59" s="1496"/>
      <c r="G59" s="1497"/>
      <c r="H59" s="1508" t="str">
        <f t="shared" ref="H59:H66" si="19">IFERROR($F$58*I59/2,"——")</f>
        <v>——</v>
      </c>
      <c r="I59" s="1597">
        <v>0.3</v>
      </c>
      <c r="J59" s="1598">
        <f t="shared" si="16"/>
        <v>0</v>
      </c>
      <c r="K59" s="1598">
        <f t="shared" si="17"/>
        <v>0</v>
      </c>
      <c r="L59" s="1598">
        <v>0</v>
      </c>
      <c r="M59" s="1598">
        <f t="shared" si="18"/>
        <v>0</v>
      </c>
      <c r="N59" s="1598">
        <f t="shared" si="18"/>
        <v>0</v>
      </c>
      <c r="P59" s="1469"/>
      <c r="Q59" s="1469"/>
      <c r="R59" s="1611"/>
      <c r="S59" s="1611"/>
      <c r="T59" s="1611"/>
      <c r="U59" s="1611"/>
      <c r="V59" s="1611"/>
      <c r="W59" s="1469"/>
      <c r="X59" s="1469"/>
      <c r="Y59" s="1469"/>
      <c r="Z59" s="1469"/>
      <c r="AA59" s="1469"/>
      <c r="AB59" s="1469"/>
      <c r="AC59" s="1469"/>
      <c r="AD59" s="1611"/>
      <c r="AE59" s="1317"/>
      <c r="AF59" s="1317"/>
      <c r="AG59" s="1317"/>
      <c r="AH59" s="1317"/>
      <c r="AI59" s="1317"/>
      <c r="AJ59" s="1317"/>
      <c r="AK59" s="1317"/>
      <c r="AL59" s="1317"/>
      <c r="AM59" s="1317"/>
      <c r="AN59" s="1317"/>
    </row>
    <row r="60" spans="1:40" s="1313" customFormat="1" ht="24" hidden="1">
      <c r="A60" s="1281" t="s">
        <v>660</v>
      </c>
      <c r="B60" s="1486">
        <f>估价对象房地状况!C19</f>
        <v>0</v>
      </c>
      <c r="C60" s="1493"/>
      <c r="D60" s="1494">
        <f t="shared" si="15"/>
        <v>0</v>
      </c>
      <c r="E60" s="1499"/>
      <c r="F60" s="1496"/>
      <c r="G60" s="1497"/>
      <c r="H60" s="1508" t="str">
        <f t="shared" si="19"/>
        <v>——</v>
      </c>
      <c r="I60" s="1597">
        <v>0.08</v>
      </c>
      <c r="J60" s="1598">
        <f t="shared" si="16"/>
        <v>0</v>
      </c>
      <c r="K60" s="1598">
        <f t="shared" si="17"/>
        <v>0</v>
      </c>
      <c r="L60" s="1598">
        <v>0</v>
      </c>
      <c r="M60" s="1598">
        <f t="shared" si="18"/>
        <v>0</v>
      </c>
      <c r="N60" s="1598">
        <f t="shared" si="18"/>
        <v>0</v>
      </c>
      <c r="P60" s="1469"/>
      <c r="Q60" s="1469"/>
      <c r="R60" s="1611"/>
      <c r="S60" s="1611"/>
      <c r="T60" s="1611"/>
      <c r="U60" s="1611"/>
      <c r="V60" s="1611"/>
      <c r="W60" s="1469"/>
      <c r="X60" s="1469"/>
      <c r="Y60" s="1469"/>
      <c r="Z60" s="1469"/>
      <c r="AA60" s="1469"/>
      <c r="AB60" s="1469"/>
      <c r="AC60" s="1469"/>
      <c r="AD60" s="1611"/>
      <c r="AE60" s="1317"/>
      <c r="AF60" s="1317"/>
      <c r="AG60" s="1317"/>
      <c r="AH60" s="1317"/>
      <c r="AI60" s="1317"/>
      <c r="AJ60" s="1317"/>
      <c r="AK60" s="1317"/>
      <c r="AL60" s="1317"/>
      <c r="AM60" s="1317"/>
      <c r="AN60" s="1317"/>
    </row>
    <row r="61" spans="1:40" s="1313" customFormat="1" ht="36" hidden="1">
      <c r="A61" s="1281" t="s">
        <v>1271</v>
      </c>
      <c r="B61" s="1500" t="s">
        <v>1272</v>
      </c>
      <c r="C61" s="1493"/>
      <c r="D61" s="1494">
        <f t="shared" si="15"/>
        <v>0</v>
      </c>
      <c r="E61" s="1499"/>
      <c r="F61" s="1496"/>
      <c r="G61" s="1497"/>
      <c r="H61" s="1508" t="str">
        <f t="shared" si="19"/>
        <v>——</v>
      </c>
      <c r="I61" s="1597">
        <v>0.04</v>
      </c>
      <c r="J61" s="1598">
        <f t="shared" si="16"/>
        <v>0</v>
      </c>
      <c r="K61" s="1598">
        <f t="shared" si="17"/>
        <v>0</v>
      </c>
      <c r="L61" s="1598">
        <v>0</v>
      </c>
      <c r="M61" s="1598">
        <f t="shared" si="18"/>
        <v>0</v>
      </c>
      <c r="N61" s="1598">
        <f t="shared" si="18"/>
        <v>0</v>
      </c>
      <c r="P61" s="1469"/>
      <c r="Q61" s="1469"/>
      <c r="R61" s="1611"/>
      <c r="S61" s="1611"/>
      <c r="T61" s="1611"/>
      <c r="U61" s="1611"/>
      <c r="V61" s="1611"/>
      <c r="W61" s="1469"/>
      <c r="X61" s="1469"/>
      <c r="Y61" s="1469"/>
      <c r="Z61" s="1469"/>
      <c r="AA61" s="1469"/>
      <c r="AB61" s="1469"/>
      <c r="AC61" s="1469"/>
      <c r="AD61" s="1611"/>
      <c r="AE61" s="1317"/>
      <c r="AF61" s="1317"/>
      <c r="AG61" s="1317"/>
      <c r="AH61" s="1317"/>
      <c r="AI61" s="1317"/>
      <c r="AJ61" s="1317"/>
      <c r="AK61" s="1317"/>
      <c r="AL61" s="1317"/>
      <c r="AM61" s="1317"/>
      <c r="AN61" s="1317"/>
    </row>
    <row r="62" spans="1:40" s="1313" customFormat="1" ht="24" hidden="1">
      <c r="A62" s="1281" t="s">
        <v>1273</v>
      </c>
      <c r="B62" s="1486" t="str">
        <f>估价对象房地状况!C24</f>
        <v>城市次干道-温泉路</v>
      </c>
      <c r="C62" s="1493"/>
      <c r="D62" s="1494">
        <f t="shared" si="15"/>
        <v>0</v>
      </c>
      <c r="E62" s="1499"/>
      <c r="F62" s="1496"/>
      <c r="G62" s="1497"/>
      <c r="H62" s="1508" t="str">
        <f t="shared" si="19"/>
        <v>——</v>
      </c>
      <c r="I62" s="1597">
        <v>0.05</v>
      </c>
      <c r="J62" s="1598">
        <f t="shared" si="16"/>
        <v>0</v>
      </c>
      <c r="K62" s="1598">
        <f t="shared" si="17"/>
        <v>0</v>
      </c>
      <c r="L62" s="1598">
        <v>0</v>
      </c>
      <c r="M62" s="1598">
        <f t="shared" si="18"/>
        <v>0</v>
      </c>
      <c r="N62" s="1598">
        <f t="shared" si="18"/>
        <v>0</v>
      </c>
      <c r="P62" s="1469"/>
      <c r="Q62" s="1469"/>
      <c r="R62" s="1611"/>
      <c r="S62" s="1611"/>
      <c r="T62" s="1611"/>
      <c r="U62" s="1611"/>
      <c r="V62" s="1611"/>
      <c r="W62" s="1469"/>
      <c r="X62" s="1469"/>
      <c r="Y62" s="1469"/>
      <c r="Z62" s="1469"/>
      <c r="AA62" s="1469"/>
      <c r="AB62" s="1469"/>
      <c r="AC62" s="1469"/>
      <c r="AD62" s="1611"/>
      <c r="AE62" s="1317"/>
      <c r="AF62" s="1317"/>
      <c r="AG62" s="1317"/>
      <c r="AH62" s="1317"/>
      <c r="AI62" s="1317"/>
      <c r="AJ62" s="1317"/>
      <c r="AK62" s="1317"/>
      <c r="AL62" s="1317"/>
      <c r="AM62" s="1317"/>
      <c r="AN62" s="1317"/>
    </row>
    <row r="63" spans="1:40" s="1313" customFormat="1" ht="24" hidden="1">
      <c r="A63" s="1281" t="s">
        <v>1274</v>
      </c>
      <c r="B63" s="1501" t="s">
        <v>1275</v>
      </c>
      <c r="C63" s="1493"/>
      <c r="D63" s="1494">
        <f t="shared" si="15"/>
        <v>0</v>
      </c>
      <c r="E63" s="1499"/>
      <c r="F63" s="1496"/>
      <c r="G63" s="1497"/>
      <c r="H63" s="1508" t="str">
        <f t="shared" si="19"/>
        <v>——</v>
      </c>
      <c r="I63" s="1597">
        <v>0.05</v>
      </c>
      <c r="J63" s="1598">
        <f t="shared" si="16"/>
        <v>0</v>
      </c>
      <c r="K63" s="1598">
        <f t="shared" si="17"/>
        <v>0</v>
      </c>
      <c r="L63" s="1598">
        <v>0</v>
      </c>
      <c r="M63" s="1598">
        <f t="shared" si="18"/>
        <v>0</v>
      </c>
      <c r="N63" s="1598">
        <f t="shared" si="18"/>
        <v>0</v>
      </c>
      <c r="P63" s="1469"/>
      <c r="Q63" s="1469"/>
      <c r="R63" s="1611"/>
      <c r="S63" s="1611"/>
      <c r="T63" s="1611"/>
      <c r="U63" s="1611"/>
      <c r="V63" s="1611"/>
      <c r="W63" s="1469"/>
      <c r="X63" s="1469"/>
      <c r="Y63" s="1469"/>
      <c r="Z63" s="1469"/>
      <c r="AA63" s="1469"/>
      <c r="AB63" s="1469"/>
      <c r="AC63" s="1469"/>
      <c r="AD63" s="1611"/>
      <c r="AE63" s="1317"/>
      <c r="AF63" s="1317"/>
      <c r="AG63" s="1317"/>
      <c r="AH63" s="1317"/>
      <c r="AI63" s="1317"/>
      <c r="AJ63" s="1317"/>
      <c r="AK63" s="1317"/>
      <c r="AL63" s="1317"/>
      <c r="AM63" s="1317"/>
      <c r="AN63" s="1317"/>
    </row>
    <row r="64" spans="1:40" s="1313" customFormat="1" ht="132" hidden="1">
      <c r="A64" s="1281" t="s">
        <v>1276</v>
      </c>
      <c r="B64"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64" s="1493"/>
      <c r="D64" s="1494">
        <f t="shared" si="15"/>
        <v>0</v>
      </c>
      <c r="E64" s="1499"/>
      <c r="F64" s="1496"/>
      <c r="G64" s="1497"/>
      <c r="H64" s="1508" t="str">
        <f t="shared" si="19"/>
        <v>——</v>
      </c>
      <c r="I64" s="1597">
        <v>0.06</v>
      </c>
      <c r="J64" s="1598">
        <f t="shared" si="16"/>
        <v>0</v>
      </c>
      <c r="K64" s="1598">
        <f t="shared" si="17"/>
        <v>0</v>
      </c>
      <c r="L64" s="1598">
        <v>0</v>
      </c>
      <c r="M64" s="1598">
        <f t="shared" si="18"/>
        <v>0</v>
      </c>
      <c r="N64" s="1598">
        <f t="shared" si="18"/>
        <v>0</v>
      </c>
      <c r="P64" s="1469"/>
      <c r="Q64" s="1469"/>
      <c r="R64" s="1611"/>
      <c r="S64" s="1611"/>
      <c r="T64" s="1611"/>
      <c r="U64" s="1611"/>
      <c r="V64" s="1611"/>
      <c r="W64" s="1469"/>
      <c r="X64" s="1469"/>
      <c r="Y64" s="1469"/>
      <c r="Z64" s="1469"/>
      <c r="AA64" s="1469"/>
      <c r="AB64" s="1469"/>
      <c r="AC64" s="1469"/>
      <c r="AD64" s="1611"/>
      <c r="AE64" s="1317"/>
      <c r="AF64" s="1317"/>
      <c r="AG64" s="1317"/>
      <c r="AH64" s="1317"/>
      <c r="AI64" s="1317"/>
      <c r="AJ64" s="1317"/>
      <c r="AK64" s="1317"/>
      <c r="AL64" s="1317"/>
      <c r="AM64" s="1317"/>
      <c r="AN64" s="1317"/>
    </row>
    <row r="65" spans="1:40" s="1313" customFormat="1" ht="24" hidden="1">
      <c r="A65" s="1281" t="s">
        <v>1277</v>
      </c>
      <c r="B65" s="1503" t="str">
        <f>估价对象房地状况!C22</f>
        <v>估价对象所在区域基础设施水平-七通</v>
      </c>
      <c r="C65" s="1493"/>
      <c r="D65" s="1494">
        <f t="shared" si="15"/>
        <v>0</v>
      </c>
      <c r="E65" s="1499"/>
      <c r="F65" s="1496"/>
      <c r="G65" s="1497"/>
      <c r="H65" s="1508" t="str">
        <f t="shared" si="19"/>
        <v>——</v>
      </c>
      <c r="I65" s="1597">
        <v>0.12</v>
      </c>
      <c r="J65" s="1598">
        <f t="shared" si="16"/>
        <v>0</v>
      </c>
      <c r="K65" s="1598">
        <f t="shared" si="17"/>
        <v>0</v>
      </c>
      <c r="L65" s="1598">
        <v>0</v>
      </c>
      <c r="M65" s="1598">
        <f t="shared" si="18"/>
        <v>0</v>
      </c>
      <c r="N65" s="1598">
        <f t="shared" si="18"/>
        <v>0</v>
      </c>
      <c r="P65" s="1469"/>
      <c r="Q65" s="1469"/>
      <c r="R65" s="1611"/>
      <c r="S65" s="1611"/>
      <c r="T65" s="1611"/>
      <c r="U65" s="1611"/>
      <c r="V65" s="1611"/>
      <c r="W65" s="1469"/>
      <c r="X65" s="1469"/>
      <c r="Y65" s="1469"/>
      <c r="Z65" s="1469"/>
      <c r="AA65" s="1469"/>
      <c r="AB65" s="1469"/>
      <c r="AC65" s="1469"/>
      <c r="AD65" s="1611"/>
      <c r="AE65" s="1317"/>
      <c r="AF65" s="1317"/>
      <c r="AG65" s="1317"/>
      <c r="AH65" s="1317"/>
      <c r="AI65" s="1317"/>
      <c r="AJ65" s="1317"/>
      <c r="AK65" s="1317"/>
      <c r="AL65" s="1317"/>
      <c r="AM65" s="1317"/>
      <c r="AN65" s="1317"/>
    </row>
    <row r="66" spans="1:40" s="1313" customFormat="1" ht="96" hidden="1">
      <c r="A66" s="1504" t="s">
        <v>1278</v>
      </c>
      <c r="B66" s="1624"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66" s="1493"/>
      <c r="D66" s="1494">
        <f t="shared" si="15"/>
        <v>0</v>
      </c>
      <c r="E66" s="1506"/>
      <c r="F66" s="1496"/>
      <c r="G66" s="1497"/>
      <c r="H66" s="1508" t="str">
        <f t="shared" si="19"/>
        <v>——</v>
      </c>
      <c r="I66" s="1599">
        <v>0.06</v>
      </c>
      <c r="J66" s="1598">
        <f t="shared" si="16"/>
        <v>0</v>
      </c>
      <c r="K66" s="1598">
        <f t="shared" si="17"/>
        <v>0</v>
      </c>
      <c r="L66" s="1598">
        <v>0</v>
      </c>
      <c r="M66" s="1598">
        <f t="shared" si="18"/>
        <v>0</v>
      </c>
      <c r="N66" s="1598">
        <f t="shared" si="18"/>
        <v>0</v>
      </c>
      <c r="P66" s="1469"/>
      <c r="Q66" s="1469"/>
      <c r="R66" s="1611"/>
      <c r="S66" s="1611"/>
      <c r="T66" s="1611"/>
      <c r="U66" s="1611"/>
      <c r="V66" s="1611"/>
      <c r="W66" s="1469"/>
      <c r="X66" s="1469"/>
      <c r="Y66" s="1469"/>
      <c r="Z66" s="1469"/>
      <c r="AA66" s="1469"/>
      <c r="AB66" s="1469"/>
      <c r="AC66" s="1469"/>
      <c r="AD66" s="1611"/>
      <c r="AE66" s="1317"/>
      <c r="AF66" s="1317"/>
      <c r="AG66" s="1317"/>
      <c r="AH66" s="1317"/>
      <c r="AI66" s="1317"/>
      <c r="AJ66" s="1317"/>
      <c r="AK66" s="1317"/>
      <c r="AL66" s="1317"/>
      <c r="AM66" s="1317"/>
      <c r="AN66" s="1317"/>
    </row>
    <row r="67" spans="1:40" s="1313" customFormat="1" ht="15">
      <c r="A67" s="1480" t="s">
        <v>368</v>
      </c>
      <c r="B67" s="1481">
        <f>1+E69</f>
        <v>1.0388999999999999</v>
      </c>
      <c r="C67" s="1507"/>
      <c r="D67" s="1483"/>
      <c r="E67" s="1484"/>
      <c r="F67" s="1485"/>
      <c r="G67" s="1479"/>
      <c r="H67" s="1479"/>
      <c r="I67" s="1479"/>
      <c r="J67" s="1233"/>
      <c r="K67" s="1233"/>
      <c r="L67" s="1233"/>
      <c r="M67" s="1233"/>
      <c r="N67" s="1233"/>
      <c r="P67" s="1469"/>
      <c r="Q67" s="1469"/>
      <c r="R67" s="1611"/>
      <c r="S67" s="1611"/>
      <c r="T67" s="1611"/>
      <c r="U67" s="1611"/>
      <c r="V67" s="1611"/>
      <c r="W67" s="1469"/>
      <c r="X67" s="1469"/>
      <c r="Y67" s="1469"/>
      <c r="Z67" s="1469"/>
      <c r="AA67" s="1469"/>
      <c r="AB67" s="1469"/>
      <c r="AC67" s="1469"/>
      <c r="AD67" s="1611"/>
      <c r="AE67" s="1317"/>
      <c r="AF67" s="1317"/>
      <c r="AG67" s="1317"/>
      <c r="AH67" s="1317"/>
      <c r="AI67" s="1317"/>
      <c r="AJ67" s="1317"/>
      <c r="AK67" s="1317"/>
      <c r="AL67" s="1317"/>
      <c r="AM67" s="1317"/>
      <c r="AN67" s="1317"/>
    </row>
    <row r="68" spans="1:40" s="1313" customFormat="1" ht="24">
      <c r="A68" s="1281" t="s">
        <v>1261</v>
      </c>
      <c r="B68" s="1486"/>
      <c r="C68" s="1487" t="s">
        <v>1263</v>
      </c>
      <c r="D68" s="1488" t="s">
        <v>1264</v>
      </c>
      <c r="E68" s="1489" t="s">
        <v>1265</v>
      </c>
      <c r="F68" s="1490" t="s">
        <v>1266</v>
      </c>
      <c r="G68" s="1488" t="s">
        <v>1267</v>
      </c>
      <c r="H68" s="1491" t="s">
        <v>1268</v>
      </c>
      <c r="I68" s="1488" t="s">
        <v>1269</v>
      </c>
      <c r="J68" s="1596" t="s">
        <v>250</v>
      </c>
      <c r="K68" s="1596" t="s">
        <v>262</v>
      </c>
      <c r="L68" s="1596" t="s">
        <v>272</v>
      </c>
      <c r="M68" s="1596" t="s">
        <v>282</v>
      </c>
      <c r="N68" s="1596" t="s">
        <v>289</v>
      </c>
      <c r="P68" s="1469"/>
      <c r="Q68" s="1469"/>
      <c r="R68" s="1611"/>
      <c r="S68" s="1611"/>
      <c r="T68" s="1611"/>
      <c r="U68" s="1611"/>
      <c r="V68" s="1611"/>
      <c r="W68" s="1469"/>
      <c r="X68" s="1469"/>
      <c r="Y68" s="1469"/>
      <c r="Z68" s="1469"/>
      <c r="AA68" s="1469"/>
      <c r="AB68" s="1469"/>
      <c r="AC68" s="1469"/>
      <c r="AD68" s="1611"/>
      <c r="AE68" s="1317"/>
      <c r="AF68" s="1317"/>
      <c r="AG68" s="1317"/>
      <c r="AH68" s="1317"/>
      <c r="AI68" s="1317"/>
      <c r="AJ68" s="1317"/>
      <c r="AK68" s="1317"/>
      <c r="AL68" s="1317"/>
      <c r="AM68" s="1317"/>
      <c r="AN68" s="1317"/>
    </row>
    <row r="69" spans="1:40" s="1313" customFormat="1" ht="60">
      <c r="A69" s="1281" t="s">
        <v>644</v>
      </c>
      <c r="B69" s="1492" t="str">
        <f>估价对象房地状况!C15</f>
        <v>估价对象位于海淀区温泉镇，估价对象周边有燕保温泉家园、北辰香麓、尚峰尚水尚居园等小区，居住社区成熟度一般。</v>
      </c>
      <c r="C69" s="1625" t="s">
        <v>1280</v>
      </c>
      <c r="D69" s="1494">
        <f t="shared" ref="D69:D77" si="20">SUMIF($J$68:$N$68,C69,J69:N69)</f>
        <v>0</v>
      </c>
      <c r="E69" s="1495">
        <f>ROUND(SUM(D69:D77),4)</f>
        <v>3.8899999999999997E-2</v>
      </c>
      <c r="F69" s="1496">
        <f>IF(E2="住宅",SUMIF(L1:L12,G2,N1:N12),"——")</f>
        <v>0.15</v>
      </c>
      <c r="G69" s="3394">
        <v>1.0500000000000001E-2</v>
      </c>
      <c r="H69" s="1627">
        <f t="shared" ref="H69:H77" si="21">IFERROR(ROUNDDOWN($F$69*I69/2,4),"——")</f>
        <v>1.0500000000000001E-2</v>
      </c>
      <c r="I69" s="1597">
        <v>0.14000000000000001</v>
      </c>
      <c r="J69" s="1598">
        <f t="shared" ref="J69:J77" si="22">K69+$G69</f>
        <v>2.1000000000000001E-2</v>
      </c>
      <c r="K69" s="1598">
        <f t="shared" ref="K69:K77" si="23">$L69+$G69</f>
        <v>1.0500000000000001E-2</v>
      </c>
      <c r="L69" s="1598">
        <v>0</v>
      </c>
      <c r="M69" s="1598">
        <f t="shared" ref="M69:N77" si="24">L69-$G69</f>
        <v>-1.0500000000000001E-2</v>
      </c>
      <c r="N69" s="1598">
        <f t="shared" si="24"/>
        <v>-2.1000000000000001E-2</v>
      </c>
      <c r="P69" s="1469"/>
      <c r="Q69" s="1469"/>
      <c r="R69" s="1611"/>
      <c r="S69" s="1611"/>
      <c r="T69" s="1611"/>
      <c r="U69" s="1611"/>
      <c r="V69" s="1611"/>
      <c r="W69" s="1469"/>
      <c r="X69" s="1469"/>
      <c r="Y69" s="1469"/>
      <c r="Z69" s="1469"/>
      <c r="AA69" s="1469"/>
      <c r="AB69" s="1469"/>
      <c r="AC69" s="1469"/>
      <c r="AD69" s="1611"/>
      <c r="AE69" s="1317"/>
      <c r="AF69" s="1317"/>
      <c r="AG69" s="1317"/>
      <c r="AH69" s="1317"/>
      <c r="AI69" s="1317"/>
      <c r="AJ69" s="1317"/>
      <c r="AK69" s="1317"/>
      <c r="AL69" s="1317"/>
      <c r="AM69" s="1317"/>
      <c r="AN69" s="1317"/>
    </row>
    <row r="70" spans="1:40" s="1313" customFormat="1" ht="132">
      <c r="A70" s="1281" t="s">
        <v>649</v>
      </c>
      <c r="B70"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70" s="1625" t="s">
        <v>1280</v>
      </c>
      <c r="D70" s="1494">
        <f t="shared" si="20"/>
        <v>0</v>
      </c>
      <c r="E70" s="1628"/>
      <c r="F70" s="1629"/>
      <c r="G70" s="3394">
        <v>2.2499999999999999E-2</v>
      </c>
      <c r="H70" s="1627">
        <f t="shared" si="21"/>
        <v>2.2499999999999999E-2</v>
      </c>
      <c r="I70" s="1597">
        <v>0.3</v>
      </c>
      <c r="J70" s="1598">
        <f t="shared" si="22"/>
        <v>4.4999999999999998E-2</v>
      </c>
      <c r="K70" s="1598">
        <f t="shared" si="23"/>
        <v>2.2499999999999999E-2</v>
      </c>
      <c r="L70" s="1598">
        <v>0</v>
      </c>
      <c r="M70" s="1598">
        <f t="shared" si="24"/>
        <v>-2.2499999999999999E-2</v>
      </c>
      <c r="N70" s="1598">
        <f t="shared" si="24"/>
        <v>-4.4999999999999998E-2</v>
      </c>
      <c r="P70" s="1469"/>
      <c r="Q70" s="1469"/>
      <c r="R70" s="1611"/>
      <c r="S70" s="1611"/>
      <c r="T70" s="1611"/>
      <c r="U70" s="1611"/>
      <c r="V70" s="1611"/>
      <c r="W70" s="1469"/>
      <c r="X70" s="1469"/>
      <c r="Y70" s="1469"/>
      <c r="Z70" s="1469"/>
      <c r="AA70" s="1469"/>
      <c r="AB70" s="1469"/>
      <c r="AC70" s="1469"/>
      <c r="AD70" s="1611"/>
      <c r="AE70" s="1317"/>
      <c r="AF70" s="1317"/>
      <c r="AG70" s="1317"/>
      <c r="AH70" s="1317"/>
      <c r="AI70" s="1317"/>
      <c r="AJ70" s="1317"/>
      <c r="AK70" s="1317"/>
      <c r="AL70" s="1317"/>
      <c r="AM70" s="1317"/>
      <c r="AN70" s="1317"/>
    </row>
    <row r="71" spans="1:40" s="1313" customFormat="1" ht="24">
      <c r="A71" s="1281" t="s">
        <v>660</v>
      </c>
      <c r="B71" s="1486">
        <f>估价对象房地状况!C19</f>
        <v>0</v>
      </c>
      <c r="C71" s="1625" t="s">
        <v>1279</v>
      </c>
      <c r="D71" s="1494">
        <f t="shared" si="20"/>
        <v>6.0000000000000001E-3</v>
      </c>
      <c r="E71" s="1628"/>
      <c r="F71" s="1629"/>
      <c r="G71" s="3394">
        <v>6.0000000000000001E-3</v>
      </c>
      <c r="H71" s="1627">
        <f t="shared" si="21"/>
        <v>6.0000000000000001E-3</v>
      </c>
      <c r="I71" s="1597">
        <v>0.08</v>
      </c>
      <c r="J71" s="1598">
        <f t="shared" si="22"/>
        <v>1.2E-2</v>
      </c>
      <c r="K71" s="1598">
        <f t="shared" si="23"/>
        <v>6.0000000000000001E-3</v>
      </c>
      <c r="L71" s="1598">
        <v>0</v>
      </c>
      <c r="M71" s="1598">
        <f t="shared" si="24"/>
        <v>-6.0000000000000001E-3</v>
      </c>
      <c r="N71" s="1598">
        <f t="shared" si="24"/>
        <v>-1.2E-2</v>
      </c>
      <c r="P71" s="1469"/>
      <c r="Q71" s="1469"/>
      <c r="R71" s="1611"/>
      <c r="S71" s="1611"/>
      <c r="T71" s="1611"/>
      <c r="U71" s="1611"/>
      <c r="V71" s="1611"/>
      <c r="W71" s="1469"/>
      <c r="X71" s="1469"/>
      <c r="Y71" s="1469"/>
      <c r="Z71" s="1469"/>
      <c r="AA71" s="1469"/>
      <c r="AB71" s="1469"/>
      <c r="AC71" s="1469"/>
      <c r="AD71" s="1611"/>
      <c r="AE71" s="1317"/>
      <c r="AF71" s="1317"/>
      <c r="AG71" s="1317"/>
      <c r="AH71" s="1317"/>
      <c r="AI71" s="1317"/>
      <c r="AJ71" s="1317"/>
      <c r="AK71" s="1317"/>
      <c r="AL71" s="1317"/>
      <c r="AM71" s="1317"/>
      <c r="AN71" s="1317"/>
    </row>
    <row r="72" spans="1:40" s="1313" customFormat="1" ht="14.25">
      <c r="A72" s="1281" t="s">
        <v>1281</v>
      </c>
      <c r="B72" s="1486" t="str">
        <f>估价对象房地状况!C24</f>
        <v>城市次干道-温泉路</v>
      </c>
      <c r="C72" s="1625" t="s">
        <v>1282</v>
      </c>
      <c r="D72" s="1494">
        <f t="shared" si="20"/>
        <v>-3.0000000000000001E-3</v>
      </c>
      <c r="E72" s="1628"/>
      <c r="F72" s="1629"/>
      <c r="G72" s="3394">
        <v>3.0000000000000001E-3</v>
      </c>
      <c r="H72" s="1627">
        <f t="shared" si="21"/>
        <v>3.0000000000000001E-3</v>
      </c>
      <c r="I72" s="1597">
        <v>0.04</v>
      </c>
      <c r="J72" s="1598">
        <f t="shared" si="22"/>
        <v>6.0000000000000001E-3</v>
      </c>
      <c r="K72" s="1598">
        <f t="shared" si="23"/>
        <v>3.0000000000000001E-3</v>
      </c>
      <c r="L72" s="1598">
        <v>0</v>
      </c>
      <c r="M72" s="1598">
        <f t="shared" si="24"/>
        <v>-3.0000000000000001E-3</v>
      </c>
      <c r="N72" s="1598">
        <f t="shared" si="24"/>
        <v>-6.0000000000000001E-3</v>
      </c>
      <c r="P72" s="1469"/>
      <c r="Q72" s="1469"/>
      <c r="R72" s="1611"/>
      <c r="S72" s="1611"/>
      <c r="T72" s="1611"/>
      <c r="U72" s="1611"/>
      <c r="V72" s="1611"/>
      <c r="W72" s="1469"/>
      <c r="X72" s="1469"/>
      <c r="Y72" s="1469"/>
      <c r="Z72" s="1469"/>
      <c r="AA72" s="1469"/>
      <c r="AB72" s="1469"/>
      <c r="AC72" s="1469"/>
      <c r="AD72" s="1611"/>
      <c r="AE72" s="1317"/>
      <c r="AF72" s="1317"/>
      <c r="AG72" s="1317"/>
      <c r="AH72" s="1317"/>
      <c r="AI72" s="1317"/>
      <c r="AJ72" s="1317"/>
      <c r="AK72" s="1317"/>
      <c r="AL72" s="1317"/>
      <c r="AM72" s="1317"/>
      <c r="AN72" s="1317"/>
    </row>
    <row r="73" spans="1:40" s="1313" customFormat="1" ht="132">
      <c r="A73" s="1281" t="s">
        <v>1276</v>
      </c>
      <c r="B7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73" s="1625" t="s">
        <v>1279</v>
      </c>
      <c r="D73" s="1494">
        <f t="shared" si="20"/>
        <v>6.0000000000000001E-3</v>
      </c>
      <c r="E73" s="1628"/>
      <c r="F73" s="1629"/>
      <c r="G73" s="3394">
        <v>6.0000000000000001E-3</v>
      </c>
      <c r="H73" s="1627">
        <f t="shared" si="21"/>
        <v>6.0000000000000001E-3</v>
      </c>
      <c r="I73" s="1597">
        <v>0.08</v>
      </c>
      <c r="J73" s="1598">
        <f t="shared" si="22"/>
        <v>1.2E-2</v>
      </c>
      <c r="K73" s="1598">
        <f t="shared" si="23"/>
        <v>6.0000000000000001E-3</v>
      </c>
      <c r="L73" s="1598">
        <v>0</v>
      </c>
      <c r="M73" s="1598">
        <f t="shared" si="24"/>
        <v>-6.0000000000000001E-3</v>
      </c>
      <c r="N73" s="1598">
        <f t="shared" si="24"/>
        <v>-1.2E-2</v>
      </c>
      <c r="P73" s="1469"/>
      <c r="Q73" s="1469"/>
      <c r="R73" s="1611"/>
      <c r="S73" s="1611"/>
      <c r="T73" s="1611"/>
      <c r="U73" s="1611"/>
      <c r="V73" s="1611"/>
      <c r="W73" s="1469"/>
      <c r="X73" s="1469"/>
      <c r="Y73" s="1469"/>
      <c r="Z73" s="1469"/>
      <c r="AA73" s="1469"/>
      <c r="AB73" s="1469"/>
      <c r="AC73" s="1469"/>
      <c r="AD73" s="1611"/>
      <c r="AE73" s="1317"/>
      <c r="AF73" s="1317"/>
      <c r="AG73" s="1317"/>
      <c r="AH73" s="1317"/>
      <c r="AI73" s="1317"/>
      <c r="AJ73" s="1317"/>
      <c r="AK73" s="1317"/>
      <c r="AL73" s="1317"/>
      <c r="AM73" s="1317"/>
      <c r="AN73" s="1317"/>
    </row>
    <row r="74" spans="1:40" s="1313" customFormat="1" ht="24">
      <c r="A74" s="1281" t="s">
        <v>1277</v>
      </c>
      <c r="B74" s="1503" t="str">
        <f>估价对象房地状况!C22</f>
        <v>估价对象所在区域基础设施水平-七通</v>
      </c>
      <c r="C74" s="1625" t="s">
        <v>1283</v>
      </c>
      <c r="D74" s="1494">
        <f t="shared" si="20"/>
        <v>1.7999999999999999E-2</v>
      </c>
      <c r="E74" s="1628"/>
      <c r="F74" s="1629"/>
      <c r="G74" s="3394">
        <v>8.9999999999999993E-3</v>
      </c>
      <c r="H74" s="1627">
        <f t="shared" si="21"/>
        <v>8.9999999999999993E-3</v>
      </c>
      <c r="I74" s="1597">
        <v>0.12</v>
      </c>
      <c r="J74" s="1598">
        <f t="shared" si="22"/>
        <v>1.7999999999999999E-2</v>
      </c>
      <c r="K74" s="1598">
        <f t="shared" si="23"/>
        <v>8.9999999999999993E-3</v>
      </c>
      <c r="L74" s="1598">
        <v>0</v>
      </c>
      <c r="M74" s="1598">
        <f t="shared" si="24"/>
        <v>-8.9999999999999993E-3</v>
      </c>
      <c r="N74" s="1598">
        <f t="shared" si="24"/>
        <v>-1.7999999999999999E-2</v>
      </c>
      <c r="P74" s="1469"/>
      <c r="Q74" s="1469"/>
      <c r="R74" s="1611"/>
      <c r="S74" s="1611"/>
      <c r="T74" s="1611"/>
      <c r="U74" s="1611"/>
      <c r="V74" s="1611"/>
      <c r="W74" s="1469"/>
      <c r="X74" s="1469"/>
      <c r="Y74" s="1469"/>
      <c r="Z74" s="1469"/>
      <c r="AA74" s="1469"/>
      <c r="AB74" s="1469"/>
      <c r="AC74" s="1469"/>
      <c r="AD74" s="1611"/>
      <c r="AE74" s="1317"/>
      <c r="AF74" s="1317"/>
      <c r="AG74" s="1317"/>
      <c r="AH74" s="1317"/>
      <c r="AI74" s="1317"/>
      <c r="AJ74" s="1317"/>
      <c r="AK74" s="1317"/>
      <c r="AL74" s="1317"/>
      <c r="AM74" s="1317"/>
      <c r="AN74" s="1317"/>
    </row>
    <row r="75" spans="1:40" s="1313" customFormat="1" ht="24">
      <c r="A75" s="1281" t="s">
        <v>1274</v>
      </c>
      <c r="B75" s="1501" t="s">
        <v>2708</v>
      </c>
      <c r="C75" s="1625" t="s">
        <v>1279</v>
      </c>
      <c r="D75" s="1494">
        <f t="shared" si="20"/>
        <v>3.7000000000000002E-3</v>
      </c>
      <c r="E75" s="1628"/>
      <c r="F75" s="1629"/>
      <c r="G75" s="3394">
        <v>3.7000000000000002E-3</v>
      </c>
      <c r="H75" s="1627">
        <f t="shared" si="21"/>
        <v>3.7000000000000002E-3</v>
      </c>
      <c r="I75" s="1597">
        <v>0.05</v>
      </c>
      <c r="J75" s="1598">
        <f t="shared" si="22"/>
        <v>7.4000000000000003E-3</v>
      </c>
      <c r="K75" s="1598">
        <f t="shared" si="23"/>
        <v>3.7000000000000002E-3</v>
      </c>
      <c r="L75" s="1598">
        <v>0</v>
      </c>
      <c r="M75" s="1598">
        <f t="shared" si="24"/>
        <v>-3.7000000000000002E-3</v>
      </c>
      <c r="N75" s="1598">
        <f t="shared" si="24"/>
        <v>-7.4000000000000003E-3</v>
      </c>
      <c r="P75" s="1469"/>
      <c r="Q75" s="1469"/>
      <c r="R75" s="1611"/>
      <c r="S75" s="1611"/>
      <c r="T75" s="1611"/>
      <c r="U75" s="1611"/>
      <c r="V75" s="1611"/>
      <c r="W75" s="1469"/>
      <c r="X75" s="1469"/>
      <c r="Y75" s="1469"/>
      <c r="Z75" s="1469"/>
      <c r="AA75" s="1469"/>
      <c r="AB75" s="1469"/>
      <c r="AC75" s="1469"/>
      <c r="AD75" s="1611"/>
      <c r="AE75" s="1317"/>
      <c r="AF75" s="1317"/>
      <c r="AG75" s="1317"/>
      <c r="AH75" s="1317"/>
      <c r="AI75" s="1317"/>
      <c r="AJ75" s="1317"/>
      <c r="AK75" s="1317"/>
      <c r="AL75" s="1317"/>
      <c r="AM75" s="1317"/>
      <c r="AN75" s="1317"/>
    </row>
    <row r="76" spans="1:40" ht="96">
      <c r="A76" s="1281" t="s">
        <v>1278</v>
      </c>
      <c r="B76" s="1492"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76" s="1625" t="s">
        <v>1279</v>
      </c>
      <c r="D76" s="1494">
        <f t="shared" si="20"/>
        <v>1.12E-2</v>
      </c>
      <c r="E76" s="1628"/>
      <c r="F76" s="1629"/>
      <c r="G76" s="3394">
        <v>1.12E-2</v>
      </c>
      <c r="H76" s="1627">
        <f t="shared" si="21"/>
        <v>1.12E-2</v>
      </c>
      <c r="I76" s="1597">
        <v>0.15</v>
      </c>
      <c r="J76" s="1598">
        <f t="shared" si="22"/>
        <v>2.24E-2</v>
      </c>
      <c r="K76" s="1598">
        <f t="shared" si="23"/>
        <v>1.12E-2</v>
      </c>
      <c r="L76" s="1598">
        <v>0</v>
      </c>
      <c r="M76" s="1598">
        <f t="shared" si="24"/>
        <v>-1.12E-2</v>
      </c>
      <c r="N76" s="1598">
        <f t="shared" si="24"/>
        <v>-2.24E-2</v>
      </c>
      <c r="P76" s="1656"/>
      <c r="Q76" s="1656"/>
      <c r="R76" s="1662"/>
      <c r="S76" s="1662"/>
      <c r="T76" s="1662"/>
      <c r="U76" s="1662"/>
      <c r="V76" s="1662"/>
      <c r="W76" s="1656"/>
      <c r="X76" s="1656"/>
      <c r="Y76" s="1656"/>
      <c r="Z76" s="1656"/>
      <c r="AA76" s="1656"/>
      <c r="AB76" s="1656"/>
      <c r="AC76" s="1656"/>
      <c r="AD76" s="1662"/>
      <c r="AJ76" s="1317"/>
      <c r="AN76" s="1314"/>
    </row>
    <row r="77" spans="1:40" ht="24">
      <c r="A77" s="1504" t="s">
        <v>1284</v>
      </c>
      <c r="B77" s="1630"/>
      <c r="C77" s="1625" t="s">
        <v>1282</v>
      </c>
      <c r="D77" s="1494">
        <f t="shared" si="20"/>
        <v>-3.0000000000000001E-3</v>
      </c>
      <c r="E77" s="1572"/>
      <c r="F77" s="1629"/>
      <c r="G77" s="3394">
        <v>3.0000000000000001E-3</v>
      </c>
      <c r="H77" s="1627">
        <f t="shared" si="21"/>
        <v>3.0000000000000001E-3</v>
      </c>
      <c r="I77" s="1599">
        <v>0.04</v>
      </c>
      <c r="J77" s="1598">
        <f t="shared" si="22"/>
        <v>6.0000000000000001E-3</v>
      </c>
      <c r="K77" s="1598">
        <f t="shared" si="23"/>
        <v>3.0000000000000001E-3</v>
      </c>
      <c r="L77" s="1598">
        <v>0</v>
      </c>
      <c r="M77" s="1598">
        <f t="shared" si="24"/>
        <v>-3.0000000000000001E-3</v>
      </c>
      <c r="N77" s="1598">
        <f t="shared" si="24"/>
        <v>-6.0000000000000001E-3</v>
      </c>
      <c r="AC77" s="1316"/>
      <c r="AD77" s="1314"/>
      <c r="AJ77" s="1317"/>
      <c r="AN77" s="1314"/>
    </row>
    <row r="78" spans="1:40" ht="15">
      <c r="A78" s="1480" t="s">
        <v>164</v>
      </c>
      <c r="B78" s="1481">
        <f>1+E80</f>
        <v>1</v>
      </c>
      <c r="C78" s="1507"/>
      <c r="D78" s="1483"/>
      <c r="E78" s="1484"/>
      <c r="F78" s="1485"/>
      <c r="G78" s="1479"/>
      <c r="H78" s="1479"/>
      <c r="I78" s="1479"/>
      <c r="J78" s="1233"/>
      <c r="K78" s="1233"/>
      <c r="L78" s="1233"/>
      <c r="M78" s="1233"/>
      <c r="N78" s="1233"/>
      <c r="AC78" s="1316"/>
      <c r="AD78" s="1314"/>
      <c r="AJ78" s="1317"/>
      <c r="AN78" s="1314"/>
    </row>
    <row r="79" spans="1:40" ht="24">
      <c r="A79" s="1281" t="s">
        <v>1261</v>
      </c>
      <c r="B79" s="1486"/>
      <c r="C79" s="1487" t="s">
        <v>1263</v>
      </c>
      <c r="D79" s="1488" t="s">
        <v>1264</v>
      </c>
      <c r="E79" s="1489" t="s">
        <v>1265</v>
      </c>
      <c r="F79" s="1490" t="s">
        <v>1266</v>
      </c>
      <c r="G79" s="1488" t="s">
        <v>1267</v>
      </c>
      <c r="H79" s="1491" t="s">
        <v>1268</v>
      </c>
      <c r="I79" s="1488" t="s">
        <v>1269</v>
      </c>
      <c r="J79" s="1596" t="s">
        <v>250</v>
      </c>
      <c r="K79" s="1596" t="s">
        <v>262</v>
      </c>
      <c r="L79" s="1596" t="s">
        <v>272</v>
      </c>
      <c r="M79" s="1596" t="s">
        <v>282</v>
      </c>
      <c r="N79" s="1596" t="s">
        <v>289</v>
      </c>
      <c r="AC79" s="1316"/>
      <c r="AD79" s="1314"/>
      <c r="AJ79" s="1317"/>
      <c r="AN79" s="1314"/>
    </row>
    <row r="80" spans="1:40" ht="36">
      <c r="A80" s="1281" t="s">
        <v>645</v>
      </c>
      <c r="B80" s="1486" t="str">
        <f>估价对象房地状况!G15</f>
        <v>估价对象位于XX开发区，园区建设成熟度XX，产业集聚程度XX</v>
      </c>
      <c r="C80" s="1493"/>
      <c r="D80" s="1494">
        <f t="shared" ref="D80:D87" si="25">SUMIF($J$79:$N$79,C80,J80:N80)</f>
        <v>0</v>
      </c>
      <c r="E80" s="1495">
        <f>ROUND(SUM(D80:D87),4)</f>
        <v>0</v>
      </c>
      <c r="F80" s="1496" t="str">
        <f>IF(E2="工业",SUMIF(L1:L12,G2,N1:N12),"——")</f>
        <v>——</v>
      </c>
      <c r="G80" s="1497"/>
      <c r="H80" s="1498" t="str">
        <f t="shared" ref="H80:H87" si="26">IFERROR(ROUNDDOWN($F$80*I80/2,4),"——")</f>
        <v>——</v>
      </c>
      <c r="I80" s="1597">
        <v>0.26</v>
      </c>
      <c r="J80" s="1598">
        <f t="shared" ref="J80:J87" si="27">K80+$G80</f>
        <v>0</v>
      </c>
      <c r="K80" s="1598">
        <f t="shared" ref="K80:K87" si="28">$L80+$G80</f>
        <v>0</v>
      </c>
      <c r="L80" s="1598">
        <v>0</v>
      </c>
      <c r="M80" s="1598">
        <f t="shared" ref="M80:N87" si="29">L80-$G80</f>
        <v>0</v>
      </c>
      <c r="N80" s="1598">
        <f t="shared" si="29"/>
        <v>0</v>
      </c>
      <c r="AC80" s="1316"/>
      <c r="AD80" s="1314"/>
      <c r="AJ80" s="1317"/>
      <c r="AN80" s="1314"/>
    </row>
    <row r="81" spans="1:40" ht="48">
      <c r="A81" s="1281" t="s">
        <v>649</v>
      </c>
      <c r="B81" s="1486" t="str">
        <f>估价对象房地状况!G16</f>
        <v>估价对象周边道路状况、公共交通通达情况、停车便捷程度，综合评价交通便捷度较好</v>
      </c>
      <c r="C81" s="1493"/>
      <c r="D81" s="1494">
        <f t="shared" si="25"/>
        <v>0</v>
      </c>
      <c r="E81" s="1628"/>
      <c r="F81" s="1629"/>
      <c r="G81" s="1497"/>
      <c r="H81" s="1498" t="str">
        <f t="shared" si="26"/>
        <v>——</v>
      </c>
      <c r="I81" s="1597">
        <v>0.33</v>
      </c>
      <c r="J81" s="1598">
        <f t="shared" si="27"/>
        <v>0</v>
      </c>
      <c r="K81" s="1598">
        <f t="shared" si="28"/>
        <v>0</v>
      </c>
      <c r="L81" s="1598">
        <v>0</v>
      </c>
      <c r="M81" s="1598">
        <f t="shared" si="29"/>
        <v>0</v>
      </c>
      <c r="N81" s="1598">
        <f t="shared" si="29"/>
        <v>0</v>
      </c>
      <c r="AC81" s="1316"/>
      <c r="AD81" s="1314"/>
      <c r="AJ81" s="1317"/>
      <c r="AN81" s="1314"/>
    </row>
    <row r="82" spans="1:40" ht="24">
      <c r="A82" s="1281" t="s">
        <v>660</v>
      </c>
      <c r="B82" s="1486">
        <f>估价对象房地状况!G17</f>
        <v>0</v>
      </c>
      <c r="C82" s="1493"/>
      <c r="D82" s="1494">
        <f t="shared" si="25"/>
        <v>0</v>
      </c>
      <c r="E82" s="1628"/>
      <c r="F82" s="1629"/>
      <c r="G82" s="1497"/>
      <c r="H82" s="1498" t="str">
        <f t="shared" si="26"/>
        <v>——</v>
      </c>
      <c r="I82" s="1597">
        <v>0.05</v>
      </c>
      <c r="J82" s="1598">
        <f t="shared" si="27"/>
        <v>0</v>
      </c>
      <c r="K82" s="1598">
        <f t="shared" si="28"/>
        <v>0</v>
      </c>
      <c r="L82" s="1598">
        <v>0</v>
      </c>
      <c r="M82" s="1598">
        <f t="shared" si="29"/>
        <v>0</v>
      </c>
      <c r="N82" s="1598">
        <f t="shared" si="29"/>
        <v>0</v>
      </c>
      <c r="AC82" s="1316"/>
      <c r="AD82" s="1314"/>
      <c r="AJ82" s="1317"/>
      <c r="AN82" s="1314"/>
    </row>
    <row r="83" spans="1:40" ht="14.25">
      <c r="A83" s="1281" t="s">
        <v>1281</v>
      </c>
      <c r="B83" s="1486">
        <f>估价对象房地状况!G22</f>
        <v>0</v>
      </c>
      <c r="C83" s="1493"/>
      <c r="D83" s="1494">
        <f t="shared" si="25"/>
        <v>0</v>
      </c>
      <c r="E83" s="1628"/>
      <c r="F83" s="1629"/>
      <c r="G83" s="1497"/>
      <c r="H83" s="1498" t="str">
        <f t="shared" si="26"/>
        <v>——</v>
      </c>
      <c r="I83" s="1597">
        <v>0.04</v>
      </c>
      <c r="J83" s="1598">
        <f t="shared" si="27"/>
        <v>0</v>
      </c>
      <c r="K83" s="1598">
        <f t="shared" si="28"/>
        <v>0</v>
      </c>
      <c r="L83" s="1598">
        <v>0</v>
      </c>
      <c r="M83" s="1598">
        <f t="shared" si="29"/>
        <v>0</v>
      </c>
      <c r="N83" s="1598">
        <f t="shared" si="29"/>
        <v>0</v>
      </c>
      <c r="AC83" s="1316"/>
      <c r="AD83" s="1314"/>
      <c r="AJ83" s="1317"/>
      <c r="AN83" s="1314"/>
    </row>
    <row r="84" spans="1:40" ht="24">
      <c r="A84" s="1281" t="s">
        <v>1276</v>
      </c>
      <c r="B84" s="1503" t="str">
        <f>估价对象房地状况!G19</f>
        <v>估价对象所在区域公共配套设施齐备情况</v>
      </c>
      <c r="C84" s="1493"/>
      <c r="D84" s="1494">
        <f t="shared" si="25"/>
        <v>0</v>
      </c>
      <c r="E84" s="1628"/>
      <c r="F84" s="1629"/>
      <c r="G84" s="1497"/>
      <c r="H84" s="1498" t="str">
        <f t="shared" si="26"/>
        <v>——</v>
      </c>
      <c r="I84" s="1597">
        <v>0.06</v>
      </c>
      <c r="J84" s="1598">
        <f t="shared" si="27"/>
        <v>0</v>
      </c>
      <c r="K84" s="1598">
        <f t="shared" si="28"/>
        <v>0</v>
      </c>
      <c r="L84" s="1598">
        <v>0</v>
      </c>
      <c r="M84" s="1598">
        <f t="shared" si="29"/>
        <v>0</v>
      </c>
      <c r="N84" s="1598">
        <f t="shared" si="29"/>
        <v>0</v>
      </c>
      <c r="AC84" s="1316"/>
      <c r="AD84" s="1314"/>
      <c r="AJ84" s="1317"/>
      <c r="AN84" s="1314"/>
    </row>
    <row r="85" spans="1:40" ht="24">
      <c r="A85" s="1281" t="s">
        <v>1277</v>
      </c>
      <c r="B85" s="1503" t="str">
        <f>估价对象房地状况!G20</f>
        <v>估价对象所在区域基础设施水平</v>
      </c>
      <c r="C85" s="1493"/>
      <c r="D85" s="1494">
        <f t="shared" si="25"/>
        <v>0</v>
      </c>
      <c r="E85" s="1628"/>
      <c r="F85" s="1629"/>
      <c r="G85" s="1497"/>
      <c r="H85" s="1498" t="str">
        <f t="shared" si="26"/>
        <v>——</v>
      </c>
      <c r="I85" s="1597">
        <v>0.15</v>
      </c>
      <c r="J85" s="1598">
        <f t="shared" si="27"/>
        <v>0</v>
      </c>
      <c r="K85" s="1598">
        <f t="shared" si="28"/>
        <v>0</v>
      </c>
      <c r="L85" s="1598">
        <v>0</v>
      </c>
      <c r="M85" s="1598">
        <f t="shared" si="29"/>
        <v>0</v>
      </c>
      <c r="N85" s="1598">
        <f t="shared" si="29"/>
        <v>0</v>
      </c>
      <c r="AC85" s="1316"/>
      <c r="AD85" s="1314"/>
      <c r="AJ85" s="1317"/>
      <c r="AN85" s="1314"/>
    </row>
    <row r="86" spans="1:40" ht="24">
      <c r="A86" s="1281" t="s">
        <v>1274</v>
      </c>
      <c r="B86" s="1501" t="s">
        <v>1275</v>
      </c>
      <c r="C86" s="1493"/>
      <c r="D86" s="1494">
        <f t="shared" si="25"/>
        <v>0</v>
      </c>
      <c r="E86" s="1628"/>
      <c r="F86" s="1629"/>
      <c r="G86" s="1497"/>
      <c r="H86" s="1498" t="str">
        <f t="shared" si="26"/>
        <v>——</v>
      </c>
      <c r="I86" s="1597">
        <v>0.05</v>
      </c>
      <c r="J86" s="1598">
        <f t="shared" si="27"/>
        <v>0</v>
      </c>
      <c r="K86" s="1598">
        <f t="shared" si="28"/>
        <v>0</v>
      </c>
      <c r="L86" s="1598">
        <v>0</v>
      </c>
      <c r="M86" s="1598">
        <f t="shared" si="29"/>
        <v>0</v>
      </c>
      <c r="N86" s="1598">
        <f t="shared" si="29"/>
        <v>0</v>
      </c>
      <c r="AC86" s="1316"/>
      <c r="AD86" s="1314"/>
      <c r="AJ86" s="1317"/>
      <c r="AN86" s="1314"/>
    </row>
    <row r="87" spans="1:40" ht="36">
      <c r="A87" s="1504" t="s">
        <v>655</v>
      </c>
      <c r="B87" s="1631" t="str">
        <f>估价对象房地状况!G18</f>
        <v>该园区内是否有污染型企业，绿化情况，卫生条件，整体环境状况判断</v>
      </c>
      <c r="C87" s="1493"/>
      <c r="D87" s="1494">
        <f t="shared" si="25"/>
        <v>0</v>
      </c>
      <c r="E87" s="1572"/>
      <c r="F87" s="1629"/>
      <c r="G87" s="1497"/>
      <c r="H87" s="1498" t="str">
        <f t="shared" si="26"/>
        <v>——</v>
      </c>
      <c r="I87" s="1599">
        <v>0.06</v>
      </c>
      <c r="J87" s="1598">
        <f t="shared" si="27"/>
        <v>0</v>
      </c>
      <c r="K87" s="1598">
        <f t="shared" si="28"/>
        <v>0</v>
      </c>
      <c r="L87" s="1598">
        <v>0</v>
      </c>
      <c r="M87" s="1598">
        <f t="shared" si="29"/>
        <v>0</v>
      </c>
      <c r="N87" s="1598">
        <f t="shared" si="29"/>
        <v>0</v>
      </c>
      <c r="AC87" s="1316"/>
      <c r="AD87" s="1314"/>
      <c r="AJ87" s="1317"/>
      <c r="AN87" s="1314"/>
    </row>
    <row r="90" spans="1:40">
      <c r="A90" s="3796" t="s">
        <v>1285</v>
      </c>
      <c r="B90" s="3796"/>
      <c r="C90" s="3796"/>
      <c r="D90" s="3796"/>
      <c r="E90" s="3796"/>
      <c r="F90" s="3796"/>
      <c r="G90" s="3796"/>
      <c r="H90" s="3796"/>
      <c r="I90" s="3796"/>
      <c r="J90" s="3796"/>
      <c r="K90" s="1311"/>
      <c r="L90" s="1311"/>
      <c r="M90" s="1311"/>
      <c r="N90" s="1311"/>
    </row>
    <row r="91" spans="1:40">
      <c r="A91" s="3806" t="s">
        <v>345</v>
      </c>
      <c r="B91" s="3806" t="s">
        <v>1087</v>
      </c>
      <c r="C91" s="1632" t="s">
        <v>1137</v>
      </c>
      <c r="D91" s="1633"/>
      <c r="E91" s="1633"/>
      <c r="F91" s="1633"/>
      <c r="G91" s="1633"/>
      <c r="H91" s="1633"/>
      <c r="I91" s="1633"/>
      <c r="J91" s="1657"/>
      <c r="K91" s="1297"/>
      <c r="L91" s="1297"/>
      <c r="M91" s="1297"/>
      <c r="N91" s="1297"/>
    </row>
    <row r="92" spans="1:40">
      <c r="A92" s="3806"/>
      <c r="B92" s="3806"/>
      <c r="C92" s="1293" t="s">
        <v>240</v>
      </c>
      <c r="D92" s="1293" t="s">
        <v>253</v>
      </c>
      <c r="E92" s="1293" t="s">
        <v>265</v>
      </c>
      <c r="F92" s="1293" t="s">
        <v>275</v>
      </c>
      <c r="G92" s="1293" t="s">
        <v>284</v>
      </c>
      <c r="H92" s="1293" t="s">
        <v>292</v>
      </c>
      <c r="I92" s="1293" t="s">
        <v>297</v>
      </c>
      <c r="J92" s="1293" t="s">
        <v>302</v>
      </c>
      <c r="K92" s="1293" t="s">
        <v>305</v>
      </c>
      <c r="L92" s="1293" t="s">
        <v>308</v>
      </c>
      <c r="M92" s="1293" t="s">
        <v>311</v>
      </c>
      <c r="N92" s="1293" t="s">
        <v>314</v>
      </c>
    </row>
    <row r="93" spans="1:40">
      <c r="A93" s="3807" t="s">
        <v>1286</v>
      </c>
      <c r="B93" s="1634">
        <v>1</v>
      </c>
      <c r="C93" s="1635">
        <v>1.9361999999999999</v>
      </c>
      <c r="D93" s="1635">
        <v>1.9361999999999999</v>
      </c>
      <c r="E93" s="1635">
        <v>1.8629</v>
      </c>
      <c r="F93" s="1635">
        <v>1.8629</v>
      </c>
      <c r="G93" s="1635">
        <v>1.8629</v>
      </c>
      <c r="H93" s="1635">
        <v>1.8629</v>
      </c>
      <c r="I93" s="1635">
        <v>1.8629</v>
      </c>
      <c r="J93" s="1635">
        <v>1.9419999999999999</v>
      </c>
      <c r="K93" s="1635">
        <v>1.9419999999999999</v>
      </c>
      <c r="L93" s="1635">
        <v>1.9419999999999999</v>
      </c>
      <c r="M93" s="1635">
        <v>1.9419999999999999</v>
      </c>
      <c r="N93" s="1635">
        <v>1.9419999999999999</v>
      </c>
    </row>
    <row r="94" spans="1:40">
      <c r="A94" s="3808"/>
      <c r="B94" s="1634">
        <v>2</v>
      </c>
      <c r="C94" s="1635">
        <v>1.4198</v>
      </c>
      <c r="D94" s="1635">
        <v>1.4198</v>
      </c>
      <c r="E94" s="1635">
        <v>1.3371999999999999</v>
      </c>
      <c r="F94" s="1635">
        <v>1.3371999999999999</v>
      </c>
      <c r="G94" s="1635">
        <v>1.3371999999999999</v>
      </c>
      <c r="H94" s="1635">
        <v>1.3371999999999999</v>
      </c>
      <c r="I94" s="1635">
        <v>1.3371999999999999</v>
      </c>
      <c r="J94" s="1635">
        <v>1.2799</v>
      </c>
      <c r="K94" s="1635">
        <v>1.2799</v>
      </c>
      <c r="L94" s="1635">
        <v>1.2799</v>
      </c>
      <c r="M94" s="1635">
        <v>1.2799</v>
      </c>
      <c r="N94" s="1635">
        <v>1.2799</v>
      </c>
    </row>
    <row r="95" spans="1:40">
      <c r="A95" s="3808"/>
      <c r="B95" s="1634">
        <v>3</v>
      </c>
      <c r="C95" s="1635">
        <v>1.1594</v>
      </c>
      <c r="D95" s="1635">
        <v>1.1594</v>
      </c>
      <c r="E95" s="1635">
        <v>1.0788</v>
      </c>
      <c r="F95" s="1635">
        <v>1.0788</v>
      </c>
      <c r="G95" s="1635">
        <v>1.0788</v>
      </c>
      <c r="H95" s="1635">
        <v>1.0788</v>
      </c>
      <c r="I95" s="1635">
        <v>1.0788</v>
      </c>
      <c r="J95" s="1635">
        <v>1.0072000000000001</v>
      </c>
      <c r="K95" s="1635">
        <v>1.0072000000000001</v>
      </c>
      <c r="L95" s="1635">
        <v>1.0072000000000001</v>
      </c>
      <c r="M95" s="1635">
        <v>1.0072000000000001</v>
      </c>
      <c r="N95" s="1635">
        <v>1.0072000000000001</v>
      </c>
    </row>
    <row r="96" spans="1:40">
      <c r="A96" s="3808"/>
      <c r="B96" s="1634">
        <v>4</v>
      </c>
      <c r="C96" s="1635">
        <v>0.96220000000000006</v>
      </c>
      <c r="D96" s="1635">
        <v>0.96220000000000006</v>
      </c>
      <c r="E96" s="1635">
        <v>0.86560000000000004</v>
      </c>
      <c r="F96" s="1635">
        <v>0.86560000000000004</v>
      </c>
      <c r="G96" s="1635">
        <v>0.86560000000000004</v>
      </c>
      <c r="H96" s="1635">
        <v>0.86560000000000004</v>
      </c>
      <c r="I96" s="1635">
        <v>0.86560000000000004</v>
      </c>
      <c r="J96" s="1635">
        <v>0.75249999999999995</v>
      </c>
      <c r="K96" s="1635">
        <v>0.75249999999999995</v>
      </c>
      <c r="L96" s="1635">
        <v>0.75249999999999995</v>
      </c>
      <c r="M96" s="1635">
        <v>0.75249999999999995</v>
      </c>
      <c r="N96" s="1635">
        <v>0.75249999999999995</v>
      </c>
    </row>
    <row r="97" spans="1:14">
      <c r="A97" s="3808"/>
      <c r="B97" s="1634">
        <v>5</v>
      </c>
      <c r="C97" s="1635">
        <v>0.8417</v>
      </c>
      <c r="D97" s="1635">
        <v>0.8417</v>
      </c>
      <c r="E97" s="1635">
        <v>0.73709999999999998</v>
      </c>
      <c r="F97" s="1635">
        <v>0.73709999999999998</v>
      </c>
      <c r="G97" s="1635">
        <v>0.73709999999999998</v>
      </c>
      <c r="H97" s="1635">
        <v>0.73709999999999998</v>
      </c>
      <c r="I97" s="1635">
        <v>0.73709999999999998</v>
      </c>
      <c r="J97" s="1635">
        <v>0.56589999999999996</v>
      </c>
      <c r="K97" s="1635">
        <v>0.56589999999999996</v>
      </c>
      <c r="L97" s="1635">
        <v>0.56589999999999996</v>
      </c>
      <c r="M97" s="1635">
        <v>0.56589999999999996</v>
      </c>
      <c r="N97" s="1635">
        <v>0.56589999999999996</v>
      </c>
    </row>
    <row r="98" spans="1:14">
      <c r="A98" s="3808"/>
      <c r="B98" s="1634">
        <v>6</v>
      </c>
      <c r="C98" s="1635">
        <v>0.76080000000000003</v>
      </c>
      <c r="D98" s="1635">
        <v>0.76080000000000003</v>
      </c>
      <c r="E98" s="1635">
        <v>0.6482</v>
      </c>
      <c r="F98" s="1635">
        <v>0.6482</v>
      </c>
      <c r="G98" s="1635">
        <v>0.6482</v>
      </c>
      <c r="H98" s="1635">
        <v>0.6482</v>
      </c>
      <c r="I98" s="1635">
        <v>0.6482</v>
      </c>
      <c r="J98" s="1635">
        <v>0.45250000000000001</v>
      </c>
      <c r="K98" s="1635">
        <v>0.45250000000000001</v>
      </c>
      <c r="L98" s="1635">
        <v>0.45250000000000001</v>
      </c>
      <c r="M98" s="1635">
        <v>0.45250000000000001</v>
      </c>
      <c r="N98" s="1635">
        <v>0.45250000000000001</v>
      </c>
    </row>
    <row r="99" spans="1:14">
      <c r="A99" s="3808"/>
      <c r="B99" s="1634" t="s">
        <v>1287</v>
      </c>
      <c r="C99" s="1636">
        <f>$I$3</f>
        <v>0</v>
      </c>
      <c r="D99" s="1636">
        <f t="shared" ref="D99:N99" si="30">$I$3</f>
        <v>0</v>
      </c>
      <c r="E99" s="1636">
        <f t="shared" si="30"/>
        <v>0</v>
      </c>
      <c r="F99" s="1636">
        <f t="shared" si="30"/>
        <v>0</v>
      </c>
      <c r="G99" s="1636">
        <f t="shared" si="30"/>
        <v>0</v>
      </c>
      <c r="H99" s="1636">
        <f t="shared" si="30"/>
        <v>0</v>
      </c>
      <c r="I99" s="1636">
        <f t="shared" si="30"/>
        <v>0</v>
      </c>
      <c r="J99" s="1636">
        <f t="shared" si="30"/>
        <v>0</v>
      </c>
      <c r="K99" s="1636">
        <f t="shared" si="30"/>
        <v>0</v>
      </c>
      <c r="L99" s="1636">
        <f t="shared" si="30"/>
        <v>0</v>
      </c>
      <c r="M99" s="1636">
        <f t="shared" si="30"/>
        <v>0</v>
      </c>
      <c r="N99" s="1636">
        <f t="shared" si="30"/>
        <v>0</v>
      </c>
    </row>
    <row r="100" spans="1:14">
      <c r="A100" s="3809"/>
      <c r="B100" s="1634">
        <v>7</v>
      </c>
      <c r="C100" s="1637">
        <f>(-0.163*(C99^2)-0.59*C99+7617)*(10^(-4))</f>
        <v>0.76170000000000004</v>
      </c>
      <c r="D100" s="1637">
        <f>(-0.163*(D99^2)-0.59*D99+7617)*(10^(-4))</f>
        <v>0.76170000000000004</v>
      </c>
      <c r="E100" s="1637">
        <f>(-0.161*(E99^2)-7.509*E99+6533)*(10^(-4))</f>
        <v>0.65329999999999999</v>
      </c>
      <c r="F100" s="1637">
        <f>(-0.161*(F99^2)-7.509*F99+6533)*(10^(-4))</f>
        <v>0.65329999999999999</v>
      </c>
      <c r="G100" s="1637">
        <f>(-0.161*(G99^2)-7.509*G99+6533)*(10^(-4))</f>
        <v>0.65329999999999999</v>
      </c>
      <c r="H100" s="1637">
        <f>(-0.161*(H99^2)-7.509*H99+6533)*(10^(-4))</f>
        <v>0.65329999999999999</v>
      </c>
      <c r="I100" s="1637">
        <f>(-0.161*(I99^2)-7.509*I99+6533)*(10^(-4))</f>
        <v>0.65329999999999999</v>
      </c>
      <c r="J100" s="1637">
        <f>(-0.214*(J99^2)-21.991*J99+4665)*(10^(-4))</f>
        <v>0.46650000000000003</v>
      </c>
      <c r="K100" s="1637">
        <f>(-0.214*(K99^2)-21.991*K99+4665)*(10^(-4))</f>
        <v>0.46650000000000003</v>
      </c>
      <c r="L100" s="1637">
        <f>(-0.214*(L99^2)-21.991*L99+4665)*(10^(-4))</f>
        <v>0.46650000000000003</v>
      </c>
      <c r="M100" s="1637">
        <f>(-0.214*(M99^2)-21.991*M99+4665)*(10^(-4))</f>
        <v>0.46650000000000003</v>
      </c>
      <c r="N100" s="1637">
        <f>(-0.214*(N99^2)-21.991*N99+4665)*(10^(-4))</f>
        <v>0.46650000000000003</v>
      </c>
    </row>
    <row r="101" spans="1:14">
      <c r="A101" s="3807" t="s">
        <v>1288</v>
      </c>
      <c r="B101" s="1638" t="s">
        <v>105</v>
      </c>
      <c r="C101" s="1639">
        <f>$G$3</f>
        <v>2.5</v>
      </c>
      <c r="D101" s="1639">
        <f t="shared" ref="D101:N101" si="31">$G$3</f>
        <v>2.5</v>
      </c>
      <c r="E101" s="1639">
        <f t="shared" si="31"/>
        <v>2.5</v>
      </c>
      <c r="F101" s="1639">
        <f t="shared" si="31"/>
        <v>2.5</v>
      </c>
      <c r="G101" s="1639">
        <f t="shared" si="31"/>
        <v>2.5</v>
      </c>
      <c r="H101" s="1639">
        <f t="shared" si="31"/>
        <v>2.5</v>
      </c>
      <c r="I101" s="1639">
        <f t="shared" si="31"/>
        <v>2.5</v>
      </c>
      <c r="J101" s="1639">
        <f t="shared" si="31"/>
        <v>2.5</v>
      </c>
      <c r="K101" s="1639">
        <f t="shared" si="31"/>
        <v>2.5</v>
      </c>
      <c r="L101" s="1639">
        <f t="shared" si="31"/>
        <v>2.5</v>
      </c>
      <c r="M101" s="1639">
        <f t="shared" si="31"/>
        <v>2.5</v>
      </c>
      <c r="N101" s="1639">
        <f t="shared" si="31"/>
        <v>2.5</v>
      </c>
    </row>
    <row r="102" spans="1:14">
      <c r="A102" s="3808"/>
      <c r="B102" s="1634">
        <v>1</v>
      </c>
      <c r="C102" s="1635">
        <f>1.9362/C101</f>
        <v>0.77447999999999995</v>
      </c>
      <c r="D102" s="1635">
        <f>1.9362/D101</f>
        <v>0.77447999999999995</v>
      </c>
      <c r="E102" s="1635">
        <f>1.8629/E101</f>
        <v>0.74516000000000004</v>
      </c>
      <c r="F102" s="1635">
        <f>1.8629/F101</f>
        <v>0.74516000000000004</v>
      </c>
      <c r="G102" s="1635">
        <f>1.8629/G101</f>
        <v>0.74516000000000004</v>
      </c>
      <c r="H102" s="1635">
        <f>1.8629/H101</f>
        <v>0.74516000000000004</v>
      </c>
      <c r="I102" s="1635">
        <f>1.8629/I101</f>
        <v>0.74516000000000004</v>
      </c>
      <c r="J102" s="1635">
        <f>1.942/J101</f>
        <v>0.77679999999999993</v>
      </c>
      <c r="K102" s="1635">
        <f>1.942/K101</f>
        <v>0.77679999999999993</v>
      </c>
      <c r="L102" s="1635">
        <f>1.942/L101</f>
        <v>0.77679999999999993</v>
      </c>
      <c r="M102" s="1635">
        <f>1.942/M101</f>
        <v>0.77679999999999993</v>
      </c>
      <c r="N102" s="1635">
        <f>1.942/N101</f>
        <v>0.77679999999999993</v>
      </c>
    </row>
    <row r="103" spans="1:14">
      <c r="A103" s="3808"/>
      <c r="B103" s="1634">
        <v>2</v>
      </c>
      <c r="C103" s="1635">
        <f>1.4198/C101</f>
        <v>0.56791999999999998</v>
      </c>
      <c r="D103" s="1635">
        <f>1.4198/D101</f>
        <v>0.56791999999999998</v>
      </c>
      <c r="E103" s="1635">
        <f>1.3372/E101</f>
        <v>0.53488000000000002</v>
      </c>
      <c r="F103" s="1635">
        <f>1.3372/F101</f>
        <v>0.53488000000000002</v>
      </c>
      <c r="G103" s="1635">
        <f>1.3372/G101</f>
        <v>0.53488000000000002</v>
      </c>
      <c r="H103" s="1635">
        <f>1.3372/H101</f>
        <v>0.53488000000000002</v>
      </c>
      <c r="I103" s="1635">
        <f>1.3372/I101</f>
        <v>0.53488000000000002</v>
      </c>
      <c r="J103" s="1635">
        <f>1.2799/J101</f>
        <v>0.51195999999999997</v>
      </c>
      <c r="K103" s="1635">
        <f>1.2799/K101</f>
        <v>0.51195999999999997</v>
      </c>
      <c r="L103" s="1635">
        <f>1.2799/L101</f>
        <v>0.51195999999999997</v>
      </c>
      <c r="M103" s="1635">
        <f>1.2799/M101</f>
        <v>0.51195999999999997</v>
      </c>
      <c r="N103" s="1635">
        <f>1.2799/N101</f>
        <v>0.51195999999999997</v>
      </c>
    </row>
    <row r="104" spans="1:14">
      <c r="A104" s="3808"/>
      <c r="B104" s="1634">
        <v>3</v>
      </c>
      <c r="C104" s="1635">
        <f>1.1594/C101</f>
        <v>0.46376000000000001</v>
      </c>
      <c r="D104" s="1635">
        <f>1.1594/D101</f>
        <v>0.46376000000000001</v>
      </c>
      <c r="E104" s="1635">
        <f>1.0788/E101</f>
        <v>0.43152000000000001</v>
      </c>
      <c r="F104" s="1635">
        <f>1.0788/F101</f>
        <v>0.43152000000000001</v>
      </c>
      <c r="G104" s="1635">
        <f>1.0788/G101</f>
        <v>0.43152000000000001</v>
      </c>
      <c r="H104" s="1635">
        <f>1.0788/H101</f>
        <v>0.43152000000000001</v>
      </c>
      <c r="I104" s="1635">
        <f>1.0788/I101</f>
        <v>0.43152000000000001</v>
      </c>
      <c r="J104" s="1635">
        <f>1.0072/J101</f>
        <v>0.40288000000000002</v>
      </c>
      <c r="K104" s="1635">
        <f>1.0072/K101</f>
        <v>0.40288000000000002</v>
      </c>
      <c r="L104" s="1635">
        <f>1.0072/L101</f>
        <v>0.40288000000000002</v>
      </c>
      <c r="M104" s="1635">
        <f>1.0072/M101</f>
        <v>0.40288000000000002</v>
      </c>
      <c r="N104" s="1635">
        <f>1.0072/N101</f>
        <v>0.40288000000000002</v>
      </c>
    </row>
    <row r="105" spans="1:14">
      <c r="A105" s="3808"/>
      <c r="B105" s="1634">
        <v>4</v>
      </c>
      <c r="C105" s="1635">
        <f>0.9622/C101</f>
        <v>0.38488</v>
      </c>
      <c r="D105" s="1635">
        <f>0.9622/D101</f>
        <v>0.38488</v>
      </c>
      <c r="E105" s="1635">
        <f>0.8656/E101</f>
        <v>0.34623999999999999</v>
      </c>
      <c r="F105" s="1635">
        <f>0.8656/F101</f>
        <v>0.34623999999999999</v>
      </c>
      <c r="G105" s="1635">
        <f>0.8656/G101</f>
        <v>0.34623999999999999</v>
      </c>
      <c r="H105" s="1635">
        <f>0.8656/H101</f>
        <v>0.34623999999999999</v>
      </c>
      <c r="I105" s="1635">
        <f>0.8656/I101</f>
        <v>0.34623999999999999</v>
      </c>
      <c r="J105" s="1635">
        <f>0.7525/J101</f>
        <v>0.30099999999999999</v>
      </c>
      <c r="K105" s="1635">
        <f>0.7525/K101</f>
        <v>0.30099999999999999</v>
      </c>
      <c r="L105" s="1635">
        <f>0.7525/L101</f>
        <v>0.30099999999999999</v>
      </c>
      <c r="M105" s="1635">
        <f>0.7525/M101</f>
        <v>0.30099999999999999</v>
      </c>
      <c r="N105" s="1635">
        <f>0.7525/N101</f>
        <v>0.30099999999999999</v>
      </c>
    </row>
    <row r="106" spans="1:14">
      <c r="A106" s="3808"/>
      <c r="B106" s="1634">
        <v>5</v>
      </c>
      <c r="C106" s="1635">
        <f>0.8417/C101</f>
        <v>0.33667999999999998</v>
      </c>
      <c r="D106" s="1635">
        <f>0.8417/D101</f>
        <v>0.33667999999999998</v>
      </c>
      <c r="E106" s="1635">
        <f>0.7371/E101</f>
        <v>0.29483999999999999</v>
      </c>
      <c r="F106" s="1635">
        <f>0.7371/F101</f>
        <v>0.29483999999999999</v>
      </c>
      <c r="G106" s="1635">
        <f>0.7371/G101</f>
        <v>0.29483999999999999</v>
      </c>
      <c r="H106" s="1635">
        <f>0.7371/H101</f>
        <v>0.29483999999999999</v>
      </c>
      <c r="I106" s="1635">
        <f>0.7371/I101</f>
        <v>0.29483999999999999</v>
      </c>
      <c r="J106" s="1635">
        <f>0.5659/J101</f>
        <v>0.22635999999999998</v>
      </c>
      <c r="K106" s="1635">
        <f>0.5659/K101</f>
        <v>0.22635999999999998</v>
      </c>
      <c r="L106" s="1635">
        <f>0.5659/L101</f>
        <v>0.22635999999999998</v>
      </c>
      <c r="M106" s="1635">
        <f>0.5659/M101</f>
        <v>0.22635999999999998</v>
      </c>
      <c r="N106" s="1635">
        <f>0.5659/N101</f>
        <v>0.22635999999999998</v>
      </c>
    </row>
    <row r="107" spans="1:14">
      <c r="A107" s="3808"/>
      <c r="B107" s="1634">
        <v>6</v>
      </c>
      <c r="C107" s="1635">
        <f>0.7608/C101</f>
        <v>0.30432000000000003</v>
      </c>
      <c r="D107" s="1635">
        <f>0.7608/D101</f>
        <v>0.30432000000000003</v>
      </c>
      <c r="E107" s="1635">
        <f>0.6482/E101</f>
        <v>0.25928000000000001</v>
      </c>
      <c r="F107" s="1635">
        <f>0.6482/F101</f>
        <v>0.25928000000000001</v>
      </c>
      <c r="G107" s="1635">
        <f>0.6482/G101</f>
        <v>0.25928000000000001</v>
      </c>
      <c r="H107" s="1635">
        <f>0.6482/H101</f>
        <v>0.25928000000000001</v>
      </c>
      <c r="I107" s="1635">
        <f>0.6482/I101</f>
        <v>0.25928000000000001</v>
      </c>
      <c r="J107" s="1635">
        <f>0.4525/J101</f>
        <v>0.18099999999999999</v>
      </c>
      <c r="K107" s="1635">
        <f>0.4525/K101</f>
        <v>0.18099999999999999</v>
      </c>
      <c r="L107" s="1635">
        <f>0.4525/L101</f>
        <v>0.18099999999999999</v>
      </c>
      <c r="M107" s="1635">
        <f>0.4525/M101</f>
        <v>0.18099999999999999</v>
      </c>
      <c r="N107" s="1635">
        <f>0.4525/N101</f>
        <v>0.18099999999999999</v>
      </c>
    </row>
    <row r="108" spans="1:14">
      <c r="A108" s="3808"/>
      <c r="B108" s="3810" t="s">
        <v>1289</v>
      </c>
      <c r="C108" s="1636">
        <f>C99</f>
        <v>0</v>
      </c>
      <c r="D108" s="1636">
        <f t="shared" ref="D108:N108" si="32">D99</f>
        <v>0</v>
      </c>
      <c r="E108" s="1636">
        <f t="shared" si="32"/>
        <v>0</v>
      </c>
      <c r="F108" s="1636">
        <f t="shared" si="32"/>
        <v>0</v>
      </c>
      <c r="G108" s="1636">
        <f t="shared" si="32"/>
        <v>0</v>
      </c>
      <c r="H108" s="1636">
        <f t="shared" si="32"/>
        <v>0</v>
      </c>
      <c r="I108" s="1636">
        <f t="shared" si="32"/>
        <v>0</v>
      </c>
      <c r="J108" s="1636">
        <f t="shared" si="32"/>
        <v>0</v>
      </c>
      <c r="K108" s="1636">
        <f t="shared" si="32"/>
        <v>0</v>
      </c>
      <c r="L108" s="1636">
        <f t="shared" si="32"/>
        <v>0</v>
      </c>
      <c r="M108" s="1636">
        <f t="shared" si="32"/>
        <v>0</v>
      </c>
      <c r="N108" s="1636">
        <f t="shared" si="32"/>
        <v>0</v>
      </c>
    </row>
    <row r="109" spans="1:14">
      <c r="A109" s="3809"/>
      <c r="B109" s="3811"/>
      <c r="C109" s="1637">
        <f>(-0.163*(C108^2)-0.59*C108+7617)*(10^(-4))/C101</f>
        <v>0.30468000000000001</v>
      </c>
      <c r="D109" s="1637">
        <f>(-0.163*(D108^2)-0.59*D108+7617)*(10^(-4))/D101</f>
        <v>0.30468000000000001</v>
      </c>
      <c r="E109" s="1637">
        <f>(-0.161*(E108^2)-7.509*E108+6533)*(10^(-4))/E101</f>
        <v>0.26132</v>
      </c>
      <c r="F109" s="1637">
        <f>(-0.161*(F108^2)-7.509*F108+6533)*(10^(-4))/F101</f>
        <v>0.26132</v>
      </c>
      <c r="G109" s="1637">
        <f>(-0.161*(G108^2)-7.509*G108+6533)*(10^(-4))/G101</f>
        <v>0.26132</v>
      </c>
      <c r="H109" s="1637">
        <f>(-0.161*(H108^2)-7.509*H108+6533)*(10^(-4))/H101</f>
        <v>0.26132</v>
      </c>
      <c r="I109" s="1637">
        <f>(-0.161*(I108^2)-7.509*I108+6533)*(10^(-4))/I101</f>
        <v>0.26132</v>
      </c>
      <c r="J109" s="1637">
        <f>(-0.214*(J108^2)-21.991*J108+4665)*(10^(-4))/J101</f>
        <v>0.18660000000000002</v>
      </c>
      <c r="K109" s="1637">
        <f>(-0.214*(K108^2)-21.991*K108+4665)*(10^(-4))/K101</f>
        <v>0.18660000000000002</v>
      </c>
      <c r="L109" s="1637">
        <f>(-0.214*(L108^2)-21.991*L108+4665)*(10^(-4))/L101</f>
        <v>0.18660000000000002</v>
      </c>
      <c r="M109" s="1637">
        <f>(-0.214*(M108^2)-21.991*M108+4665)*(10^(-4))/M101</f>
        <v>0.18660000000000002</v>
      </c>
      <c r="N109" s="1637">
        <f>(-0.214*(N108^2)-21.991*N108+4665)*(10^(-4))/N101</f>
        <v>0.18660000000000002</v>
      </c>
    </row>
    <row r="110" spans="1:14">
      <c r="A110" s="3797" t="s">
        <v>1290</v>
      </c>
      <c r="B110" s="3797"/>
      <c r="C110" s="3797"/>
      <c r="D110" s="3797"/>
      <c r="E110" s="3797"/>
      <c r="F110" s="3797"/>
      <c r="G110" s="3797"/>
      <c r="H110" s="3797"/>
      <c r="I110" s="3797"/>
      <c r="J110" s="3797"/>
      <c r="K110" s="1640"/>
      <c r="L110" s="1640"/>
      <c r="M110" s="1640"/>
      <c r="N110" s="1640"/>
    </row>
    <row r="113" spans="1:13" ht="24.75">
      <c r="A113" s="1641" t="s">
        <v>1291</v>
      </c>
      <c r="B113" s="1642">
        <f>G3</f>
        <v>2.5</v>
      </c>
      <c r="C113" s="1643" t="s">
        <v>1292</v>
      </c>
      <c r="D113" s="1644">
        <f>SUMPRODUCT((A115:A118=F113)*(B114:M114=H113)*B115:M118)</f>
        <v>0.71750000000000003</v>
      </c>
      <c r="E113" s="1645" t="s">
        <v>345</v>
      </c>
      <c r="F113" s="1646" t="str">
        <f>E2</f>
        <v>住宅</v>
      </c>
      <c r="G113" s="1645" t="s">
        <v>217</v>
      </c>
      <c r="H113" s="1646" t="str">
        <f>G2</f>
        <v>八级</v>
      </c>
      <c r="I113" s="1645"/>
      <c r="J113" s="1220"/>
      <c r="K113" s="1220"/>
      <c r="L113" s="1220"/>
      <c r="M113" s="1220"/>
    </row>
    <row r="114" spans="1:13" ht="12.75">
      <c r="A114" s="1647"/>
      <c r="B114" s="1648" t="s">
        <v>240</v>
      </c>
      <c r="C114" s="1648" t="s">
        <v>253</v>
      </c>
      <c r="D114" s="1648" t="s">
        <v>265</v>
      </c>
      <c r="E114" s="1649" t="s">
        <v>275</v>
      </c>
      <c r="F114" s="1649" t="s">
        <v>284</v>
      </c>
      <c r="G114" s="1649" t="s">
        <v>292</v>
      </c>
      <c r="H114" s="1650" t="s">
        <v>297</v>
      </c>
      <c r="I114" s="1650" t="s">
        <v>302</v>
      </c>
      <c r="J114" s="1658" t="s">
        <v>305</v>
      </c>
      <c r="K114" s="1658" t="s">
        <v>308</v>
      </c>
      <c r="L114" s="1658" t="s">
        <v>311</v>
      </c>
      <c r="M114" s="1659" t="s">
        <v>314</v>
      </c>
    </row>
    <row r="115" spans="1:13" ht="12.75">
      <c r="A115" s="1651" t="s">
        <v>1293</v>
      </c>
      <c r="B115" s="1652">
        <f>ROUND(0.9335-0.0094*B113,4)</f>
        <v>0.91</v>
      </c>
      <c r="C115" s="1652">
        <f>B115</f>
        <v>0.91</v>
      </c>
      <c r="D115" s="1652">
        <f>ROUND(0.8331-0.0109*B113,4)</f>
        <v>0.80589999999999995</v>
      </c>
      <c r="E115" s="1652">
        <f>D115</f>
        <v>0.80589999999999995</v>
      </c>
      <c r="F115" s="1652">
        <f>E115</f>
        <v>0.80589999999999995</v>
      </c>
      <c r="G115" s="1652">
        <f>F115</f>
        <v>0.80589999999999995</v>
      </c>
      <c r="H115" s="1652">
        <f>G115</f>
        <v>0.80589999999999995</v>
      </c>
      <c r="I115" s="1652">
        <f>ROUND(0.689-0.0155*B113,4)</f>
        <v>0.65029999999999999</v>
      </c>
      <c r="J115" s="1652">
        <f t="shared" ref="J115:M118" si="33">I115</f>
        <v>0.65029999999999999</v>
      </c>
      <c r="K115" s="1652">
        <f t="shared" si="33"/>
        <v>0.65029999999999999</v>
      </c>
      <c r="L115" s="1652">
        <f t="shared" si="33"/>
        <v>0.65029999999999999</v>
      </c>
      <c r="M115" s="1660">
        <f t="shared" si="33"/>
        <v>0.65029999999999999</v>
      </c>
    </row>
    <row r="116" spans="1:13" ht="12.75">
      <c r="A116" s="1651" t="s">
        <v>1294</v>
      </c>
      <c r="B116" s="1652">
        <f>ROUND(0.949-0.012*B113,4)</f>
        <v>0.91900000000000004</v>
      </c>
      <c r="C116" s="1652">
        <f>B116</f>
        <v>0.91900000000000004</v>
      </c>
      <c r="D116" s="1652">
        <f>ROUND(0.8567-0.013*B113,4)</f>
        <v>0.82420000000000004</v>
      </c>
      <c r="E116" s="1652">
        <f t="shared" ref="E116:H117" si="34">D116</f>
        <v>0.82420000000000004</v>
      </c>
      <c r="F116" s="1652">
        <f t="shared" si="34"/>
        <v>0.82420000000000004</v>
      </c>
      <c r="G116" s="1652">
        <f t="shared" si="34"/>
        <v>0.82420000000000004</v>
      </c>
      <c r="H116" s="1652">
        <f t="shared" si="34"/>
        <v>0.82420000000000004</v>
      </c>
      <c r="I116" s="1652">
        <f>ROUND(0.7694-0.014*B113,4)</f>
        <v>0.73440000000000005</v>
      </c>
      <c r="J116" s="1652">
        <f t="shared" si="33"/>
        <v>0.73440000000000005</v>
      </c>
      <c r="K116" s="1652">
        <f t="shared" si="33"/>
        <v>0.73440000000000005</v>
      </c>
      <c r="L116" s="1652">
        <f t="shared" si="33"/>
        <v>0.73440000000000005</v>
      </c>
      <c r="M116" s="1660">
        <f t="shared" si="33"/>
        <v>0.73440000000000005</v>
      </c>
    </row>
    <row r="117" spans="1:13" ht="12.75">
      <c r="A117" s="1653" t="s">
        <v>368</v>
      </c>
      <c r="B117" s="1652">
        <f>ROUND(0.8808-0.006*B113,4)</f>
        <v>0.86580000000000001</v>
      </c>
      <c r="C117" s="1652">
        <f>B117</f>
        <v>0.86580000000000001</v>
      </c>
      <c r="D117" s="1652">
        <f>ROUND(0.8748-0.008*B113,4)</f>
        <v>0.8548</v>
      </c>
      <c r="E117" s="1652">
        <f t="shared" si="34"/>
        <v>0.8548</v>
      </c>
      <c r="F117" s="1652">
        <f t="shared" si="34"/>
        <v>0.8548</v>
      </c>
      <c r="G117" s="1652">
        <f t="shared" si="34"/>
        <v>0.8548</v>
      </c>
      <c r="H117" s="1652">
        <f t="shared" si="34"/>
        <v>0.8548</v>
      </c>
      <c r="I117" s="1652">
        <f>ROUND(0.7412-0.0095*B113,4)</f>
        <v>0.71750000000000003</v>
      </c>
      <c r="J117" s="1652">
        <f t="shared" si="33"/>
        <v>0.71750000000000003</v>
      </c>
      <c r="K117" s="1652">
        <f t="shared" si="33"/>
        <v>0.71750000000000003</v>
      </c>
      <c r="L117" s="1652">
        <f t="shared" si="33"/>
        <v>0.71750000000000003</v>
      </c>
      <c r="M117" s="1660">
        <f t="shared" si="33"/>
        <v>0.71750000000000003</v>
      </c>
    </row>
    <row r="118" spans="1:13" ht="12.75">
      <c r="A118" s="1654" t="s">
        <v>1295</v>
      </c>
      <c r="B118" s="1655">
        <f>ROUND(0.7275-0.01*B113,4)</f>
        <v>0.70250000000000001</v>
      </c>
      <c r="C118" s="1655">
        <f>B118</f>
        <v>0.70250000000000001</v>
      </c>
      <c r="D118" s="1655">
        <f>ROUND(0.7043-0.012*B113,4)</f>
        <v>0.67430000000000001</v>
      </c>
      <c r="E118" s="1655">
        <f>D118</f>
        <v>0.67430000000000001</v>
      </c>
      <c r="F118" s="1655">
        <f>E118</f>
        <v>0.67430000000000001</v>
      </c>
      <c r="G118" s="1655">
        <f>ROUND(0.6299-0.0122*B113,4)</f>
        <v>0.59940000000000004</v>
      </c>
      <c r="H118" s="1655">
        <f>G118</f>
        <v>0.59940000000000004</v>
      </c>
      <c r="I118" s="1655">
        <f>ROUND(0.5667-0.0136*B113,4)</f>
        <v>0.53269999999999995</v>
      </c>
      <c r="J118" s="1655">
        <f t="shared" si="33"/>
        <v>0.53269999999999995</v>
      </c>
      <c r="K118" s="1655">
        <f t="shared" si="33"/>
        <v>0.53269999999999995</v>
      </c>
      <c r="L118" s="1655">
        <f t="shared" si="33"/>
        <v>0.53269999999999995</v>
      </c>
      <c r="M118" s="1661">
        <f t="shared" si="33"/>
        <v>0.53269999999999995</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31" type="noConversion"/>
  <conditionalFormatting sqref="F47">
    <cfRule type="cellIs" dxfId="119" priority="6" stopIfTrue="1" operator="notEqual">
      <formula>"——"</formula>
    </cfRule>
  </conditionalFormatting>
  <conditionalFormatting sqref="F58">
    <cfRule type="cellIs" dxfId="118" priority="5" stopIfTrue="1" operator="notEqual">
      <formula>"——"</formula>
    </cfRule>
  </conditionalFormatting>
  <conditionalFormatting sqref="F69">
    <cfRule type="cellIs" dxfId="117" priority="4" stopIfTrue="1" operator="notEqual">
      <formula>"——"</formula>
    </cfRule>
  </conditionalFormatting>
  <conditionalFormatting sqref="F80">
    <cfRule type="cellIs" dxfId="116" priority="3" stopIfTrue="1" operator="notEqual">
      <formula>"——"</formula>
    </cfRule>
  </conditionalFormatting>
  <conditionalFormatting sqref="H58:H66 H47:H55 H69:H77 H80:H87">
    <cfRule type="cellIs" dxfId="115" priority="2" operator="notEqual">
      <formula>"——"</formula>
    </cfRule>
  </conditionalFormatting>
  <conditionalFormatting sqref="G69:G77">
    <cfRule type="cellIs" dxfId="114" priority="1" operator="notEqual">
      <formula>"——"</formula>
    </cfRule>
  </conditionalFormatting>
  <dataValidations count="11">
    <dataValidation type="list" allowBlank="1" showInputMessage="1" showErrorMessage="1" sqref="E2" xr:uid="{00000000-0002-0000-1700-000000000000}">
      <formula1>"商业,办公,住宅,工业"</formula1>
    </dataValidation>
    <dataValidation type="list" allowBlank="1" showInputMessage="1" showErrorMessage="1" sqref="F17" xr:uid="{00000000-0002-0000-1700-000001000000}">
      <formula1>"与级别开发程度一致,与级别开发程度不一致"</formula1>
    </dataValidation>
    <dataValidation type="list" allowBlank="1" showInputMessage="1" showErrorMessage="1" sqref="C8" xr:uid="{00000000-0002-0000-1700-000002000000}">
      <formula1>商业街名称</formula1>
    </dataValidation>
    <dataValidation type="list" allowBlank="1" showInputMessage="1" showErrorMessage="1" sqref="E3" xr:uid="{00000000-0002-0000-1700-000003000000}">
      <formula1>二级分类</formula1>
    </dataValidation>
    <dataValidation type="list" allowBlank="1" showInputMessage="1" showErrorMessage="1" sqref="F3" xr:uid="{00000000-0002-0000-1700-000004000000}">
      <formula1>"宗地容积率,估价对象容积率,自定义容积率"</formula1>
    </dataValidation>
    <dataValidation type="list" allowBlank="1" showInputMessage="1" showErrorMessage="1" sqref="C14:E14" xr:uid="{00000000-0002-0000-1700-000005000000}">
      <formula1>"有,无"</formula1>
    </dataValidation>
    <dataValidation type="list" allowBlank="1" showInputMessage="1" showErrorMessage="1" sqref="F14" xr:uid="{00000000-0002-0000-1700-000006000000}">
      <formula1>"500米范围内,500-1000米,1000米以外"</formula1>
    </dataValidation>
    <dataValidation type="list" allowBlank="1" showInputMessage="1" showErrorMessage="1" sqref="H16:O16" xr:uid="{00000000-0002-0000-1700-000007000000}">
      <formula1>七通一平</formula1>
    </dataValidation>
    <dataValidation type="list" allowBlank="1" showInputMessage="1" showErrorMessage="1" sqref="H19" xr:uid="{00000000-0002-0000-1700-000008000000}">
      <formula1>"地价指数,季度增幅（自定义）,按公示增长率计算"</formula1>
    </dataValidation>
    <dataValidation type="list" allowBlank="1" showInputMessage="1" showErrorMessage="1" sqref="B21" xr:uid="{00000000-0002-0000-1700-000009000000}">
      <formula1>"容积率修正,楼层修正"</formula1>
    </dataValidation>
    <dataValidation type="list" allowBlank="1" showInputMessage="1" showErrorMessage="1" sqref="C47:C55 C58:C66 C69:C77 C80:C87" xr:uid="{00000000-0002-0000-17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21"/>
  <sheetViews>
    <sheetView workbookViewId="0">
      <selection activeCell="A15" sqref="A15:M15"/>
    </sheetView>
  </sheetViews>
  <sheetFormatPr defaultColWidth="8.25" defaultRowHeight="19.5" customHeight="1"/>
  <cols>
    <col min="1" max="1" width="13.625" style="1233" customWidth="1"/>
    <col min="2" max="9" width="8.25" style="1232" customWidth="1"/>
    <col min="10" max="13" width="8.25" style="1233"/>
    <col min="14" max="14" width="10" style="1233" customWidth="1"/>
    <col min="15" max="16" width="8.25" style="1233"/>
    <col min="17" max="17" width="34.125" style="1233" customWidth="1"/>
    <col min="18" max="18" width="8.25" style="1233" customWidth="1"/>
    <col min="19" max="19" width="8.25" style="1233"/>
    <col min="20" max="20" width="11.625" style="1233" customWidth="1"/>
    <col min="21" max="16384" width="8.25" style="1233"/>
  </cols>
  <sheetData>
    <row r="1" spans="1:13" ht="19.5" customHeight="1">
      <c r="A1" s="1269" t="s">
        <v>217</v>
      </c>
      <c r="B1" s="1263" t="s">
        <v>240</v>
      </c>
      <c r="C1" s="1263" t="s">
        <v>253</v>
      </c>
      <c r="D1" s="1263" t="s">
        <v>265</v>
      </c>
      <c r="E1" s="1263" t="s">
        <v>275</v>
      </c>
      <c r="F1" s="1263" t="s">
        <v>284</v>
      </c>
      <c r="G1" s="1263" t="s">
        <v>292</v>
      </c>
      <c r="H1" s="1263" t="s">
        <v>297</v>
      </c>
      <c r="I1" s="1263" t="s">
        <v>302</v>
      </c>
      <c r="J1" s="1263" t="s">
        <v>305</v>
      </c>
      <c r="K1" s="1263" t="s">
        <v>308</v>
      </c>
      <c r="L1" s="1263" t="s">
        <v>311</v>
      </c>
      <c r="M1" s="1265" t="s">
        <v>314</v>
      </c>
    </row>
    <row r="2" spans="1:13" ht="19.5" customHeight="1">
      <c r="A2" s="1270" t="s">
        <v>369</v>
      </c>
      <c r="B2" s="1271">
        <v>3.5</v>
      </c>
      <c r="C2" s="1271">
        <v>3.5</v>
      </c>
      <c r="D2" s="1272">
        <v>2.5</v>
      </c>
      <c r="E2" s="1272">
        <v>2.5</v>
      </c>
      <c r="F2" s="1272">
        <v>2.5</v>
      </c>
      <c r="G2" s="1272">
        <v>2.5</v>
      </c>
      <c r="H2" s="1272">
        <v>2.5</v>
      </c>
      <c r="I2" s="1271">
        <v>2</v>
      </c>
      <c r="J2" s="1271">
        <v>2</v>
      </c>
      <c r="K2" s="1271">
        <v>2</v>
      </c>
      <c r="L2" s="1271">
        <v>2</v>
      </c>
      <c r="M2" s="1305">
        <v>2</v>
      </c>
    </row>
    <row r="3" spans="1:13" ht="19.5" customHeight="1">
      <c r="A3" s="1273" t="s">
        <v>370</v>
      </c>
      <c r="B3" s="1274">
        <v>3.5</v>
      </c>
      <c r="C3" s="1274">
        <v>3.5</v>
      </c>
      <c r="D3" s="1275">
        <v>2.5</v>
      </c>
      <c r="E3" s="1275">
        <v>2.5</v>
      </c>
      <c r="F3" s="1275">
        <v>2.5</v>
      </c>
      <c r="G3" s="1275">
        <v>2.5</v>
      </c>
      <c r="H3" s="1275">
        <v>2.5</v>
      </c>
      <c r="I3" s="1274">
        <v>2</v>
      </c>
      <c r="J3" s="1274">
        <v>2</v>
      </c>
      <c r="K3" s="1274">
        <v>2</v>
      </c>
      <c r="L3" s="1274">
        <v>2</v>
      </c>
      <c r="M3" s="1306">
        <v>2</v>
      </c>
    </row>
    <row r="4" spans="1:13" ht="19.5" customHeight="1">
      <c r="A4" s="1273" t="s">
        <v>368</v>
      </c>
      <c r="B4" s="1275">
        <v>2.5</v>
      </c>
      <c r="C4" s="1275">
        <v>2.5</v>
      </c>
      <c r="D4" s="1275">
        <v>2.5</v>
      </c>
      <c r="E4" s="1275">
        <v>2.5</v>
      </c>
      <c r="F4" s="1275">
        <v>2.5</v>
      </c>
      <c r="G4" s="1275">
        <v>2.5</v>
      </c>
      <c r="H4" s="1275">
        <v>2.5</v>
      </c>
      <c r="I4" s="1274">
        <v>1.5</v>
      </c>
      <c r="J4" s="1274">
        <v>1.5</v>
      </c>
      <c r="K4" s="1274">
        <v>1.5</v>
      </c>
      <c r="L4" s="1274">
        <v>1.5</v>
      </c>
      <c r="M4" s="1306">
        <v>1.5</v>
      </c>
    </row>
    <row r="5" spans="1:13" ht="19.5" customHeight="1">
      <c r="A5" s="1276" t="s">
        <v>164</v>
      </c>
      <c r="B5" s="1277">
        <v>1.5</v>
      </c>
      <c r="C5" s="1277">
        <v>1.5</v>
      </c>
      <c r="D5" s="1277">
        <v>1.5</v>
      </c>
      <c r="E5" s="1277">
        <v>1.5</v>
      </c>
      <c r="F5" s="1277">
        <v>1.5</v>
      </c>
      <c r="G5" s="1278">
        <v>1.2</v>
      </c>
      <c r="H5" s="1278">
        <v>1.2</v>
      </c>
      <c r="I5" s="1278">
        <v>1</v>
      </c>
      <c r="J5" s="1278">
        <v>1</v>
      </c>
      <c r="K5" s="1278">
        <v>1</v>
      </c>
      <c r="L5" s="1278">
        <v>1</v>
      </c>
      <c r="M5" s="1307">
        <v>1</v>
      </c>
    </row>
    <row r="6" spans="1:13" ht="19.5" customHeight="1">
      <c r="A6" s="1279" t="s">
        <v>1296</v>
      </c>
      <c r="B6" s="1280">
        <v>80</v>
      </c>
      <c r="C6" s="1280">
        <v>80</v>
      </c>
      <c r="D6" s="1280">
        <v>65</v>
      </c>
      <c r="E6" s="1280">
        <v>65</v>
      </c>
      <c r="F6" s="1280">
        <v>65</v>
      </c>
      <c r="G6" s="1280">
        <v>65</v>
      </c>
      <c r="H6" s="1280">
        <v>65</v>
      </c>
      <c r="I6" s="1280">
        <v>50</v>
      </c>
      <c r="J6" s="1280">
        <v>50</v>
      </c>
      <c r="K6" s="1280">
        <v>50</v>
      </c>
      <c r="L6" s="1280">
        <v>50</v>
      </c>
      <c r="M6" s="1308">
        <v>50</v>
      </c>
    </row>
    <row r="7" spans="1:13" ht="19.5" customHeight="1">
      <c r="A7" s="1281" t="s">
        <v>1297</v>
      </c>
      <c r="B7" s="1282">
        <v>70</v>
      </c>
      <c r="C7" s="1282">
        <v>70</v>
      </c>
      <c r="D7" s="1282">
        <v>55</v>
      </c>
      <c r="E7" s="1282">
        <v>55</v>
      </c>
      <c r="F7" s="1282">
        <v>55</v>
      </c>
      <c r="G7" s="1282">
        <v>55</v>
      </c>
      <c r="H7" s="1282">
        <v>55</v>
      </c>
      <c r="I7" s="1282">
        <v>40</v>
      </c>
      <c r="J7" s="1282">
        <v>40</v>
      </c>
      <c r="K7" s="1282">
        <v>40</v>
      </c>
      <c r="L7" s="1282">
        <v>40</v>
      </c>
      <c r="M7" s="1309">
        <v>40</v>
      </c>
    </row>
    <row r="8" spans="1:13" ht="19.5" customHeight="1">
      <c r="A8" s="1281" t="s">
        <v>1298</v>
      </c>
      <c r="B8" s="1282">
        <v>20</v>
      </c>
      <c r="C8" s="1282">
        <v>20</v>
      </c>
      <c r="D8" s="1282">
        <v>15</v>
      </c>
      <c r="E8" s="1282">
        <v>15</v>
      </c>
      <c r="F8" s="1282">
        <v>15</v>
      </c>
      <c r="G8" s="1282">
        <v>15</v>
      </c>
      <c r="H8" s="1282">
        <v>15</v>
      </c>
      <c r="I8" s="1282">
        <v>10</v>
      </c>
      <c r="J8" s="1282">
        <v>10</v>
      </c>
      <c r="K8" s="1282">
        <v>10</v>
      </c>
      <c r="L8" s="1282">
        <v>10</v>
      </c>
      <c r="M8" s="1309">
        <v>10</v>
      </c>
    </row>
    <row r="9" spans="1:13" ht="19.5" customHeight="1">
      <c r="A9" s="1281" t="s">
        <v>1299</v>
      </c>
      <c r="B9" s="1282">
        <v>30</v>
      </c>
      <c r="C9" s="1282">
        <v>30</v>
      </c>
      <c r="D9" s="1282">
        <v>25</v>
      </c>
      <c r="E9" s="1282">
        <v>25</v>
      </c>
      <c r="F9" s="1282">
        <v>25</v>
      </c>
      <c r="G9" s="1282">
        <v>25</v>
      </c>
      <c r="H9" s="1282">
        <v>25</v>
      </c>
      <c r="I9" s="1282">
        <v>20</v>
      </c>
      <c r="J9" s="1282">
        <v>20</v>
      </c>
      <c r="K9" s="1282">
        <v>20</v>
      </c>
      <c r="L9" s="1282">
        <v>20</v>
      </c>
      <c r="M9" s="1309">
        <v>20</v>
      </c>
    </row>
    <row r="10" spans="1:13" ht="19.5" customHeight="1">
      <c r="A10" s="1281" t="s">
        <v>1300</v>
      </c>
      <c r="B10" s="1282">
        <v>45</v>
      </c>
      <c r="C10" s="1282">
        <v>45</v>
      </c>
      <c r="D10" s="1282">
        <v>35</v>
      </c>
      <c r="E10" s="1282">
        <v>35</v>
      </c>
      <c r="F10" s="1282">
        <v>35</v>
      </c>
      <c r="G10" s="1282">
        <v>35</v>
      </c>
      <c r="H10" s="1282">
        <v>35</v>
      </c>
      <c r="I10" s="1282">
        <v>25</v>
      </c>
      <c r="J10" s="1282">
        <v>25</v>
      </c>
      <c r="K10" s="1282">
        <v>25</v>
      </c>
      <c r="L10" s="1282">
        <v>25</v>
      </c>
      <c r="M10" s="1309">
        <v>25</v>
      </c>
    </row>
    <row r="11" spans="1:13" ht="19.5" customHeight="1">
      <c r="A11" s="1281" t="s">
        <v>1301</v>
      </c>
      <c r="B11" s="1282">
        <v>60</v>
      </c>
      <c r="C11" s="1282">
        <v>60</v>
      </c>
      <c r="D11" s="1282">
        <v>50</v>
      </c>
      <c r="E11" s="1282">
        <v>50</v>
      </c>
      <c r="F11" s="1282">
        <v>50</v>
      </c>
      <c r="G11" s="1282">
        <v>50</v>
      </c>
      <c r="H11" s="1282">
        <v>50</v>
      </c>
      <c r="I11" s="1282">
        <v>40</v>
      </c>
      <c r="J11" s="1282">
        <v>40</v>
      </c>
      <c r="K11" s="1282">
        <v>40</v>
      </c>
      <c r="L11" s="1282">
        <v>40</v>
      </c>
      <c r="M11" s="1309">
        <v>40</v>
      </c>
    </row>
    <row r="12" spans="1:13" ht="19.5" customHeight="1">
      <c r="A12" s="1281" t="s">
        <v>1302</v>
      </c>
      <c r="B12" s="1282">
        <v>50</v>
      </c>
      <c r="C12" s="1282">
        <v>50</v>
      </c>
      <c r="D12" s="1282">
        <v>40</v>
      </c>
      <c r="E12" s="1282">
        <v>40</v>
      </c>
      <c r="F12" s="1282">
        <v>40</v>
      </c>
      <c r="G12" s="1282">
        <v>40</v>
      </c>
      <c r="H12" s="1282">
        <v>40</v>
      </c>
      <c r="I12" s="1282">
        <v>30</v>
      </c>
      <c r="J12" s="1282">
        <v>30</v>
      </c>
      <c r="K12" s="1282">
        <v>30</v>
      </c>
      <c r="L12" s="1282">
        <v>30</v>
      </c>
      <c r="M12" s="1309">
        <v>30</v>
      </c>
    </row>
    <row r="13" spans="1:13" ht="19.5" customHeight="1">
      <c r="A13" s="1283" t="s">
        <v>1303</v>
      </c>
      <c r="B13" s="1284">
        <v>20</v>
      </c>
      <c r="C13" s="1284">
        <v>20</v>
      </c>
      <c r="D13" s="1284">
        <v>15</v>
      </c>
      <c r="E13" s="1284">
        <v>15</v>
      </c>
      <c r="F13" s="1284">
        <v>15</v>
      </c>
      <c r="G13" s="1284">
        <v>15</v>
      </c>
      <c r="H13" s="1284">
        <v>15</v>
      </c>
      <c r="I13" s="1284">
        <v>10</v>
      </c>
      <c r="J13" s="1284">
        <v>10</v>
      </c>
      <c r="K13" s="1284">
        <v>10</v>
      </c>
      <c r="L13" s="1284">
        <v>10</v>
      </c>
      <c r="M13" s="1310">
        <v>10</v>
      </c>
    </row>
    <row r="14" spans="1:13" ht="19.5" customHeight="1">
      <c r="A14" s="1282" t="s">
        <v>138</v>
      </c>
      <c r="B14" s="1285">
        <v>0</v>
      </c>
      <c r="C14" s="1285">
        <v>0</v>
      </c>
      <c r="D14" s="1285">
        <v>0</v>
      </c>
      <c r="E14" s="1285">
        <v>0</v>
      </c>
      <c r="F14" s="1285">
        <v>0</v>
      </c>
      <c r="G14" s="1285">
        <v>0</v>
      </c>
      <c r="H14" s="1285">
        <v>0</v>
      </c>
      <c r="I14" s="1285">
        <v>0</v>
      </c>
      <c r="J14" s="1285">
        <v>0</v>
      </c>
      <c r="K14" s="1285">
        <v>0</v>
      </c>
      <c r="L14" s="1285">
        <v>0</v>
      </c>
      <c r="M14" s="1285">
        <v>0</v>
      </c>
    </row>
    <row r="15" spans="1:13" ht="19.5" customHeight="1">
      <c r="A15" s="1286" t="s">
        <v>1210</v>
      </c>
      <c r="B15" s="1287">
        <f>SUM(B6:B13)</f>
        <v>375</v>
      </c>
      <c r="C15" s="1287">
        <f t="shared" ref="C15:H15" si="0">SUM(C6:C13)</f>
        <v>375</v>
      </c>
      <c r="D15" s="1287">
        <f t="shared" si="0"/>
        <v>300</v>
      </c>
      <c r="E15" s="1287">
        <f t="shared" si="0"/>
        <v>300</v>
      </c>
      <c r="F15" s="1287">
        <f t="shared" si="0"/>
        <v>300</v>
      </c>
      <c r="G15" s="1287">
        <f t="shared" si="0"/>
        <v>300</v>
      </c>
      <c r="H15" s="1287">
        <f t="shared" si="0"/>
        <v>300</v>
      </c>
      <c r="I15" s="1287">
        <f>SUM(I6:I10,I13)</f>
        <v>155</v>
      </c>
      <c r="J15" s="1287">
        <f t="shared" ref="J15:M15" si="1">SUM(J6:J10,J13)</f>
        <v>155</v>
      </c>
      <c r="K15" s="1287">
        <f t="shared" si="1"/>
        <v>155</v>
      </c>
      <c r="L15" s="1287">
        <f t="shared" si="1"/>
        <v>155</v>
      </c>
      <c r="M15" s="1287">
        <f t="shared" si="1"/>
        <v>155</v>
      </c>
    </row>
    <row r="16" spans="1:13" ht="19.5" customHeight="1">
      <c r="A16" s="1288" t="s">
        <v>1304</v>
      </c>
      <c r="B16" s="1288"/>
      <c r="C16" s="1289"/>
      <c r="D16" s="1289"/>
      <c r="E16" s="1288"/>
      <c r="F16" s="1289"/>
      <c r="G16" s="1289"/>
    </row>
    <row r="17" spans="1:9" ht="19.5" customHeight="1">
      <c r="A17" s="1282" t="s">
        <v>345</v>
      </c>
      <c r="B17" s="1290" t="s">
        <v>1305</v>
      </c>
      <c r="C17" s="1290" t="s">
        <v>1306</v>
      </c>
      <c r="D17" s="1291"/>
      <c r="E17" s="1282" t="s">
        <v>1307</v>
      </c>
      <c r="F17" s="1292"/>
      <c r="G17" s="1292"/>
    </row>
    <row r="18" spans="1:9" s="1268" customFormat="1" ht="19.5" customHeight="1">
      <c r="A18" s="3806" t="s">
        <v>369</v>
      </c>
      <c r="B18" s="1293" t="s">
        <v>1308</v>
      </c>
      <c r="C18" s="1294" t="s">
        <v>1309</v>
      </c>
      <c r="D18" s="1295"/>
      <c r="E18" s="1293">
        <v>1</v>
      </c>
      <c r="F18" s="1296" t="s">
        <v>1310</v>
      </c>
      <c r="G18" s="1297"/>
      <c r="H18" s="1232"/>
      <c r="I18" s="1232"/>
    </row>
    <row r="19" spans="1:9" s="1268" customFormat="1" ht="19.5" customHeight="1">
      <c r="A19" s="3806"/>
      <c r="B19" s="3806" t="s">
        <v>1311</v>
      </c>
      <c r="C19" s="1294" t="s">
        <v>1312</v>
      </c>
      <c r="D19" s="1295"/>
      <c r="E19" s="1293">
        <v>0.9</v>
      </c>
      <c r="F19" s="1296" t="s">
        <v>1313</v>
      </c>
      <c r="G19" s="1297"/>
      <c r="H19" s="1232"/>
      <c r="I19" s="1232"/>
    </row>
    <row r="20" spans="1:9" s="1268" customFormat="1" ht="19.5" customHeight="1">
      <c r="A20" s="3806"/>
      <c r="B20" s="3806"/>
      <c r="C20" s="1294" t="s">
        <v>1314</v>
      </c>
      <c r="D20" s="1295"/>
      <c r="E20" s="1293">
        <v>1.1000000000000001</v>
      </c>
      <c r="F20" s="1296" t="s">
        <v>1315</v>
      </c>
      <c r="G20" s="1297"/>
      <c r="H20" s="1232"/>
      <c r="I20" s="1232"/>
    </row>
    <row r="21" spans="1:9" s="1268" customFormat="1" ht="19.5" customHeight="1">
      <c r="A21" s="3806"/>
      <c r="B21" s="3806"/>
      <c r="C21" s="1294" t="s">
        <v>1316</v>
      </c>
      <c r="D21" s="1295"/>
      <c r="E21" s="1293">
        <v>0.8</v>
      </c>
      <c r="F21" s="1296" t="s">
        <v>1317</v>
      </c>
      <c r="G21" s="1297"/>
      <c r="H21" s="1232"/>
      <c r="I21" s="1232"/>
    </row>
    <row r="22" spans="1:9" s="1268" customFormat="1" ht="19.5" customHeight="1">
      <c r="A22" s="3806"/>
      <c r="B22" s="3806"/>
      <c r="C22" s="1294" t="s">
        <v>1318</v>
      </c>
      <c r="D22" s="1295"/>
      <c r="E22" s="1293">
        <v>0.5</v>
      </c>
      <c r="F22" s="1296"/>
      <c r="G22" s="1297"/>
      <c r="H22" s="1232"/>
      <c r="I22" s="1232"/>
    </row>
    <row r="23" spans="1:9" s="1268" customFormat="1" ht="19.5" customHeight="1">
      <c r="A23" s="3806" t="s">
        <v>370</v>
      </c>
      <c r="B23" s="1293" t="s">
        <v>1308</v>
      </c>
      <c r="C23" s="1294" t="s">
        <v>1319</v>
      </c>
      <c r="D23" s="1295"/>
      <c r="E23" s="1293">
        <v>1</v>
      </c>
      <c r="F23" s="1296" t="s">
        <v>1320</v>
      </c>
      <c r="G23" s="1297"/>
      <c r="H23" s="1232"/>
      <c r="I23" s="1232"/>
    </row>
    <row r="24" spans="1:9" s="1268" customFormat="1" ht="19.5" customHeight="1">
      <c r="A24" s="3806"/>
      <c r="B24" s="3806" t="s">
        <v>1311</v>
      </c>
      <c r="C24" s="1294" t="s">
        <v>1321</v>
      </c>
      <c r="D24" s="1295"/>
      <c r="E24" s="1293">
        <v>0.5</v>
      </c>
      <c r="F24" s="1296"/>
      <c r="G24" s="1297"/>
      <c r="H24" s="1232"/>
      <c r="I24" s="1232"/>
    </row>
    <row r="25" spans="1:9" s="1268" customFormat="1" ht="19.5" customHeight="1">
      <c r="A25" s="3806"/>
      <c r="B25" s="3806"/>
      <c r="C25" s="1294" t="s">
        <v>1322</v>
      </c>
      <c r="D25" s="1295"/>
      <c r="E25" s="1293">
        <v>1.1000000000000001</v>
      </c>
      <c r="F25" s="1296"/>
      <c r="G25" s="1297"/>
      <c r="H25" s="1232"/>
      <c r="I25" s="1232"/>
    </row>
    <row r="26" spans="1:9" s="1268" customFormat="1" ht="19.5" customHeight="1">
      <c r="A26" s="3806"/>
      <c r="B26" s="3806"/>
      <c r="C26" s="1294" t="s">
        <v>1323</v>
      </c>
      <c r="D26" s="1295"/>
      <c r="E26" s="1293">
        <v>1.1000000000000001</v>
      </c>
      <c r="F26" s="1296"/>
      <c r="G26" s="1297"/>
      <c r="H26" s="1232"/>
      <c r="I26" s="1232"/>
    </row>
    <row r="27" spans="1:9" s="1268" customFormat="1" ht="19.5" customHeight="1">
      <c r="A27" s="3806"/>
      <c r="B27" s="3806"/>
      <c r="C27" s="1294" t="s">
        <v>1324</v>
      </c>
      <c r="D27" s="1295"/>
      <c r="E27" s="1293">
        <v>0.9</v>
      </c>
      <c r="F27" s="1296" t="s">
        <v>1325</v>
      </c>
      <c r="G27" s="1297"/>
      <c r="H27" s="1232"/>
      <c r="I27" s="1232"/>
    </row>
    <row r="28" spans="1:9" s="1268" customFormat="1" ht="19.5" customHeight="1">
      <c r="A28" s="3806"/>
      <c r="B28" s="3806"/>
      <c r="C28" s="1294" t="s">
        <v>1326</v>
      </c>
      <c r="D28" s="1295"/>
      <c r="E28" s="1293">
        <v>0.9</v>
      </c>
      <c r="F28" s="1296" t="s">
        <v>1327</v>
      </c>
      <c r="G28" s="1297"/>
      <c r="H28" s="1232"/>
      <c r="I28" s="1232"/>
    </row>
    <row r="29" spans="1:9" s="1268" customFormat="1" ht="19.5" customHeight="1">
      <c r="A29" s="3806"/>
      <c r="B29" s="3806"/>
      <c r="C29" s="1294" t="s">
        <v>1328</v>
      </c>
      <c r="D29" s="1295"/>
      <c r="E29" s="1293">
        <v>0.9</v>
      </c>
      <c r="F29" s="1296" t="s">
        <v>1329</v>
      </c>
      <c r="G29" s="1297"/>
      <c r="H29" s="1232"/>
      <c r="I29" s="1232"/>
    </row>
    <row r="30" spans="1:9" s="1268" customFormat="1" ht="19.5" customHeight="1">
      <c r="A30" s="3806"/>
      <c r="B30" s="3806"/>
      <c r="C30" s="1294" t="s">
        <v>1330</v>
      </c>
      <c r="D30" s="1295"/>
      <c r="E30" s="1293">
        <v>0.9</v>
      </c>
      <c r="F30" s="1296" t="s">
        <v>1331</v>
      </c>
      <c r="G30" s="1297"/>
      <c r="H30" s="1232"/>
      <c r="I30" s="1232"/>
    </row>
    <row r="31" spans="1:9" s="1268" customFormat="1" ht="19.5" customHeight="1">
      <c r="A31" s="3806"/>
      <c r="B31" s="3806"/>
      <c r="C31" s="1294" t="s">
        <v>1332</v>
      </c>
      <c r="D31" s="1295"/>
      <c r="E31" s="1293">
        <v>0.8</v>
      </c>
      <c r="F31" s="1296" t="s">
        <v>1333</v>
      </c>
      <c r="G31" s="1297"/>
      <c r="H31" s="1232"/>
      <c r="I31" s="1232"/>
    </row>
    <row r="32" spans="1:9" s="1268" customFormat="1" ht="19.5" customHeight="1">
      <c r="A32" s="3806"/>
      <c r="B32" s="3806"/>
      <c r="C32" s="1294" t="s">
        <v>1334</v>
      </c>
      <c r="D32" s="1295"/>
      <c r="E32" s="1293">
        <v>0.8</v>
      </c>
      <c r="F32" s="1296" t="s">
        <v>1335</v>
      </c>
      <c r="G32" s="1297"/>
      <c r="H32" s="1232"/>
      <c r="I32" s="1232"/>
    </row>
    <row r="33" spans="1:9" s="1268" customFormat="1" ht="19.5" customHeight="1">
      <c r="A33" s="3806" t="s">
        <v>1336</v>
      </c>
      <c r="B33" s="1293" t="s">
        <v>1308</v>
      </c>
      <c r="C33" s="1294" t="s">
        <v>1144</v>
      </c>
      <c r="D33" s="1295"/>
      <c r="E33" s="1293">
        <v>1</v>
      </c>
      <c r="F33" s="1296" t="s">
        <v>1337</v>
      </c>
      <c r="G33" s="1297"/>
      <c r="H33" s="1232"/>
      <c r="I33" s="1232"/>
    </row>
    <row r="34" spans="1:9" s="1268" customFormat="1" ht="19.5" customHeight="1">
      <c r="A34" s="3806"/>
      <c r="B34" s="1293" t="s">
        <v>1311</v>
      </c>
      <c r="C34" s="1294" t="s">
        <v>1338</v>
      </c>
      <c r="D34" s="1295"/>
      <c r="E34" s="1293">
        <v>1.5</v>
      </c>
      <c r="F34" s="1296" t="s">
        <v>1339</v>
      </c>
      <c r="G34" s="1297"/>
      <c r="H34" s="1232"/>
      <c r="I34" s="1232"/>
    </row>
    <row r="35" spans="1:9" s="1268" customFormat="1" ht="19.5" customHeight="1">
      <c r="A35" s="3806" t="s">
        <v>164</v>
      </c>
      <c r="B35" s="1293" t="s">
        <v>1308</v>
      </c>
      <c r="C35" s="1294" t="s">
        <v>1340</v>
      </c>
      <c r="D35" s="1295"/>
      <c r="E35" s="1293">
        <v>1</v>
      </c>
      <c r="F35" s="1296" t="s">
        <v>1341</v>
      </c>
      <c r="G35" s="1297"/>
      <c r="H35" s="1232"/>
      <c r="I35" s="1232"/>
    </row>
    <row r="36" spans="1:9" s="1268" customFormat="1" ht="19.5" customHeight="1">
      <c r="A36" s="3806"/>
      <c r="B36" s="3806" t="s">
        <v>1311</v>
      </c>
      <c r="C36" s="1294" t="s">
        <v>1342</v>
      </c>
      <c r="D36" s="1295"/>
      <c r="E36" s="1293">
        <v>1</v>
      </c>
      <c r="F36" s="1296" t="s">
        <v>1343</v>
      </c>
      <c r="G36" s="1297"/>
      <c r="H36" s="1232"/>
      <c r="I36" s="1232"/>
    </row>
    <row r="37" spans="1:9" s="1268" customFormat="1" ht="19.5" customHeight="1">
      <c r="A37" s="3806"/>
      <c r="B37" s="3806"/>
      <c r="C37" s="1294" t="s">
        <v>1344</v>
      </c>
      <c r="D37" s="1295"/>
      <c r="E37" s="1293">
        <v>1.5</v>
      </c>
      <c r="F37" s="1296" t="s">
        <v>1345</v>
      </c>
      <c r="G37" s="1297"/>
      <c r="H37" s="1232"/>
      <c r="I37" s="1232"/>
    </row>
    <row r="38" spans="1:9" s="1268" customFormat="1" ht="19.5" customHeight="1">
      <c r="A38" s="3806"/>
      <c r="B38" s="3806"/>
      <c r="C38" s="1294" t="s">
        <v>1346</v>
      </c>
      <c r="D38" s="1295"/>
      <c r="E38" s="1293">
        <v>1</v>
      </c>
      <c r="F38" s="1296" t="s">
        <v>1347</v>
      </c>
      <c r="G38" s="1297"/>
      <c r="H38" s="1232"/>
      <c r="I38" s="1232"/>
    </row>
    <row r="39" spans="1:9" s="1268" customFormat="1" ht="19.5" customHeight="1">
      <c r="A39" s="3806"/>
      <c r="B39" s="3806"/>
      <c r="C39" s="1294" t="s">
        <v>1348</v>
      </c>
      <c r="D39" s="1295"/>
      <c r="E39" s="1293">
        <v>1</v>
      </c>
      <c r="F39" s="1296" t="s">
        <v>1349</v>
      </c>
      <c r="G39" s="1297"/>
      <c r="H39" s="1232"/>
      <c r="I39" s="1232"/>
    </row>
    <row r="40" spans="1:9" s="1268" customFormat="1" ht="19.5" customHeight="1">
      <c r="A40" s="1298" t="s">
        <v>1350</v>
      </c>
      <c r="B40" s="1298"/>
      <c r="C40" s="1298"/>
      <c r="D40" s="1298"/>
      <c r="E40" s="1298"/>
      <c r="F40" s="1296"/>
      <c r="G40" s="1296"/>
      <c r="H40" s="1232"/>
      <c r="I40" s="1232"/>
    </row>
    <row r="42" spans="1:9" ht="19.5" customHeight="1">
      <c r="A42" s="1299"/>
      <c r="B42" s="1282" t="s">
        <v>1351</v>
      </c>
      <c r="C42" s="1282" t="s">
        <v>1351</v>
      </c>
      <c r="D42" s="1282" t="s">
        <v>1351</v>
      </c>
      <c r="E42" s="1284" t="s">
        <v>1351</v>
      </c>
      <c r="F42" s="1284" t="s">
        <v>1351</v>
      </c>
      <c r="G42" s="1284" t="s">
        <v>1254</v>
      </c>
      <c r="H42" s="1284" t="s">
        <v>1351</v>
      </c>
    </row>
    <row r="43" spans="1:9" ht="19.5" customHeight="1">
      <c r="A43" s="1300"/>
      <c r="B43" s="1284" t="s">
        <v>369</v>
      </c>
      <c r="C43" s="1284" t="s">
        <v>369</v>
      </c>
      <c r="D43" s="1284" t="s">
        <v>369</v>
      </c>
      <c r="E43" s="1284" t="s">
        <v>369</v>
      </c>
      <c r="F43" s="1282" t="s">
        <v>370</v>
      </c>
      <c r="G43" s="1282" t="s">
        <v>164</v>
      </c>
      <c r="H43" s="1282" t="s">
        <v>371</v>
      </c>
    </row>
    <row r="44" spans="1:9" ht="19.5" customHeight="1">
      <c r="A44" s="1301"/>
      <c r="B44" s="1282">
        <v>1</v>
      </c>
      <c r="C44" s="1282">
        <v>2</v>
      </c>
      <c r="D44" s="1282">
        <v>3</v>
      </c>
      <c r="E44" s="1284">
        <v>4</v>
      </c>
      <c r="F44" s="1291" t="s">
        <v>1352</v>
      </c>
      <c r="G44" s="1291" t="s">
        <v>1352</v>
      </c>
      <c r="H44" s="1291" t="s">
        <v>1352</v>
      </c>
    </row>
    <row r="45" spans="1:9" ht="19.5" customHeight="1">
      <c r="A45" s="1302" t="s">
        <v>240</v>
      </c>
      <c r="B45" s="1282">
        <v>0.8</v>
      </c>
      <c r="C45" s="1282">
        <v>0.5</v>
      </c>
      <c r="D45" s="1282">
        <v>0.36</v>
      </c>
      <c r="E45" s="1282">
        <v>0.3</v>
      </c>
      <c r="F45" s="1291">
        <v>0.3</v>
      </c>
      <c r="G45" s="1282">
        <v>0.3</v>
      </c>
      <c r="H45" s="1282">
        <v>0.25</v>
      </c>
    </row>
    <row r="46" spans="1:9" ht="19.5" customHeight="1">
      <c r="A46" s="1302" t="s">
        <v>253</v>
      </c>
      <c r="B46" s="1282">
        <v>0.8</v>
      </c>
      <c r="C46" s="1282">
        <v>0.5</v>
      </c>
      <c r="D46" s="1282">
        <v>0.36</v>
      </c>
      <c r="E46" s="1282">
        <v>0.3</v>
      </c>
      <c r="F46" s="1282">
        <v>0.3</v>
      </c>
      <c r="G46" s="1282">
        <v>0.3</v>
      </c>
      <c r="H46" s="1282">
        <v>0.25</v>
      </c>
    </row>
    <row r="47" spans="1:9" ht="19.5" customHeight="1">
      <c r="A47" s="1302" t="s">
        <v>265</v>
      </c>
      <c r="B47" s="1282">
        <v>0.7</v>
      </c>
      <c r="C47" s="1282">
        <v>0.4</v>
      </c>
      <c r="D47" s="1282">
        <v>0.28000000000000003</v>
      </c>
      <c r="E47" s="1282">
        <v>0.25</v>
      </c>
      <c r="F47" s="1282">
        <v>0.25</v>
      </c>
      <c r="G47" s="1282">
        <v>0.25</v>
      </c>
      <c r="H47" s="1282">
        <v>0.2</v>
      </c>
    </row>
    <row r="48" spans="1:9" ht="19.5" customHeight="1">
      <c r="A48" s="1302" t="s">
        <v>275</v>
      </c>
      <c r="B48" s="1282">
        <v>0.7</v>
      </c>
      <c r="C48" s="1282">
        <v>0.4</v>
      </c>
      <c r="D48" s="1282">
        <v>0.28000000000000003</v>
      </c>
      <c r="E48" s="1282">
        <v>0.25</v>
      </c>
      <c r="F48" s="1282">
        <v>0.25</v>
      </c>
      <c r="G48" s="1282">
        <v>0.25</v>
      </c>
      <c r="H48" s="1282">
        <v>0.2</v>
      </c>
    </row>
    <row r="49" spans="1:8" s="1232" customFormat="1" ht="19.5" customHeight="1">
      <c r="A49" s="1302" t="s">
        <v>284</v>
      </c>
      <c r="B49" s="1282">
        <v>0.7</v>
      </c>
      <c r="C49" s="1282">
        <v>0.4</v>
      </c>
      <c r="D49" s="1282">
        <v>0.28000000000000003</v>
      </c>
      <c r="E49" s="1282">
        <v>0.25</v>
      </c>
      <c r="F49" s="1282">
        <v>0.25</v>
      </c>
      <c r="G49" s="1282">
        <v>0.25</v>
      </c>
      <c r="H49" s="1282">
        <v>0.2</v>
      </c>
    </row>
    <row r="50" spans="1:8" s="1232" customFormat="1" ht="19.5" customHeight="1">
      <c r="A50" s="1302" t="s">
        <v>292</v>
      </c>
      <c r="B50" s="1282">
        <v>0.7</v>
      </c>
      <c r="C50" s="1282">
        <v>0.4</v>
      </c>
      <c r="D50" s="1282">
        <v>0.28000000000000003</v>
      </c>
      <c r="E50" s="1282">
        <v>0.25</v>
      </c>
      <c r="F50" s="1282">
        <v>0.25</v>
      </c>
      <c r="G50" s="1282">
        <v>0.25</v>
      </c>
      <c r="H50" s="1282">
        <v>0.2</v>
      </c>
    </row>
    <row r="51" spans="1:8" s="1232" customFormat="1" ht="19.5" customHeight="1">
      <c r="A51" s="1302" t="s">
        <v>297</v>
      </c>
      <c r="B51" s="1282">
        <v>0.7</v>
      </c>
      <c r="C51" s="1282">
        <v>0.4</v>
      </c>
      <c r="D51" s="1282">
        <v>0.28000000000000003</v>
      </c>
      <c r="E51" s="1282">
        <v>0.25</v>
      </c>
      <c r="F51" s="1282">
        <v>0.25</v>
      </c>
      <c r="G51" s="1282">
        <v>0.25</v>
      </c>
      <c r="H51" s="1282">
        <v>0.2</v>
      </c>
    </row>
    <row r="52" spans="1:8" s="1232" customFormat="1" ht="19.5" customHeight="1">
      <c r="A52" s="1302" t="s">
        <v>302</v>
      </c>
      <c r="B52" s="1282">
        <v>0.6</v>
      </c>
      <c r="C52" s="1282">
        <v>0.3</v>
      </c>
      <c r="D52" s="1282">
        <v>0.2</v>
      </c>
      <c r="E52" s="1282">
        <v>0.2</v>
      </c>
      <c r="F52" s="1282">
        <v>0.2</v>
      </c>
      <c r="G52" s="1282">
        <v>0.2</v>
      </c>
      <c r="H52" s="1282">
        <v>0.15</v>
      </c>
    </row>
    <row r="53" spans="1:8" s="1232" customFormat="1" ht="19.5" customHeight="1">
      <c r="A53" s="1302" t="s">
        <v>305</v>
      </c>
      <c r="B53" s="1282">
        <v>0.6</v>
      </c>
      <c r="C53" s="1282">
        <v>0.3</v>
      </c>
      <c r="D53" s="1282">
        <v>0.2</v>
      </c>
      <c r="E53" s="1282">
        <v>0.2</v>
      </c>
      <c r="F53" s="1282">
        <v>0.2</v>
      </c>
      <c r="G53" s="1282">
        <v>0.2</v>
      </c>
      <c r="H53" s="1282">
        <v>0.15</v>
      </c>
    </row>
    <row r="54" spans="1:8" s="1232" customFormat="1" ht="19.5" customHeight="1">
      <c r="A54" s="1302" t="s">
        <v>308</v>
      </c>
      <c r="B54" s="1282">
        <v>0.6</v>
      </c>
      <c r="C54" s="1282">
        <v>0.3</v>
      </c>
      <c r="D54" s="1282">
        <v>0.2</v>
      </c>
      <c r="E54" s="1282">
        <v>0.2</v>
      </c>
      <c r="F54" s="1282">
        <v>0.2</v>
      </c>
      <c r="G54" s="1282">
        <v>0.2</v>
      </c>
      <c r="H54" s="1282">
        <v>0.15</v>
      </c>
    </row>
    <row r="55" spans="1:8" s="1232" customFormat="1" ht="19.5" customHeight="1">
      <c r="A55" s="1302" t="s">
        <v>311</v>
      </c>
      <c r="B55" s="1282">
        <v>0.6</v>
      </c>
      <c r="C55" s="1282">
        <v>0.3</v>
      </c>
      <c r="D55" s="1282">
        <v>0.2</v>
      </c>
      <c r="E55" s="1282">
        <v>0.2</v>
      </c>
      <c r="F55" s="1282">
        <v>0.2</v>
      </c>
      <c r="G55" s="1282">
        <v>0.2</v>
      </c>
      <c r="H55" s="1282">
        <v>0.15</v>
      </c>
    </row>
    <row r="56" spans="1:8" s="1232" customFormat="1" ht="19.5" customHeight="1">
      <c r="A56" s="1302" t="s">
        <v>314</v>
      </c>
      <c r="B56" s="1282">
        <v>0.6</v>
      </c>
      <c r="C56" s="1282">
        <v>0.3</v>
      </c>
      <c r="D56" s="1282">
        <v>0.2</v>
      </c>
      <c r="E56" s="1282">
        <v>0.2</v>
      </c>
      <c r="F56" s="1282">
        <v>0.2</v>
      </c>
      <c r="G56" s="1282">
        <v>0.2</v>
      </c>
      <c r="H56" s="1282">
        <v>0.15</v>
      </c>
    </row>
    <row r="58" spans="1:8" s="1232" customFormat="1" ht="19.5" customHeight="1">
      <c r="A58" s="1303"/>
      <c r="B58" s="1288"/>
      <c r="C58" s="1288"/>
      <c r="D58" s="1288" t="s">
        <v>1353</v>
      </c>
      <c r="E58" s="1288"/>
      <c r="F58" s="1288"/>
    </row>
    <row r="59" spans="1:8" s="1232" customFormat="1" ht="19.5" customHeight="1">
      <c r="A59" s="1293" t="s">
        <v>1354</v>
      </c>
      <c r="B59" s="1293" t="s">
        <v>1355</v>
      </c>
      <c r="C59" s="1293" t="s">
        <v>1356</v>
      </c>
      <c r="D59" s="1293" t="s">
        <v>1357</v>
      </c>
      <c r="E59" s="1293" t="s">
        <v>1179</v>
      </c>
      <c r="F59" s="1293" t="s">
        <v>1358</v>
      </c>
    </row>
    <row r="60" spans="1:8" s="1232" customFormat="1" ht="19.5" customHeight="1">
      <c r="A60" s="1293"/>
      <c r="B60" s="1293"/>
      <c r="C60" s="1293" t="s">
        <v>1162</v>
      </c>
      <c r="D60" s="1293"/>
      <c r="E60" s="1304" t="s">
        <v>138</v>
      </c>
      <c r="F60" s="1293" t="s">
        <v>138</v>
      </c>
    </row>
    <row r="61" spans="1:8" s="1232" customFormat="1" ht="24">
      <c r="A61" s="1293">
        <v>1</v>
      </c>
      <c r="B61" s="3806" t="s">
        <v>1359</v>
      </c>
      <c r="C61" s="1282" t="s">
        <v>1360</v>
      </c>
      <c r="D61" s="1282" t="s">
        <v>1361</v>
      </c>
      <c r="E61" s="1304">
        <v>0.5</v>
      </c>
      <c r="F61" s="1293">
        <v>80</v>
      </c>
      <c r="H61" s="1232">
        <f>SUMIF(C59:C119,基准地价!C8,E59:E119)</f>
        <v>0</v>
      </c>
    </row>
    <row r="62" spans="1:8" s="1232" customFormat="1" ht="24">
      <c r="A62" s="1293">
        <v>2</v>
      </c>
      <c r="B62" s="3806"/>
      <c r="C62" s="1282" t="s">
        <v>1362</v>
      </c>
      <c r="D62" s="1282" t="s">
        <v>1363</v>
      </c>
      <c r="E62" s="1304">
        <v>0.5</v>
      </c>
      <c r="F62" s="1293">
        <v>80</v>
      </c>
    </row>
    <row r="63" spans="1:8" s="1232" customFormat="1" ht="36">
      <c r="A63" s="1293">
        <v>3</v>
      </c>
      <c r="B63" s="3806"/>
      <c r="C63" s="1282" t="s">
        <v>1364</v>
      </c>
      <c r="D63" s="1282" t="s">
        <v>1365</v>
      </c>
      <c r="E63" s="1304">
        <v>0.5</v>
      </c>
      <c r="F63" s="1293">
        <v>80</v>
      </c>
    </row>
    <row r="64" spans="1:8" s="1232" customFormat="1" ht="36">
      <c r="A64" s="1293">
        <v>4</v>
      </c>
      <c r="B64" s="3806"/>
      <c r="C64" s="1282" t="s">
        <v>1366</v>
      </c>
      <c r="D64" s="1282" t="s">
        <v>1367</v>
      </c>
      <c r="E64" s="1304">
        <v>0.4</v>
      </c>
      <c r="F64" s="1293">
        <v>60</v>
      </c>
    </row>
    <row r="65" spans="1:6" s="1232" customFormat="1" ht="36">
      <c r="A65" s="1293">
        <v>5</v>
      </c>
      <c r="B65" s="3806"/>
      <c r="C65" s="1282" t="s">
        <v>1368</v>
      </c>
      <c r="D65" s="1282" t="s">
        <v>1369</v>
      </c>
      <c r="E65" s="1304">
        <v>0.2</v>
      </c>
      <c r="F65" s="1293">
        <v>30</v>
      </c>
    </row>
    <row r="66" spans="1:6" s="1232" customFormat="1" ht="36">
      <c r="A66" s="1293">
        <v>6</v>
      </c>
      <c r="B66" s="3806"/>
      <c r="C66" s="1282" t="s">
        <v>1370</v>
      </c>
      <c r="D66" s="1282" t="s">
        <v>1371</v>
      </c>
      <c r="E66" s="1304">
        <v>0.3</v>
      </c>
      <c r="F66" s="1293">
        <v>50</v>
      </c>
    </row>
    <row r="67" spans="1:6" s="1232" customFormat="1" ht="36">
      <c r="A67" s="1293">
        <v>7</v>
      </c>
      <c r="B67" s="3806"/>
      <c r="C67" s="1282" t="s">
        <v>1372</v>
      </c>
      <c r="D67" s="1282" t="s">
        <v>1373</v>
      </c>
      <c r="E67" s="1304">
        <v>0.2</v>
      </c>
      <c r="F67" s="1293">
        <v>30</v>
      </c>
    </row>
    <row r="68" spans="1:6" s="1232" customFormat="1" ht="36">
      <c r="A68" s="1293">
        <v>8</v>
      </c>
      <c r="B68" s="3806"/>
      <c r="C68" s="1282" t="s">
        <v>1374</v>
      </c>
      <c r="D68" s="1282" t="s">
        <v>1375</v>
      </c>
      <c r="E68" s="1304">
        <v>0.2</v>
      </c>
      <c r="F68" s="1293">
        <v>30</v>
      </c>
    </row>
    <row r="69" spans="1:6" s="1232" customFormat="1" ht="36">
      <c r="A69" s="1293">
        <v>9</v>
      </c>
      <c r="B69" s="3806"/>
      <c r="C69" s="1282" t="s">
        <v>1376</v>
      </c>
      <c r="D69" s="1282" t="s">
        <v>1377</v>
      </c>
      <c r="E69" s="1304">
        <v>0.2</v>
      </c>
      <c r="F69" s="1293">
        <v>30</v>
      </c>
    </row>
    <row r="70" spans="1:6" s="1232" customFormat="1" ht="48">
      <c r="A70" s="1293">
        <v>10</v>
      </c>
      <c r="B70" s="3806"/>
      <c r="C70" s="1282" t="s">
        <v>1378</v>
      </c>
      <c r="D70" s="1282" t="s">
        <v>1379</v>
      </c>
      <c r="E70" s="1304">
        <v>0.2</v>
      </c>
      <c r="F70" s="1293">
        <v>30</v>
      </c>
    </row>
    <row r="71" spans="1:6" s="1232" customFormat="1" ht="48">
      <c r="A71" s="1293">
        <v>11</v>
      </c>
      <c r="B71" s="3806"/>
      <c r="C71" s="1282" t="s">
        <v>1380</v>
      </c>
      <c r="D71" s="1282" t="s">
        <v>1381</v>
      </c>
      <c r="E71" s="1304">
        <v>0.2</v>
      </c>
      <c r="F71" s="1293">
        <v>30</v>
      </c>
    </row>
    <row r="72" spans="1:6" s="1232" customFormat="1" ht="36">
      <c r="A72" s="1293">
        <v>12</v>
      </c>
      <c r="B72" s="3806"/>
      <c r="C72" s="1282" t="s">
        <v>1382</v>
      </c>
      <c r="D72" s="1282" t="s">
        <v>1383</v>
      </c>
      <c r="E72" s="1304">
        <v>0.5</v>
      </c>
      <c r="F72" s="1293">
        <v>80</v>
      </c>
    </row>
    <row r="73" spans="1:6" s="1232" customFormat="1" ht="24">
      <c r="A73" s="1293">
        <v>13</v>
      </c>
      <c r="B73" s="3806"/>
      <c r="C73" s="1282" t="s">
        <v>1384</v>
      </c>
      <c r="D73" s="1282" t="s">
        <v>1385</v>
      </c>
      <c r="E73" s="1304">
        <v>0.4</v>
      </c>
      <c r="F73" s="1293">
        <v>60</v>
      </c>
    </row>
    <row r="74" spans="1:6" s="1232" customFormat="1" ht="24">
      <c r="A74" s="1293">
        <v>14</v>
      </c>
      <c r="B74" s="3806"/>
      <c r="C74" s="1282" t="s">
        <v>1386</v>
      </c>
      <c r="D74" s="1282" t="s">
        <v>1387</v>
      </c>
      <c r="E74" s="1304">
        <v>0.2</v>
      </c>
      <c r="F74" s="1293">
        <v>30</v>
      </c>
    </row>
    <row r="75" spans="1:6" s="1232" customFormat="1" ht="24">
      <c r="A75" s="1293">
        <v>15</v>
      </c>
      <c r="B75" s="3806"/>
      <c r="C75" s="1282" t="s">
        <v>1388</v>
      </c>
      <c r="D75" s="1282" t="s">
        <v>1389</v>
      </c>
      <c r="E75" s="1304">
        <v>0.2</v>
      </c>
      <c r="F75" s="1293">
        <v>30</v>
      </c>
    </row>
    <row r="76" spans="1:6" s="1232" customFormat="1" ht="24">
      <c r="A76" s="1293">
        <v>16</v>
      </c>
      <c r="B76" s="3806" t="s">
        <v>1390</v>
      </c>
      <c r="C76" s="1282" t="s">
        <v>1391</v>
      </c>
      <c r="D76" s="1282" t="s">
        <v>1392</v>
      </c>
      <c r="E76" s="1304">
        <v>0.5</v>
      </c>
      <c r="F76" s="1293">
        <v>80</v>
      </c>
    </row>
    <row r="77" spans="1:6" s="1232" customFormat="1" ht="24">
      <c r="A77" s="1293">
        <v>17</v>
      </c>
      <c r="B77" s="3806"/>
      <c r="C77" s="1282" t="s">
        <v>1393</v>
      </c>
      <c r="D77" s="1282" t="s">
        <v>1394</v>
      </c>
      <c r="E77" s="1304">
        <v>0.5</v>
      </c>
      <c r="F77" s="1293">
        <v>80</v>
      </c>
    </row>
    <row r="78" spans="1:6" s="1232" customFormat="1" ht="24">
      <c r="A78" s="1293">
        <v>18</v>
      </c>
      <c r="B78" s="3806"/>
      <c r="C78" s="1282" t="s">
        <v>1395</v>
      </c>
      <c r="D78" s="1282" t="s">
        <v>1396</v>
      </c>
      <c r="E78" s="1304">
        <v>0.2</v>
      </c>
      <c r="F78" s="1293">
        <v>30</v>
      </c>
    </row>
    <row r="79" spans="1:6" s="1232" customFormat="1" ht="24">
      <c r="A79" s="1293">
        <v>19</v>
      </c>
      <c r="B79" s="3806"/>
      <c r="C79" s="1282" t="s">
        <v>1397</v>
      </c>
      <c r="D79" s="1282" t="s">
        <v>1398</v>
      </c>
      <c r="E79" s="1304">
        <v>0.5</v>
      </c>
      <c r="F79" s="1293">
        <v>80</v>
      </c>
    </row>
    <row r="80" spans="1:6" s="1232" customFormat="1" ht="36">
      <c r="A80" s="1293">
        <v>20</v>
      </c>
      <c r="B80" s="3806"/>
      <c r="C80" s="1282" t="s">
        <v>1399</v>
      </c>
      <c r="D80" s="1282" t="s">
        <v>1400</v>
      </c>
      <c r="E80" s="1304">
        <v>0.2</v>
      </c>
      <c r="F80" s="1293">
        <v>30</v>
      </c>
    </row>
    <row r="81" spans="1:6" s="1232" customFormat="1" ht="36">
      <c r="A81" s="1293">
        <v>21</v>
      </c>
      <c r="B81" s="3806"/>
      <c r="C81" s="1282" t="s">
        <v>1401</v>
      </c>
      <c r="D81" s="1282" t="s">
        <v>1402</v>
      </c>
      <c r="E81" s="1304">
        <v>0.2</v>
      </c>
      <c r="F81" s="1293">
        <v>30</v>
      </c>
    </row>
    <row r="82" spans="1:6" s="1232" customFormat="1" ht="48">
      <c r="A82" s="1293">
        <v>22</v>
      </c>
      <c r="B82" s="3806"/>
      <c r="C82" s="1282" t="s">
        <v>1403</v>
      </c>
      <c r="D82" s="1282" t="s">
        <v>1404</v>
      </c>
      <c r="E82" s="1304">
        <v>0.2</v>
      </c>
      <c r="F82" s="1293">
        <v>30</v>
      </c>
    </row>
    <row r="83" spans="1:6" s="1232" customFormat="1" ht="48">
      <c r="A83" s="1293">
        <v>23</v>
      </c>
      <c r="B83" s="3806"/>
      <c r="C83" s="1282" t="s">
        <v>1405</v>
      </c>
      <c r="D83" s="1282" t="s">
        <v>1406</v>
      </c>
      <c r="E83" s="1304">
        <v>0.2</v>
      </c>
      <c r="F83" s="1293">
        <v>30</v>
      </c>
    </row>
    <row r="84" spans="1:6" s="1232" customFormat="1" ht="36">
      <c r="A84" s="1293">
        <v>24</v>
      </c>
      <c r="B84" s="3806"/>
      <c r="C84" s="1282" t="s">
        <v>1407</v>
      </c>
      <c r="D84" s="1282" t="s">
        <v>1408</v>
      </c>
      <c r="E84" s="1304">
        <v>0.2</v>
      </c>
      <c r="F84" s="1293">
        <v>30</v>
      </c>
    </row>
    <row r="85" spans="1:6" s="1232" customFormat="1" ht="36">
      <c r="A85" s="1293">
        <v>25</v>
      </c>
      <c r="B85" s="3806"/>
      <c r="C85" s="1282" t="s">
        <v>1409</v>
      </c>
      <c r="D85" s="1282" t="s">
        <v>1410</v>
      </c>
      <c r="E85" s="1304">
        <v>0.5</v>
      </c>
      <c r="F85" s="1293">
        <v>80</v>
      </c>
    </row>
    <row r="86" spans="1:6" s="1232" customFormat="1" ht="36">
      <c r="A86" s="1293">
        <v>26</v>
      </c>
      <c r="B86" s="3806"/>
      <c r="C86" s="1282" t="s">
        <v>1411</v>
      </c>
      <c r="D86" s="1282" t="s">
        <v>1412</v>
      </c>
      <c r="E86" s="1304">
        <v>0.2</v>
      </c>
      <c r="F86" s="1293">
        <v>30</v>
      </c>
    </row>
    <row r="87" spans="1:6" s="1232" customFormat="1" ht="36">
      <c r="A87" s="1293">
        <v>27</v>
      </c>
      <c r="B87" s="3806"/>
      <c r="C87" s="1282" t="s">
        <v>1413</v>
      </c>
      <c r="D87" s="1282" t="s">
        <v>1414</v>
      </c>
      <c r="E87" s="1304">
        <v>0.2</v>
      </c>
      <c r="F87" s="1293">
        <v>30</v>
      </c>
    </row>
    <row r="88" spans="1:6" s="1232" customFormat="1" ht="36">
      <c r="A88" s="1293">
        <v>28</v>
      </c>
      <c r="B88" s="3806"/>
      <c r="C88" s="1282" t="s">
        <v>1415</v>
      </c>
      <c r="D88" s="1282" t="s">
        <v>1416</v>
      </c>
      <c r="E88" s="1304">
        <v>0.2</v>
      </c>
      <c r="F88" s="1293">
        <v>30</v>
      </c>
    </row>
    <row r="89" spans="1:6" s="1232" customFormat="1" ht="24">
      <c r="A89" s="1293">
        <v>29</v>
      </c>
      <c r="B89" s="3806"/>
      <c r="C89" s="1282" t="s">
        <v>1417</v>
      </c>
      <c r="D89" s="1282" t="s">
        <v>1418</v>
      </c>
      <c r="E89" s="1304">
        <v>0.2</v>
      </c>
      <c r="F89" s="1293">
        <v>30</v>
      </c>
    </row>
    <row r="90" spans="1:6" s="1232" customFormat="1" ht="24">
      <c r="A90" s="1293">
        <v>30</v>
      </c>
      <c r="B90" s="3806"/>
      <c r="C90" s="1282" t="s">
        <v>1419</v>
      </c>
      <c r="D90" s="1282" t="s">
        <v>1420</v>
      </c>
      <c r="E90" s="1304">
        <v>0.2</v>
      </c>
      <c r="F90" s="1293">
        <v>30</v>
      </c>
    </row>
    <row r="91" spans="1:6" s="1232" customFormat="1" ht="36">
      <c r="A91" s="1293">
        <v>31</v>
      </c>
      <c r="B91" s="3806"/>
      <c r="C91" s="1282" t="s">
        <v>1421</v>
      </c>
      <c r="D91" s="1282" t="s">
        <v>1422</v>
      </c>
      <c r="E91" s="1304">
        <v>0.2</v>
      </c>
      <c r="F91" s="1293">
        <v>30</v>
      </c>
    </row>
    <row r="92" spans="1:6" s="1232" customFormat="1" ht="24">
      <c r="A92" s="1293">
        <v>32</v>
      </c>
      <c r="B92" s="3806" t="s">
        <v>1423</v>
      </c>
      <c r="C92" s="1293" t="s">
        <v>1424</v>
      </c>
      <c r="D92" s="1282" t="s">
        <v>1425</v>
      </c>
      <c r="E92" s="1304">
        <v>0.2</v>
      </c>
      <c r="F92" s="1293">
        <v>30</v>
      </c>
    </row>
    <row r="93" spans="1:6" s="1232" customFormat="1" ht="36">
      <c r="A93" s="1293">
        <v>33</v>
      </c>
      <c r="B93" s="3806"/>
      <c r="C93" s="1293" t="s">
        <v>1426</v>
      </c>
      <c r="D93" s="1282" t="s">
        <v>1427</v>
      </c>
      <c r="E93" s="1304">
        <v>0.2</v>
      </c>
      <c r="F93" s="1293">
        <v>30</v>
      </c>
    </row>
    <row r="94" spans="1:6" s="1232" customFormat="1" ht="48">
      <c r="A94" s="1293">
        <v>34</v>
      </c>
      <c r="B94" s="3806"/>
      <c r="C94" s="1293" t="s">
        <v>1428</v>
      </c>
      <c r="D94" s="1282" t="s">
        <v>1429</v>
      </c>
      <c r="E94" s="1304">
        <v>0.2</v>
      </c>
      <c r="F94" s="1293">
        <v>30</v>
      </c>
    </row>
    <row r="95" spans="1:6" s="1232" customFormat="1" ht="36">
      <c r="A95" s="1293">
        <v>35</v>
      </c>
      <c r="B95" s="3806"/>
      <c r="C95" s="1293" t="s">
        <v>1430</v>
      </c>
      <c r="D95" s="1282" t="s">
        <v>1431</v>
      </c>
      <c r="E95" s="1304">
        <v>0.2</v>
      </c>
      <c r="F95" s="1293">
        <v>30</v>
      </c>
    </row>
    <row r="96" spans="1:6" s="1232" customFormat="1" ht="48">
      <c r="A96" s="1293">
        <v>36</v>
      </c>
      <c r="B96" s="3806"/>
      <c r="C96" s="1282" t="s">
        <v>1432</v>
      </c>
      <c r="D96" s="1282" t="s">
        <v>1433</v>
      </c>
      <c r="E96" s="1304">
        <v>0.2</v>
      </c>
      <c r="F96" s="1293">
        <v>30</v>
      </c>
    </row>
    <row r="97" spans="1:6" s="1232" customFormat="1" ht="36">
      <c r="A97" s="1293">
        <v>37</v>
      </c>
      <c r="B97" s="3806"/>
      <c r="C97" s="1293" t="s">
        <v>1434</v>
      </c>
      <c r="D97" s="1282" t="s">
        <v>1435</v>
      </c>
      <c r="E97" s="1304">
        <v>0.2</v>
      </c>
      <c r="F97" s="1293">
        <v>30</v>
      </c>
    </row>
    <row r="98" spans="1:6" s="1232" customFormat="1" ht="36">
      <c r="A98" s="1293">
        <v>38</v>
      </c>
      <c r="B98" s="3806"/>
      <c r="C98" s="1293" t="s">
        <v>1436</v>
      </c>
      <c r="D98" s="1282" t="s">
        <v>1437</v>
      </c>
      <c r="E98" s="1304">
        <v>0.2</v>
      </c>
      <c r="F98" s="1293">
        <v>30</v>
      </c>
    </row>
    <row r="99" spans="1:6" s="1232" customFormat="1" ht="36">
      <c r="A99" s="1293">
        <v>39</v>
      </c>
      <c r="B99" s="3806" t="s">
        <v>1438</v>
      </c>
      <c r="C99" s="1293" t="s">
        <v>1439</v>
      </c>
      <c r="D99" s="1282" t="s">
        <v>1440</v>
      </c>
      <c r="E99" s="1304">
        <v>0.3</v>
      </c>
      <c r="F99" s="1293">
        <v>50</v>
      </c>
    </row>
    <row r="100" spans="1:6" s="1232" customFormat="1" ht="24">
      <c r="A100" s="1293">
        <v>40</v>
      </c>
      <c r="B100" s="3806"/>
      <c r="C100" s="1293" t="s">
        <v>1441</v>
      </c>
      <c r="D100" s="1282" t="s">
        <v>1442</v>
      </c>
      <c r="E100" s="1304">
        <v>0.2</v>
      </c>
      <c r="F100" s="1293">
        <v>30</v>
      </c>
    </row>
    <row r="101" spans="1:6" s="1232" customFormat="1" ht="36">
      <c r="A101" s="1293">
        <v>41</v>
      </c>
      <c r="B101" s="3806"/>
      <c r="C101" s="1293" t="s">
        <v>1443</v>
      </c>
      <c r="D101" s="1282" t="s">
        <v>1440</v>
      </c>
      <c r="E101" s="1304">
        <v>0.2</v>
      </c>
      <c r="F101" s="1293">
        <v>30</v>
      </c>
    </row>
    <row r="102" spans="1:6" s="1232" customFormat="1" ht="48">
      <c r="A102" s="1293">
        <v>42</v>
      </c>
      <c r="B102" s="1293" t="s">
        <v>1444</v>
      </c>
      <c r="C102" s="1282" t="s">
        <v>1445</v>
      </c>
      <c r="D102" s="1282" t="s">
        <v>1446</v>
      </c>
      <c r="E102" s="1304">
        <v>0.2</v>
      </c>
      <c r="F102" s="1293">
        <v>30</v>
      </c>
    </row>
    <row r="103" spans="1:6" s="1232" customFormat="1" ht="24">
      <c r="A103" s="1293">
        <v>43</v>
      </c>
      <c r="B103" s="1293" t="s">
        <v>1447</v>
      </c>
      <c r="C103" s="1293" t="s">
        <v>1448</v>
      </c>
      <c r="D103" s="1282" t="s">
        <v>1449</v>
      </c>
      <c r="E103" s="1304">
        <v>0.2</v>
      </c>
      <c r="F103" s="1293">
        <v>30</v>
      </c>
    </row>
    <row r="104" spans="1:6" s="1232" customFormat="1" ht="36">
      <c r="A104" s="1293">
        <v>44</v>
      </c>
      <c r="B104" s="1293" t="s">
        <v>1450</v>
      </c>
      <c r="C104" s="1293" t="s">
        <v>1451</v>
      </c>
      <c r="D104" s="1282" t="s">
        <v>1452</v>
      </c>
      <c r="E104" s="1304">
        <v>0.2</v>
      </c>
      <c r="F104" s="1293">
        <v>30</v>
      </c>
    </row>
    <row r="105" spans="1:6" s="1232" customFormat="1" ht="36">
      <c r="A105" s="1293">
        <v>45</v>
      </c>
      <c r="B105" s="3806" t="s">
        <v>1453</v>
      </c>
      <c r="C105" s="1293" t="s">
        <v>1454</v>
      </c>
      <c r="D105" s="1282" t="s">
        <v>1455</v>
      </c>
      <c r="E105" s="1304">
        <v>0.2</v>
      </c>
      <c r="F105" s="1293">
        <v>30</v>
      </c>
    </row>
    <row r="106" spans="1:6" s="1232" customFormat="1" ht="36">
      <c r="A106" s="1293">
        <v>46</v>
      </c>
      <c r="B106" s="3806"/>
      <c r="C106" s="1293" t="s">
        <v>1456</v>
      </c>
      <c r="D106" s="1282" t="s">
        <v>1457</v>
      </c>
      <c r="E106" s="1304">
        <v>0.2</v>
      </c>
      <c r="F106" s="1293">
        <v>30</v>
      </c>
    </row>
    <row r="107" spans="1:6" s="1232" customFormat="1" ht="36">
      <c r="A107" s="1293">
        <v>47</v>
      </c>
      <c r="B107" s="3806" t="s">
        <v>1458</v>
      </c>
      <c r="C107" s="1293" t="s">
        <v>1459</v>
      </c>
      <c r="D107" s="1282" t="s">
        <v>1460</v>
      </c>
      <c r="E107" s="1304">
        <v>0.3</v>
      </c>
      <c r="F107" s="1293">
        <v>50</v>
      </c>
    </row>
    <row r="108" spans="1:6" s="1232" customFormat="1" ht="36">
      <c r="A108" s="1293">
        <v>48</v>
      </c>
      <c r="B108" s="3806"/>
      <c r="C108" s="1293" t="s">
        <v>1461</v>
      </c>
      <c r="D108" s="1282" t="s">
        <v>1462</v>
      </c>
      <c r="E108" s="1304">
        <v>0.2</v>
      </c>
      <c r="F108" s="1293">
        <v>30</v>
      </c>
    </row>
    <row r="109" spans="1:6" s="1232" customFormat="1" ht="36">
      <c r="A109" s="1293">
        <v>49</v>
      </c>
      <c r="B109" s="1293" t="s">
        <v>1463</v>
      </c>
      <c r="C109" s="1293" t="s">
        <v>1464</v>
      </c>
      <c r="D109" s="1282" t="s">
        <v>1465</v>
      </c>
      <c r="E109" s="1304">
        <v>0.2</v>
      </c>
      <c r="F109" s="1293">
        <v>30</v>
      </c>
    </row>
    <row r="110" spans="1:6" s="1232" customFormat="1" ht="36">
      <c r="A110" s="1293">
        <v>50</v>
      </c>
      <c r="B110" s="1293" t="s">
        <v>1466</v>
      </c>
      <c r="C110" s="1293" t="s">
        <v>1467</v>
      </c>
      <c r="D110" s="1282" t="s">
        <v>1468</v>
      </c>
      <c r="E110" s="1304">
        <v>0.2</v>
      </c>
      <c r="F110" s="1293">
        <v>30</v>
      </c>
    </row>
    <row r="111" spans="1:6" s="1232" customFormat="1" ht="36">
      <c r="A111" s="1293">
        <v>51</v>
      </c>
      <c r="B111" s="3806" t="s">
        <v>1469</v>
      </c>
      <c r="C111" s="1293" t="s">
        <v>1470</v>
      </c>
      <c r="D111" s="1282" t="s">
        <v>1471</v>
      </c>
      <c r="E111" s="1304">
        <v>0.2</v>
      </c>
      <c r="F111" s="1293">
        <v>30</v>
      </c>
    </row>
    <row r="112" spans="1:6" s="1232" customFormat="1" ht="24">
      <c r="A112" s="1293">
        <v>52</v>
      </c>
      <c r="B112" s="3806"/>
      <c r="C112" s="1293" t="s">
        <v>1472</v>
      </c>
      <c r="D112" s="1282" t="s">
        <v>1473</v>
      </c>
      <c r="E112" s="1304">
        <v>0.2</v>
      </c>
      <c r="F112" s="1293">
        <v>30</v>
      </c>
    </row>
    <row r="113" spans="1:14" s="1232" customFormat="1" ht="24">
      <c r="A113" s="1293">
        <v>53</v>
      </c>
      <c r="B113" s="3806"/>
      <c r="C113" s="1293" t="s">
        <v>1474</v>
      </c>
      <c r="D113" s="1282" t="s">
        <v>1475</v>
      </c>
      <c r="E113" s="1304">
        <v>0.2</v>
      </c>
      <c r="F113" s="1293">
        <v>30</v>
      </c>
    </row>
    <row r="114" spans="1:14" ht="36">
      <c r="A114" s="1293">
        <v>54</v>
      </c>
      <c r="B114" s="1293" t="s">
        <v>1476</v>
      </c>
      <c r="C114" s="1293" t="s">
        <v>1477</v>
      </c>
      <c r="D114" s="1282" t="s">
        <v>1478</v>
      </c>
      <c r="E114" s="1304">
        <v>0.2</v>
      </c>
      <c r="F114" s="1293">
        <v>30</v>
      </c>
    </row>
    <row r="115" spans="1:14" ht="24">
      <c r="A115" s="1293">
        <v>55</v>
      </c>
      <c r="B115" s="1293" t="s">
        <v>1479</v>
      </c>
      <c r="C115" s="1293" t="s">
        <v>1480</v>
      </c>
      <c r="D115" s="1282" t="s">
        <v>1481</v>
      </c>
      <c r="E115" s="1304">
        <v>0.2</v>
      </c>
      <c r="F115" s="1293">
        <v>30</v>
      </c>
    </row>
    <row r="116" spans="1:14" ht="24">
      <c r="A116" s="1293">
        <v>56</v>
      </c>
      <c r="B116" s="3806" t="s">
        <v>1482</v>
      </c>
      <c r="C116" s="1293" t="s">
        <v>1483</v>
      </c>
      <c r="D116" s="1282" t="s">
        <v>1484</v>
      </c>
      <c r="E116" s="1304">
        <v>0.2</v>
      </c>
      <c r="F116" s="1293">
        <v>30</v>
      </c>
    </row>
    <row r="117" spans="1:14" ht="36">
      <c r="A117" s="1293">
        <v>57</v>
      </c>
      <c r="B117" s="3806"/>
      <c r="C117" s="1293" t="s">
        <v>1485</v>
      </c>
      <c r="D117" s="1282" t="s">
        <v>1486</v>
      </c>
      <c r="E117" s="1304">
        <v>0.2</v>
      </c>
      <c r="F117" s="1293">
        <v>30</v>
      </c>
    </row>
    <row r="118" spans="1:14" ht="36">
      <c r="A118" s="1293">
        <v>58</v>
      </c>
      <c r="B118" s="1293" t="s">
        <v>1487</v>
      </c>
      <c r="C118" s="1293" t="s">
        <v>1488</v>
      </c>
      <c r="D118" s="1282" t="s">
        <v>1489</v>
      </c>
      <c r="E118" s="1304">
        <v>0.2</v>
      </c>
      <c r="F118" s="1293">
        <v>30</v>
      </c>
    </row>
    <row r="119" spans="1:14" ht="13.5">
      <c r="A119" s="1293"/>
      <c r="B119" s="1293"/>
      <c r="C119" s="1293"/>
      <c r="D119" s="1293"/>
      <c r="E119" s="1304"/>
      <c r="F119" s="1293"/>
    </row>
    <row r="121" spans="1:14" ht="19.5" customHeight="1">
      <c r="A121" s="3796" t="s">
        <v>1285</v>
      </c>
      <c r="B121" s="3796"/>
      <c r="C121" s="3796"/>
      <c r="D121" s="3796"/>
      <c r="E121" s="3796"/>
      <c r="F121" s="3796"/>
      <c r="G121" s="3796"/>
      <c r="H121" s="3796"/>
      <c r="I121" s="3796"/>
      <c r="J121" s="3796"/>
      <c r="K121" s="1311"/>
      <c r="L121" s="1311"/>
      <c r="M121" s="1311"/>
      <c r="N121" s="1311"/>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1"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44"/>
  <sheetViews>
    <sheetView topLeftCell="A215" workbookViewId="0">
      <selection activeCell="D239" sqref="D239"/>
    </sheetView>
  </sheetViews>
  <sheetFormatPr defaultColWidth="9" defaultRowHeight="13.5"/>
  <cols>
    <col min="1" max="1" width="12.625" style="1232" customWidth="1"/>
    <col min="2" max="5" width="10.25" style="1233" customWidth="1"/>
    <col min="6" max="6" width="9" style="1233"/>
    <col min="7" max="7" width="9" style="1231"/>
    <col min="8" max="8" width="9" style="1233"/>
    <col min="9" max="9" width="9" style="1231"/>
    <col min="10" max="16384" width="9" style="1233"/>
  </cols>
  <sheetData>
    <row r="1" spans="1:20">
      <c r="A1" s="3812" t="s">
        <v>1490</v>
      </c>
      <c r="B1" s="3812"/>
      <c r="C1" s="3812"/>
      <c r="D1" s="3812"/>
      <c r="E1" s="3812"/>
      <c r="F1" s="3812"/>
      <c r="H1" s="1230"/>
      <c r="I1" s="1262" t="s">
        <v>240</v>
      </c>
      <c r="J1" s="1263" t="s">
        <v>253</v>
      </c>
      <c r="K1" s="1263" t="s">
        <v>265</v>
      </c>
      <c r="L1" s="1263" t="s">
        <v>275</v>
      </c>
      <c r="M1" s="1263" t="s">
        <v>284</v>
      </c>
      <c r="N1" s="1263" t="s">
        <v>292</v>
      </c>
      <c r="O1" s="1263" t="s">
        <v>297</v>
      </c>
      <c r="P1" s="1263" t="s">
        <v>302</v>
      </c>
      <c r="Q1" s="1263" t="s">
        <v>305</v>
      </c>
      <c r="R1" s="1263" t="s">
        <v>308</v>
      </c>
      <c r="S1" s="1263" t="s">
        <v>311</v>
      </c>
      <c r="T1" s="1265" t="s">
        <v>314</v>
      </c>
    </row>
    <row r="2" spans="1:20">
      <c r="A2" s="3813" t="s">
        <v>1491</v>
      </c>
      <c r="B2" s="3813"/>
      <c r="C2" s="3813"/>
      <c r="D2" s="3813"/>
      <c r="E2" s="3813"/>
      <c r="F2" s="3813"/>
      <c r="I2" s="1264" t="s">
        <v>1492</v>
      </c>
      <c r="J2" s="1244" t="s">
        <v>1493</v>
      </c>
      <c r="K2" s="1244" t="s">
        <v>1494</v>
      </c>
      <c r="L2" s="1244" t="s">
        <v>1495</v>
      </c>
      <c r="M2" s="1244" t="s">
        <v>1496</v>
      </c>
      <c r="N2" s="1244" t="s">
        <v>1497</v>
      </c>
      <c r="O2" s="1244" t="s">
        <v>416</v>
      </c>
      <c r="P2" s="1244" t="s">
        <v>1498</v>
      </c>
      <c r="Q2" s="1244" t="s">
        <v>1499</v>
      </c>
      <c r="R2" s="1244" t="s">
        <v>1500</v>
      </c>
      <c r="S2" s="1244" t="s">
        <v>1501</v>
      </c>
      <c r="T2" s="1244" t="s">
        <v>1502</v>
      </c>
    </row>
    <row r="3" spans="1:20" s="1230" customFormat="1" ht="19.5" customHeight="1">
      <c r="A3" s="3814" t="s">
        <v>1503</v>
      </c>
      <c r="B3" s="1234"/>
      <c r="C3" s="1235" t="s">
        <v>369</v>
      </c>
      <c r="D3" s="1235" t="s">
        <v>370</v>
      </c>
      <c r="E3" s="1235" t="s">
        <v>368</v>
      </c>
      <c r="F3" s="1235" t="s">
        <v>164</v>
      </c>
      <c r="G3" s="1236"/>
      <c r="I3" s="1264" t="s">
        <v>1504</v>
      </c>
      <c r="J3" s="1244" t="s">
        <v>1505</v>
      </c>
      <c r="K3" s="1244" t="s">
        <v>1506</v>
      </c>
      <c r="L3" s="1244" t="s">
        <v>1507</v>
      </c>
      <c r="M3" s="1244" t="s">
        <v>1508</v>
      </c>
      <c r="N3" s="1244" t="s">
        <v>1509</v>
      </c>
      <c r="O3" s="1244" t="s">
        <v>1510</v>
      </c>
      <c r="P3" s="1244" t="s">
        <v>1511</v>
      </c>
      <c r="Q3" s="1244" t="s">
        <v>1512</v>
      </c>
      <c r="R3" s="1244" t="s">
        <v>1513</v>
      </c>
      <c r="S3" s="1244" t="s">
        <v>1514</v>
      </c>
      <c r="T3" s="1244" t="s">
        <v>1515</v>
      </c>
    </row>
    <row r="4" spans="1:20" s="1230" customFormat="1" ht="19.5" customHeight="1">
      <c r="A4" s="3815"/>
      <c r="B4" s="1237" t="s">
        <v>415</v>
      </c>
      <c r="C4" s="1237" t="s">
        <v>1516</v>
      </c>
      <c r="D4" s="1237" t="s">
        <v>1516</v>
      </c>
      <c r="E4" s="1237" t="s">
        <v>1516</v>
      </c>
      <c r="F4" s="1238" t="s">
        <v>1516</v>
      </c>
      <c r="G4" s="1236"/>
      <c r="I4" s="1264" t="s">
        <v>1517</v>
      </c>
      <c r="J4" s="1244" t="s">
        <v>1518</v>
      </c>
      <c r="K4" s="1244" t="s">
        <v>1519</v>
      </c>
      <c r="L4" s="1244" t="s">
        <v>1520</v>
      </c>
      <c r="M4" s="1244" t="s">
        <v>1521</v>
      </c>
      <c r="N4" s="1244" t="s">
        <v>1522</v>
      </c>
      <c r="O4" s="1244" t="s">
        <v>1523</v>
      </c>
      <c r="P4" s="1244" t="s">
        <v>1524</v>
      </c>
      <c r="Q4" s="1244" t="s">
        <v>1525</v>
      </c>
      <c r="R4" s="1244" t="s">
        <v>1526</v>
      </c>
      <c r="S4" s="1244" t="s">
        <v>1527</v>
      </c>
      <c r="T4" s="1244" t="s">
        <v>1528</v>
      </c>
    </row>
    <row r="5" spans="1:20" ht="14.25" customHeight="1">
      <c r="A5" s="1239" t="s">
        <v>240</v>
      </c>
      <c r="B5" s="1240" t="s">
        <v>1492</v>
      </c>
      <c r="C5" s="1240">
        <v>29530</v>
      </c>
      <c r="D5" s="1240">
        <v>28130</v>
      </c>
      <c r="E5" s="1240">
        <v>27930</v>
      </c>
      <c r="F5" s="1241">
        <v>11300</v>
      </c>
      <c r="G5" s="1242" t="s">
        <v>240</v>
      </c>
      <c r="H5" s="1243">
        <f>SUMPRODUCT((B5:B9=基准地价!I2)*(C3:F3=基准地价!E2)*(C5:F9))</f>
        <v>0</v>
      </c>
      <c r="I5" s="1264" t="s">
        <v>1529</v>
      </c>
      <c r="J5" s="1244" t="s">
        <v>1530</v>
      </c>
      <c r="K5" s="1244" t="s">
        <v>1531</v>
      </c>
      <c r="L5" s="1244" t="s">
        <v>1532</v>
      </c>
      <c r="M5" s="1244" t="s">
        <v>1533</v>
      </c>
      <c r="N5" s="1244" t="s">
        <v>1534</v>
      </c>
      <c r="O5" s="1244" t="s">
        <v>1535</v>
      </c>
      <c r="P5" s="1244" t="s">
        <v>1536</v>
      </c>
      <c r="Q5" s="1244" t="s">
        <v>1537</v>
      </c>
      <c r="R5" s="1244" t="s">
        <v>1538</v>
      </c>
      <c r="S5" s="1244" t="s">
        <v>1539</v>
      </c>
      <c r="T5" s="1244" t="s">
        <v>1540</v>
      </c>
    </row>
    <row r="6" spans="1:20" ht="14.25" customHeight="1">
      <c r="A6" s="1239" t="s">
        <v>240</v>
      </c>
      <c r="B6" s="1244" t="s">
        <v>1504</v>
      </c>
      <c r="C6" s="1244">
        <v>30290</v>
      </c>
      <c r="D6" s="1244">
        <v>29210</v>
      </c>
      <c r="E6" s="1244">
        <v>28860</v>
      </c>
      <c r="F6" s="1245">
        <v>12600</v>
      </c>
      <c r="G6" s="1246" t="s">
        <v>253</v>
      </c>
      <c r="H6" s="1247">
        <f>SUMPRODUCT((B10:B28=基准地价!I2)*(C3:F3=基准地价!E2)*(C10:F28))</f>
        <v>0</v>
      </c>
      <c r="I6" s="1264" t="s">
        <v>1541</v>
      </c>
      <c r="J6" s="1244" t="s">
        <v>1542</v>
      </c>
      <c r="K6" s="1244" t="s">
        <v>1543</v>
      </c>
      <c r="L6" s="1244" t="s">
        <v>1544</v>
      </c>
      <c r="M6" s="1244" t="s">
        <v>1545</v>
      </c>
      <c r="N6" s="1244" t="s">
        <v>1546</v>
      </c>
      <c r="O6" s="1244" t="s">
        <v>1547</v>
      </c>
      <c r="P6" s="1244" t="s">
        <v>1548</v>
      </c>
      <c r="Q6" s="1244" t="s">
        <v>1549</v>
      </c>
      <c r="R6" s="1244" t="s">
        <v>1550</v>
      </c>
      <c r="S6" s="1244" t="s">
        <v>1551</v>
      </c>
      <c r="T6" s="1244" t="s">
        <v>1552</v>
      </c>
    </row>
    <row r="7" spans="1:20" ht="14.25" customHeight="1">
      <c r="A7" s="1239" t="s">
        <v>240</v>
      </c>
      <c r="B7" s="1248" t="s">
        <v>1517</v>
      </c>
      <c r="C7" s="1244">
        <v>29350</v>
      </c>
      <c r="D7" s="1244">
        <v>28410</v>
      </c>
      <c r="E7" s="1244">
        <v>27990</v>
      </c>
      <c r="F7" s="1245">
        <v>12300</v>
      </c>
      <c r="G7" s="1246" t="s">
        <v>265</v>
      </c>
      <c r="H7" s="1247">
        <f>SUMPRODUCT((B29:B48=基准地价!I2)*(C3:F3=基准地价!E2)*(C29:F48))</f>
        <v>0</v>
      </c>
      <c r="J7" s="1244" t="s">
        <v>1553</v>
      </c>
      <c r="K7" s="1244" t="s">
        <v>1554</v>
      </c>
      <c r="L7" s="1244" t="s">
        <v>1555</v>
      </c>
      <c r="M7" s="1244" t="s">
        <v>1556</v>
      </c>
      <c r="N7" s="1244" t="s">
        <v>1557</v>
      </c>
      <c r="O7" s="1244" t="s">
        <v>1558</v>
      </c>
      <c r="P7" s="1244" t="s">
        <v>1559</v>
      </c>
      <c r="Q7" s="1244" t="s">
        <v>1560</v>
      </c>
      <c r="R7" s="1244" t="s">
        <v>1561</v>
      </c>
      <c r="S7" s="1244" t="s">
        <v>1562</v>
      </c>
      <c r="T7" s="1248" t="s">
        <v>1563</v>
      </c>
    </row>
    <row r="8" spans="1:20" ht="14.25" customHeight="1">
      <c r="A8" s="1239" t="s">
        <v>240</v>
      </c>
      <c r="B8" s="1244" t="s">
        <v>1529</v>
      </c>
      <c r="C8" s="1244">
        <v>30890</v>
      </c>
      <c r="D8" s="1244">
        <v>29780</v>
      </c>
      <c r="E8" s="1244">
        <v>29270</v>
      </c>
      <c r="F8" s="1245">
        <v>11600</v>
      </c>
      <c r="G8" s="1246" t="s">
        <v>275</v>
      </c>
      <c r="H8" s="1247">
        <f>SUMPRODUCT((B49:B75=基准地价!I2)*(C3:F3=基准地价!E2)*(C49:F75))</f>
        <v>0</v>
      </c>
      <c r="J8" s="1244" t="s">
        <v>1564</v>
      </c>
      <c r="K8" s="1244" t="s">
        <v>1565</v>
      </c>
      <c r="L8" s="1244" t="s">
        <v>1566</v>
      </c>
      <c r="M8" s="1244" t="s">
        <v>1567</v>
      </c>
      <c r="N8" s="1244" t="s">
        <v>1568</v>
      </c>
      <c r="O8" s="1244" t="s">
        <v>1569</v>
      </c>
      <c r="P8" s="1244" t="s">
        <v>1570</v>
      </c>
      <c r="Q8" s="1244" t="s">
        <v>1571</v>
      </c>
      <c r="R8" s="1244" t="s">
        <v>1572</v>
      </c>
      <c r="S8" s="1244" t="s">
        <v>1573</v>
      </c>
      <c r="T8" s="1244" t="s">
        <v>1574</v>
      </c>
    </row>
    <row r="9" spans="1:20" ht="14.25" customHeight="1">
      <c r="A9" s="1239" t="s">
        <v>240</v>
      </c>
      <c r="B9" s="1249" t="s">
        <v>1541</v>
      </c>
      <c r="C9" s="1250">
        <v>28140</v>
      </c>
      <c r="D9" s="1250"/>
      <c r="E9" s="1250"/>
      <c r="F9" s="1251"/>
      <c r="G9" s="1246" t="s">
        <v>284</v>
      </c>
      <c r="H9" s="1247">
        <f>SUMPRODUCT((B76:B109=基准地价!I2)*(C3:F3=基准地价!E2)*(C76:F109))</f>
        <v>0</v>
      </c>
      <c r="J9" s="1244" t="s">
        <v>1575</v>
      </c>
      <c r="K9" s="1244" t="s">
        <v>1576</v>
      </c>
      <c r="L9" s="1244" t="s">
        <v>1577</v>
      </c>
      <c r="M9" s="1244" t="s">
        <v>1578</v>
      </c>
      <c r="N9" s="1244" t="s">
        <v>1579</v>
      </c>
      <c r="O9" s="1244" t="s">
        <v>1580</v>
      </c>
      <c r="P9" s="1244" t="s">
        <v>1581</v>
      </c>
      <c r="Q9" s="1244" t="s">
        <v>1582</v>
      </c>
      <c r="R9" s="1244" t="s">
        <v>1583</v>
      </c>
      <c r="S9" s="1244" t="s">
        <v>1584</v>
      </c>
    </row>
    <row r="10" spans="1:20" ht="14.25" customHeight="1">
      <c r="A10" s="1239" t="s">
        <v>253</v>
      </c>
      <c r="B10" s="1240" t="s">
        <v>1493</v>
      </c>
      <c r="C10" s="1240">
        <v>27450</v>
      </c>
      <c r="D10" s="1240">
        <v>26180</v>
      </c>
      <c r="E10" s="1240">
        <v>25980</v>
      </c>
      <c r="F10" s="1241">
        <v>8910</v>
      </c>
      <c r="G10" s="1246" t="s">
        <v>292</v>
      </c>
      <c r="H10" s="1247">
        <f>SUMPRODUCT((B110:B157=基准地价!I2)*(C3:F3=基准地价!E2)*(C110:F157))</f>
        <v>0</v>
      </c>
      <c r="J10" s="1244" t="s">
        <v>1585</v>
      </c>
      <c r="K10" s="1244" t="s">
        <v>1586</v>
      </c>
      <c r="L10" s="1244" t="s">
        <v>1587</v>
      </c>
      <c r="M10" s="1244" t="s">
        <v>1588</v>
      </c>
      <c r="N10" s="1244" t="s">
        <v>1589</v>
      </c>
      <c r="O10" s="1244" t="s">
        <v>1590</v>
      </c>
      <c r="P10" s="1244" t="s">
        <v>1591</v>
      </c>
      <c r="Q10" s="1244" t="s">
        <v>1592</v>
      </c>
      <c r="R10" s="1244" t="s">
        <v>1593</v>
      </c>
      <c r="S10" s="1244" t="s">
        <v>1594</v>
      </c>
    </row>
    <row r="11" spans="1:20" ht="14.25" customHeight="1">
      <c r="A11" s="1239" t="s">
        <v>253</v>
      </c>
      <c r="B11" s="1248" t="s">
        <v>1505</v>
      </c>
      <c r="C11" s="1244">
        <v>22950</v>
      </c>
      <c r="D11" s="1244">
        <v>22630</v>
      </c>
      <c r="E11" s="1244">
        <v>22030</v>
      </c>
      <c r="F11" s="1252">
        <v>8330</v>
      </c>
      <c r="G11" s="1246" t="s">
        <v>297</v>
      </c>
      <c r="H11" s="1247">
        <f>SUMPRODUCT((B158:B205=基准地价!I2)*(C3:F3=基准地价!E2)*(C158:F205))</f>
        <v>0</v>
      </c>
      <c r="J11" s="1244" t="s">
        <v>1595</v>
      </c>
      <c r="K11" s="1244" t="s">
        <v>1596</v>
      </c>
      <c r="L11" s="1244" t="s">
        <v>1597</v>
      </c>
      <c r="M11" s="1244" t="s">
        <v>1598</v>
      </c>
      <c r="N11" s="1244" t="s">
        <v>1599</v>
      </c>
      <c r="O11" s="1244" t="s">
        <v>1600</v>
      </c>
      <c r="P11" s="1244" t="s">
        <v>1601</v>
      </c>
      <c r="Q11" s="1244" t="s">
        <v>1602</v>
      </c>
      <c r="R11" s="1244" t="s">
        <v>1603</v>
      </c>
      <c r="S11" s="1244" t="s">
        <v>1604</v>
      </c>
    </row>
    <row r="12" spans="1:20" ht="14.25" customHeight="1">
      <c r="A12" s="1239" t="s">
        <v>253</v>
      </c>
      <c r="B12" s="1248" t="s">
        <v>1518</v>
      </c>
      <c r="C12" s="1244">
        <v>24940</v>
      </c>
      <c r="D12" s="1244">
        <v>23180</v>
      </c>
      <c r="E12" s="1244">
        <v>22910</v>
      </c>
      <c r="F12" s="1252">
        <v>7180</v>
      </c>
      <c r="G12" s="1246" t="s">
        <v>302</v>
      </c>
      <c r="H12" s="1247">
        <f>SUMPRODUCT((B206:B244=基准地价!I2)*(C3:F3=基准地价!E2)*(C206:F244))</f>
        <v>6050</v>
      </c>
      <c r="J12" s="1244" t="s">
        <v>1605</v>
      </c>
      <c r="K12" s="1244" t="s">
        <v>1606</v>
      </c>
      <c r="L12" s="1244" t="s">
        <v>1607</v>
      </c>
      <c r="M12" s="1244" t="s">
        <v>1608</v>
      </c>
      <c r="N12" s="1244" t="s">
        <v>1609</v>
      </c>
      <c r="O12" s="1244" t="s">
        <v>1610</v>
      </c>
      <c r="P12" s="1244" t="s">
        <v>1611</v>
      </c>
      <c r="Q12" s="1244" t="s">
        <v>1612</v>
      </c>
      <c r="R12" s="1244" t="s">
        <v>1613</v>
      </c>
      <c r="S12" s="1244" t="s">
        <v>1614</v>
      </c>
    </row>
    <row r="13" spans="1:20" ht="14.25" customHeight="1">
      <c r="A13" s="1239" t="s">
        <v>253</v>
      </c>
      <c r="B13" s="1248" t="s">
        <v>1530</v>
      </c>
      <c r="C13" s="1244">
        <v>24140</v>
      </c>
      <c r="D13" s="1244">
        <v>22270</v>
      </c>
      <c r="E13" s="1244">
        <v>21950</v>
      </c>
      <c r="F13" s="1252">
        <v>7600</v>
      </c>
      <c r="G13" s="1246" t="s">
        <v>305</v>
      </c>
      <c r="H13" s="1247">
        <f>SUMPRODUCT((B245:B289=基准地价!I2)*(C3:F3=基准地价!E2)*(C245:F289))</f>
        <v>0</v>
      </c>
      <c r="J13" s="1244" t="s">
        <v>1615</v>
      </c>
      <c r="K13" s="1244" t="s">
        <v>1616</v>
      </c>
      <c r="L13" s="1244" t="s">
        <v>1617</v>
      </c>
      <c r="M13" s="1244" t="s">
        <v>1618</v>
      </c>
      <c r="N13" s="1244" t="s">
        <v>1619</v>
      </c>
      <c r="O13" s="1244" t="s">
        <v>1620</v>
      </c>
      <c r="P13" s="1244" t="s">
        <v>1621</v>
      </c>
      <c r="Q13" s="1244" t="s">
        <v>1622</v>
      </c>
      <c r="R13" s="1244" t="s">
        <v>1623</v>
      </c>
      <c r="S13" s="1244" t="s">
        <v>1624</v>
      </c>
    </row>
    <row r="14" spans="1:20" ht="14.25" customHeight="1">
      <c r="A14" s="1239" t="s">
        <v>253</v>
      </c>
      <c r="B14" s="1248" t="s">
        <v>1542</v>
      </c>
      <c r="C14" s="1244">
        <v>25600</v>
      </c>
      <c r="D14" s="1244">
        <v>22260</v>
      </c>
      <c r="E14" s="1244">
        <v>22110</v>
      </c>
      <c r="F14" s="1252">
        <v>7630</v>
      </c>
      <c r="G14" s="1246" t="s">
        <v>308</v>
      </c>
      <c r="H14" s="1247">
        <f>SUMPRODUCT((B290:B316=基准地价!I2)*(C3:F3=基准地价!E2)*(C290:F316))</f>
        <v>0</v>
      </c>
      <c r="J14" s="1244" t="s">
        <v>1625</v>
      </c>
      <c r="K14" s="1244" t="s">
        <v>1626</v>
      </c>
      <c r="L14" s="1244" t="s">
        <v>1627</v>
      </c>
      <c r="M14" s="1244" t="s">
        <v>1628</v>
      </c>
      <c r="N14" s="1244" t="s">
        <v>1629</v>
      </c>
      <c r="O14" s="1244" t="s">
        <v>1630</v>
      </c>
      <c r="P14" s="1244" t="s">
        <v>1631</v>
      </c>
      <c r="Q14" s="1244" t="s">
        <v>1632</v>
      </c>
      <c r="R14" s="1244" t="s">
        <v>1633</v>
      </c>
      <c r="S14" s="1244" t="s">
        <v>1634</v>
      </c>
    </row>
    <row r="15" spans="1:20" ht="14.25" customHeight="1">
      <c r="A15" s="1239" t="s">
        <v>253</v>
      </c>
      <c r="B15" s="1248" t="s">
        <v>1553</v>
      </c>
      <c r="C15" s="1244">
        <v>24760</v>
      </c>
      <c r="D15" s="1244">
        <v>24440</v>
      </c>
      <c r="E15" s="1244">
        <v>24130</v>
      </c>
      <c r="F15" s="1252">
        <v>9480</v>
      </c>
      <c r="G15" s="1246" t="s">
        <v>311</v>
      </c>
      <c r="H15" s="1247">
        <f>SUMPRODUCT((B317:B337=基准地价!I2)*(C3:F3=基准地价!E2)*(C317:F337))</f>
        <v>0</v>
      </c>
      <c r="J15" s="1244" t="s">
        <v>1635</v>
      </c>
      <c r="K15" s="1244" t="s">
        <v>1636</v>
      </c>
      <c r="L15" s="1244" t="s">
        <v>1637</v>
      </c>
      <c r="M15" s="1244" t="s">
        <v>1638</v>
      </c>
      <c r="N15" s="1244" t="s">
        <v>1639</v>
      </c>
      <c r="O15" s="1244" t="s">
        <v>1640</v>
      </c>
      <c r="P15" s="1244" t="s">
        <v>1641</v>
      </c>
      <c r="Q15" s="1244" t="s">
        <v>1642</v>
      </c>
      <c r="R15" s="1244" t="s">
        <v>1643</v>
      </c>
      <c r="S15" s="1244" t="s">
        <v>1644</v>
      </c>
    </row>
    <row r="16" spans="1:20" ht="14.25" customHeight="1">
      <c r="A16" s="1239" t="s">
        <v>253</v>
      </c>
      <c r="B16" s="1248" t="s">
        <v>1564</v>
      </c>
      <c r="C16" s="1244">
        <v>22220</v>
      </c>
      <c r="D16" s="1244">
        <v>22310</v>
      </c>
      <c r="E16" s="1244">
        <v>22000</v>
      </c>
      <c r="F16" s="1252">
        <v>8900</v>
      </c>
      <c r="G16" s="1253" t="s">
        <v>314</v>
      </c>
      <c r="H16" s="1254">
        <f>SUMPRODUCT((B338:B344=基准地价!I2)*(C3:F3=基准地价!E2)*(C338:F344))</f>
        <v>0</v>
      </c>
      <c r="J16" s="1244" t="s">
        <v>1645</v>
      </c>
      <c r="K16" s="1244" t="s">
        <v>1646</v>
      </c>
      <c r="L16" s="1244" t="s">
        <v>1647</v>
      </c>
      <c r="M16" s="1244" t="s">
        <v>1648</v>
      </c>
      <c r="N16" s="1244" t="s">
        <v>1649</v>
      </c>
      <c r="O16" s="1244" t="s">
        <v>1650</v>
      </c>
      <c r="P16" s="1244" t="s">
        <v>1651</v>
      </c>
      <c r="Q16" s="1244" t="s">
        <v>1652</v>
      </c>
      <c r="R16" s="1244" t="s">
        <v>1653</v>
      </c>
      <c r="S16" s="1244" t="s">
        <v>1654</v>
      </c>
    </row>
    <row r="17" spans="1:19" ht="14.25" customHeight="1">
      <c r="A17" s="1239" t="s">
        <v>253</v>
      </c>
      <c r="B17" s="1248" t="s">
        <v>1575</v>
      </c>
      <c r="C17" s="1244">
        <v>24700</v>
      </c>
      <c r="D17" s="1244">
        <v>25150</v>
      </c>
      <c r="E17" s="1244">
        <v>24700</v>
      </c>
      <c r="F17" s="1255"/>
      <c r="H17" s="1256"/>
      <c r="J17" s="1244" t="s">
        <v>1655</v>
      </c>
      <c r="K17" s="1244" t="s">
        <v>1656</v>
      </c>
      <c r="L17" s="1244" t="s">
        <v>1657</v>
      </c>
      <c r="M17" s="1244" t="s">
        <v>1658</v>
      </c>
      <c r="N17" s="1244" t="s">
        <v>1659</v>
      </c>
      <c r="O17" s="1244" t="s">
        <v>1660</v>
      </c>
      <c r="P17" s="1244" t="s">
        <v>1661</v>
      </c>
      <c r="Q17" s="1244" t="s">
        <v>1662</v>
      </c>
      <c r="R17" s="1244" t="s">
        <v>1663</v>
      </c>
      <c r="S17" s="1244" t="s">
        <v>1664</v>
      </c>
    </row>
    <row r="18" spans="1:19" ht="14.25" customHeight="1">
      <c r="A18" s="1239" t="s">
        <v>253</v>
      </c>
      <c r="B18" s="1248" t="s">
        <v>1585</v>
      </c>
      <c r="C18" s="1244">
        <v>22350</v>
      </c>
      <c r="D18" s="1244">
        <v>24340</v>
      </c>
      <c r="E18" s="1244">
        <v>24100</v>
      </c>
      <c r="F18" s="1255"/>
      <c r="H18" s="1256"/>
      <c r="J18" s="1244" t="s">
        <v>1665</v>
      </c>
      <c r="K18" s="1244" t="s">
        <v>1666</v>
      </c>
      <c r="L18" s="1244" t="s">
        <v>1667</v>
      </c>
      <c r="M18" s="1244" t="s">
        <v>1668</v>
      </c>
      <c r="N18" s="1244" t="s">
        <v>1669</v>
      </c>
      <c r="O18" s="1244" t="s">
        <v>1670</v>
      </c>
      <c r="P18" s="1244" t="s">
        <v>1671</v>
      </c>
      <c r="Q18" s="1244" t="s">
        <v>1672</v>
      </c>
      <c r="R18" s="1244" t="s">
        <v>1673</v>
      </c>
      <c r="S18" s="1244" t="s">
        <v>1674</v>
      </c>
    </row>
    <row r="19" spans="1:19" ht="14.25" customHeight="1">
      <c r="A19" s="1239" t="s">
        <v>253</v>
      </c>
      <c r="B19" s="1248" t="s">
        <v>1595</v>
      </c>
      <c r="C19" s="1244">
        <v>23430</v>
      </c>
      <c r="D19" s="1244">
        <v>21580</v>
      </c>
      <c r="E19" s="1244">
        <v>21350</v>
      </c>
      <c r="F19" s="1255"/>
      <c r="H19" s="1256"/>
      <c r="J19" s="1244" t="s">
        <v>1675</v>
      </c>
      <c r="K19" s="1244" t="s">
        <v>1676</v>
      </c>
      <c r="L19" s="1244" t="s">
        <v>1677</v>
      </c>
      <c r="M19" s="1244" t="s">
        <v>1678</v>
      </c>
      <c r="N19" s="1244" t="s">
        <v>1679</v>
      </c>
      <c r="O19" s="1244" t="s">
        <v>1680</v>
      </c>
      <c r="P19" s="1244" t="s">
        <v>1681</v>
      </c>
      <c r="Q19" s="1244" t="s">
        <v>1682</v>
      </c>
      <c r="R19" s="1244" t="s">
        <v>1683</v>
      </c>
      <c r="S19" s="1244" t="s">
        <v>1684</v>
      </c>
    </row>
    <row r="20" spans="1:19" ht="14.25" customHeight="1">
      <c r="A20" s="1239" t="s">
        <v>253</v>
      </c>
      <c r="B20" s="1248" t="s">
        <v>1605</v>
      </c>
      <c r="C20" s="1244">
        <v>27660</v>
      </c>
      <c r="D20" s="1244">
        <v>24240</v>
      </c>
      <c r="E20" s="1244">
        <v>24020</v>
      </c>
      <c r="F20" s="1255"/>
      <c r="J20" s="1244" t="s">
        <v>1685</v>
      </c>
      <c r="K20" s="1244" t="s">
        <v>1686</v>
      </c>
      <c r="L20" s="1244" t="s">
        <v>1687</v>
      </c>
      <c r="M20" s="1244" t="s">
        <v>1688</v>
      </c>
      <c r="N20" s="1244" t="s">
        <v>1689</v>
      </c>
      <c r="O20" s="1244" t="s">
        <v>1690</v>
      </c>
      <c r="P20" s="1244" t="s">
        <v>1691</v>
      </c>
      <c r="Q20" s="1244" t="s">
        <v>1692</v>
      </c>
      <c r="R20" s="1244" t="s">
        <v>1693</v>
      </c>
      <c r="S20" s="1244" t="s">
        <v>1694</v>
      </c>
    </row>
    <row r="21" spans="1:19" ht="14.25" customHeight="1">
      <c r="A21" s="1239" t="s">
        <v>253</v>
      </c>
      <c r="B21" s="1248" t="s">
        <v>1615</v>
      </c>
      <c r="C21" s="1244">
        <v>24720</v>
      </c>
      <c r="D21" s="1244">
        <v>21670</v>
      </c>
      <c r="E21" s="1244">
        <v>21510</v>
      </c>
      <c r="F21" s="1255"/>
      <c r="K21" s="1244" t="s">
        <v>1695</v>
      </c>
      <c r="L21" s="1244" t="s">
        <v>1696</v>
      </c>
      <c r="M21" s="1244" t="s">
        <v>1697</v>
      </c>
      <c r="N21" s="1244" t="s">
        <v>1698</v>
      </c>
      <c r="O21" s="1244" t="s">
        <v>1699</v>
      </c>
      <c r="P21" s="1244" t="s">
        <v>1700</v>
      </c>
      <c r="Q21" s="1244" t="s">
        <v>1701</v>
      </c>
      <c r="R21" s="1244" t="s">
        <v>1702</v>
      </c>
      <c r="S21" s="1244" t="s">
        <v>1703</v>
      </c>
    </row>
    <row r="22" spans="1:19" ht="14.25" customHeight="1">
      <c r="A22" s="1239" t="s">
        <v>253</v>
      </c>
      <c r="B22" s="1248" t="s">
        <v>1625</v>
      </c>
      <c r="C22" s="1244">
        <v>26530</v>
      </c>
      <c r="D22" s="1244">
        <v>22980</v>
      </c>
      <c r="E22" s="1244">
        <v>22650</v>
      </c>
      <c r="F22" s="1255"/>
      <c r="L22" s="1244" t="s">
        <v>1704</v>
      </c>
      <c r="M22" s="1244" t="s">
        <v>1705</v>
      </c>
      <c r="N22" s="1244" t="s">
        <v>1706</v>
      </c>
      <c r="O22" s="1244" t="s">
        <v>1707</v>
      </c>
      <c r="P22" s="1244" t="s">
        <v>1708</v>
      </c>
      <c r="Q22" s="1244" t="s">
        <v>1709</v>
      </c>
      <c r="R22" s="1244" t="s">
        <v>1710</v>
      </c>
      <c r="S22" s="1248" t="s">
        <v>1711</v>
      </c>
    </row>
    <row r="23" spans="1:19" ht="14.25" customHeight="1">
      <c r="A23" s="1239" t="s">
        <v>253</v>
      </c>
      <c r="B23" s="1248" t="s">
        <v>1635</v>
      </c>
      <c r="C23" s="1244">
        <v>24700</v>
      </c>
      <c r="D23" s="1244">
        <v>27290</v>
      </c>
      <c r="E23" s="1244">
        <v>26710</v>
      </c>
      <c r="F23" s="1255"/>
      <c r="L23" s="1244" t="s">
        <v>1712</v>
      </c>
      <c r="M23" s="1244" t="s">
        <v>1713</v>
      </c>
      <c r="N23" s="1244" t="s">
        <v>1714</v>
      </c>
      <c r="O23" s="1244" t="s">
        <v>1715</v>
      </c>
      <c r="P23" s="1244" t="s">
        <v>1716</v>
      </c>
      <c r="Q23" s="1244" t="s">
        <v>1717</v>
      </c>
      <c r="R23" s="1244" t="s">
        <v>1718</v>
      </c>
    </row>
    <row r="24" spans="1:19" ht="14.25" customHeight="1">
      <c r="A24" s="1239" t="s">
        <v>253</v>
      </c>
      <c r="B24" s="1248" t="s">
        <v>1645</v>
      </c>
      <c r="C24" s="1244">
        <v>23070</v>
      </c>
      <c r="D24" s="1244">
        <v>24130</v>
      </c>
      <c r="E24" s="1244">
        <v>23860</v>
      </c>
      <c r="F24" s="1255"/>
      <c r="L24" s="1244" t="s">
        <v>1719</v>
      </c>
      <c r="M24" s="1244" t="s">
        <v>1720</v>
      </c>
      <c r="N24" s="1244" t="s">
        <v>1721</v>
      </c>
      <c r="O24" s="1244" t="s">
        <v>1722</v>
      </c>
      <c r="P24" s="1244" t="s">
        <v>1723</v>
      </c>
      <c r="Q24" s="1244" t="s">
        <v>1724</v>
      </c>
      <c r="R24" s="1244" t="s">
        <v>1725</v>
      </c>
    </row>
    <row r="25" spans="1:19" ht="14.25" customHeight="1">
      <c r="A25" s="1239" t="s">
        <v>253</v>
      </c>
      <c r="B25" s="1248" t="s">
        <v>1655</v>
      </c>
      <c r="C25" s="1244">
        <v>27550</v>
      </c>
      <c r="D25" s="1244">
        <v>25850</v>
      </c>
      <c r="E25" s="1244">
        <v>25340</v>
      </c>
      <c r="F25" s="1255"/>
      <c r="L25" s="1244" t="s">
        <v>1726</v>
      </c>
      <c r="M25" s="1244" t="s">
        <v>1727</v>
      </c>
      <c r="N25" s="1244" t="s">
        <v>1728</v>
      </c>
      <c r="O25" s="1244" t="s">
        <v>1729</v>
      </c>
      <c r="P25" s="1244" t="s">
        <v>1730</v>
      </c>
      <c r="Q25" s="1244" t="s">
        <v>1731</v>
      </c>
      <c r="R25" s="1244" t="s">
        <v>1732</v>
      </c>
    </row>
    <row r="26" spans="1:19" ht="14.25" customHeight="1">
      <c r="A26" s="1239" t="s">
        <v>253</v>
      </c>
      <c r="B26" s="1248" t="s">
        <v>1665</v>
      </c>
      <c r="C26" s="1244"/>
      <c r="D26" s="1244">
        <v>23900</v>
      </c>
      <c r="E26" s="1244">
        <v>23590</v>
      </c>
      <c r="F26" s="1255"/>
      <c r="L26" s="1244" t="s">
        <v>1733</v>
      </c>
      <c r="M26" s="1244" t="s">
        <v>1734</v>
      </c>
      <c r="N26" s="1244" t="s">
        <v>1735</v>
      </c>
      <c r="O26" s="1244" t="s">
        <v>1736</v>
      </c>
      <c r="P26" s="1244" t="s">
        <v>1737</v>
      </c>
      <c r="Q26" s="1244" t="s">
        <v>1738</v>
      </c>
      <c r="R26" s="1244" t="s">
        <v>1739</v>
      </c>
    </row>
    <row r="27" spans="1:19" ht="14.25" customHeight="1">
      <c r="A27" s="1239" t="s">
        <v>253</v>
      </c>
      <c r="B27" s="1248" t="s">
        <v>1675</v>
      </c>
      <c r="C27" s="1244"/>
      <c r="D27" s="1244">
        <v>22850</v>
      </c>
      <c r="E27" s="1244">
        <v>21920</v>
      </c>
      <c r="F27" s="1255"/>
      <c r="L27" s="1244" t="s">
        <v>1740</v>
      </c>
      <c r="M27" s="1244" t="s">
        <v>1741</v>
      </c>
      <c r="N27" s="1244" t="s">
        <v>1742</v>
      </c>
      <c r="O27" s="1244" t="s">
        <v>1743</v>
      </c>
      <c r="P27" s="1244" t="s">
        <v>1744</v>
      </c>
      <c r="Q27" s="1244" t="s">
        <v>1745</v>
      </c>
      <c r="R27" s="1244" t="s">
        <v>1746</v>
      </c>
    </row>
    <row r="28" spans="1:19" ht="14.25" customHeight="1">
      <c r="A28" s="1257" t="s">
        <v>253</v>
      </c>
      <c r="B28" s="1249" t="s">
        <v>1685</v>
      </c>
      <c r="C28" s="1250"/>
      <c r="D28" s="1250">
        <v>26610</v>
      </c>
      <c r="E28" s="1250">
        <v>26370</v>
      </c>
      <c r="F28" s="1251"/>
      <c r="L28" s="1244" t="s">
        <v>1747</v>
      </c>
      <c r="M28" s="1244" t="s">
        <v>1748</v>
      </c>
      <c r="N28" s="1244" t="s">
        <v>1749</v>
      </c>
      <c r="O28" s="1244" t="s">
        <v>1750</v>
      </c>
      <c r="P28" s="1244" t="s">
        <v>1751</v>
      </c>
      <c r="Q28" s="1244" t="s">
        <v>1752</v>
      </c>
    </row>
    <row r="29" spans="1:19" ht="14.25" customHeight="1">
      <c r="A29" s="1239" t="s">
        <v>265</v>
      </c>
      <c r="B29" s="1240" t="s">
        <v>1494</v>
      </c>
      <c r="C29" s="1240">
        <v>22090</v>
      </c>
      <c r="D29" s="1240">
        <v>21860</v>
      </c>
      <c r="E29" s="1240">
        <v>19380</v>
      </c>
      <c r="F29" s="1241">
        <v>6610</v>
      </c>
      <c r="M29" s="1244" t="s">
        <v>1753</v>
      </c>
      <c r="N29" s="1244" t="s">
        <v>1754</v>
      </c>
      <c r="O29" s="1244" t="s">
        <v>1755</v>
      </c>
      <c r="P29" s="1244" t="s">
        <v>1756</v>
      </c>
      <c r="Q29" s="1244" t="s">
        <v>1757</v>
      </c>
    </row>
    <row r="30" spans="1:19" ht="14.25" customHeight="1">
      <c r="A30" s="1239" t="s">
        <v>265</v>
      </c>
      <c r="B30" s="1248" t="s">
        <v>1506</v>
      </c>
      <c r="C30" s="1244">
        <v>21380</v>
      </c>
      <c r="D30" s="1244">
        <v>19930</v>
      </c>
      <c r="E30" s="1244">
        <v>19860</v>
      </c>
      <c r="F30" s="1252">
        <v>6010</v>
      </c>
      <c r="H30" s="1256"/>
      <c r="M30" s="1244" t="s">
        <v>1758</v>
      </c>
      <c r="N30" s="1244" t="s">
        <v>1759</v>
      </c>
      <c r="O30" s="1244" t="s">
        <v>1760</v>
      </c>
      <c r="P30" s="1244" t="s">
        <v>1761</v>
      </c>
      <c r="Q30" s="1244" t="s">
        <v>1762</v>
      </c>
    </row>
    <row r="31" spans="1:19" ht="14.25" customHeight="1">
      <c r="A31" s="1239" t="s">
        <v>265</v>
      </c>
      <c r="B31" s="1248" t="s">
        <v>1519</v>
      </c>
      <c r="C31" s="1244">
        <v>21670</v>
      </c>
      <c r="D31" s="1244">
        <v>20660</v>
      </c>
      <c r="E31" s="1244">
        <v>20290</v>
      </c>
      <c r="F31" s="1252">
        <v>5840</v>
      </c>
      <c r="H31" s="1256"/>
      <c r="M31" s="1244" t="s">
        <v>1763</v>
      </c>
      <c r="N31" s="1244" t="s">
        <v>1764</v>
      </c>
      <c r="O31" s="1244" t="s">
        <v>1765</v>
      </c>
      <c r="P31" s="1244" t="s">
        <v>1766</v>
      </c>
      <c r="Q31" s="1244" t="s">
        <v>1767</v>
      </c>
    </row>
    <row r="32" spans="1:19" ht="14.25" customHeight="1">
      <c r="A32" s="1239" t="s">
        <v>265</v>
      </c>
      <c r="B32" s="1248" t="s">
        <v>1531</v>
      </c>
      <c r="C32" s="1244">
        <v>22280</v>
      </c>
      <c r="D32" s="1244">
        <v>21800</v>
      </c>
      <c r="E32" s="1244">
        <v>17650</v>
      </c>
      <c r="F32" s="1252">
        <v>4690</v>
      </c>
      <c r="H32" s="1256"/>
      <c r="M32" s="1244" t="s">
        <v>1768</v>
      </c>
      <c r="N32" s="1244" t="s">
        <v>1769</v>
      </c>
      <c r="O32" s="1244" t="s">
        <v>1770</v>
      </c>
      <c r="P32" s="1244" t="s">
        <v>1771</v>
      </c>
      <c r="Q32" s="1244" t="s">
        <v>1772</v>
      </c>
    </row>
    <row r="33" spans="1:17" ht="14.25" customHeight="1">
      <c r="A33" s="1239" t="s">
        <v>265</v>
      </c>
      <c r="B33" s="1248" t="s">
        <v>1543</v>
      </c>
      <c r="C33" s="1244">
        <v>22130</v>
      </c>
      <c r="D33" s="1244">
        <v>20460</v>
      </c>
      <c r="E33" s="1244">
        <v>18500</v>
      </c>
      <c r="F33" s="1252">
        <v>5340</v>
      </c>
      <c r="H33" s="1256"/>
      <c r="M33" s="1244" t="s">
        <v>1773</v>
      </c>
      <c r="N33" s="1244" t="s">
        <v>1774</v>
      </c>
      <c r="O33" s="1244" t="s">
        <v>1775</v>
      </c>
      <c r="P33" s="1244" t="s">
        <v>1776</v>
      </c>
      <c r="Q33" s="1244" t="s">
        <v>1777</v>
      </c>
    </row>
    <row r="34" spans="1:17" ht="14.25" customHeight="1">
      <c r="A34" s="1239" t="s">
        <v>265</v>
      </c>
      <c r="B34" s="1248" t="s">
        <v>1554</v>
      </c>
      <c r="C34" s="1244">
        <v>22070</v>
      </c>
      <c r="D34" s="1244">
        <v>20110</v>
      </c>
      <c r="E34" s="1244">
        <v>18830</v>
      </c>
      <c r="F34" s="1252">
        <v>5190</v>
      </c>
      <c r="H34" s="1256"/>
      <c r="M34" s="1244" t="s">
        <v>1778</v>
      </c>
      <c r="N34" s="1244" t="s">
        <v>1779</v>
      </c>
      <c r="O34" s="1244" t="s">
        <v>1780</v>
      </c>
      <c r="P34" s="1244" t="s">
        <v>1781</v>
      </c>
      <c r="Q34" s="1244" t="s">
        <v>1782</v>
      </c>
    </row>
    <row r="35" spans="1:17" ht="14.25" customHeight="1">
      <c r="A35" s="1239" t="s">
        <v>265</v>
      </c>
      <c r="B35" s="1248" t="s">
        <v>1565</v>
      </c>
      <c r="C35" s="1244">
        <v>22240</v>
      </c>
      <c r="D35" s="1244">
        <v>19550</v>
      </c>
      <c r="E35" s="1244">
        <v>19220</v>
      </c>
      <c r="F35" s="1252">
        <v>5800</v>
      </c>
      <c r="H35" s="1256"/>
      <c r="M35" s="1244" t="s">
        <v>1783</v>
      </c>
      <c r="N35" s="1244" t="s">
        <v>1784</v>
      </c>
      <c r="O35" s="1244" t="s">
        <v>1785</v>
      </c>
      <c r="P35" s="1244" t="s">
        <v>1786</v>
      </c>
      <c r="Q35" s="1244" t="s">
        <v>1787</v>
      </c>
    </row>
    <row r="36" spans="1:17" ht="14.25" customHeight="1">
      <c r="A36" s="1239" t="s">
        <v>265</v>
      </c>
      <c r="B36" s="1248" t="s">
        <v>1576</v>
      </c>
      <c r="C36" s="1244">
        <v>19750</v>
      </c>
      <c r="D36" s="1244">
        <v>19790</v>
      </c>
      <c r="E36" s="1244">
        <v>18510</v>
      </c>
      <c r="F36" s="1252">
        <v>6520</v>
      </c>
      <c r="H36" s="1256"/>
      <c r="N36" s="1244" t="s">
        <v>1788</v>
      </c>
      <c r="O36" s="1244" t="s">
        <v>1789</v>
      </c>
      <c r="P36" s="1244" t="s">
        <v>1790</v>
      </c>
      <c r="Q36" s="1244" t="s">
        <v>1791</v>
      </c>
    </row>
    <row r="37" spans="1:17" ht="14.25" customHeight="1">
      <c r="A37" s="1239" t="s">
        <v>265</v>
      </c>
      <c r="B37" s="1248" t="s">
        <v>1586</v>
      </c>
      <c r="C37" s="1244">
        <v>22380</v>
      </c>
      <c r="D37" s="1244">
        <v>18530</v>
      </c>
      <c r="E37" s="1244">
        <v>17930</v>
      </c>
      <c r="F37" s="1252">
        <v>6270</v>
      </c>
      <c r="H37" s="1258"/>
      <c r="N37" s="1244" t="s">
        <v>1792</v>
      </c>
      <c r="O37" s="1244" t="s">
        <v>1793</v>
      </c>
      <c r="P37" s="1244" t="s">
        <v>1794</v>
      </c>
      <c r="Q37" s="1244" t="s">
        <v>1795</v>
      </c>
    </row>
    <row r="38" spans="1:17" ht="14.25" customHeight="1">
      <c r="A38" s="1239" t="s">
        <v>265</v>
      </c>
      <c r="B38" s="1248" t="s">
        <v>1596</v>
      </c>
      <c r="C38" s="1244">
        <v>20200</v>
      </c>
      <c r="D38" s="1244">
        <v>20070</v>
      </c>
      <c r="E38" s="1244">
        <v>19950</v>
      </c>
      <c r="F38" s="1252"/>
      <c r="H38" s="1259"/>
      <c r="N38" s="1244" t="s">
        <v>1796</v>
      </c>
      <c r="O38" s="1244" t="s">
        <v>1797</v>
      </c>
      <c r="P38" s="1244" t="s">
        <v>1798</v>
      </c>
      <c r="Q38" s="1244" t="s">
        <v>1799</v>
      </c>
    </row>
    <row r="39" spans="1:17" ht="14.25" customHeight="1">
      <c r="A39" s="1239" t="s">
        <v>265</v>
      </c>
      <c r="B39" s="1248" t="s">
        <v>1606</v>
      </c>
      <c r="C39" s="1244">
        <v>19300</v>
      </c>
      <c r="D39" s="1244">
        <v>20360</v>
      </c>
      <c r="E39" s="1244">
        <v>20230</v>
      </c>
      <c r="F39" s="1252"/>
      <c r="H39" s="1259"/>
      <c r="N39" s="1244" t="s">
        <v>1800</v>
      </c>
      <c r="O39" s="1244" t="s">
        <v>1801</v>
      </c>
      <c r="P39" s="1244" t="s">
        <v>1802</v>
      </c>
      <c r="Q39" s="1244" t="s">
        <v>1803</v>
      </c>
    </row>
    <row r="40" spans="1:17" ht="14.25" customHeight="1">
      <c r="A40" s="1239" t="s">
        <v>265</v>
      </c>
      <c r="B40" s="1248" t="s">
        <v>1616</v>
      </c>
      <c r="C40" s="1244">
        <v>20210</v>
      </c>
      <c r="D40" s="1244">
        <v>19060</v>
      </c>
      <c r="E40" s="1244">
        <v>18890</v>
      </c>
      <c r="F40" s="1252"/>
      <c r="H40" s="1259"/>
      <c r="N40" s="1244" t="s">
        <v>1804</v>
      </c>
      <c r="O40" s="1244" t="s">
        <v>1805</v>
      </c>
      <c r="P40" s="1244" t="s">
        <v>1806</v>
      </c>
      <c r="Q40" s="1244" t="s">
        <v>1807</v>
      </c>
    </row>
    <row r="41" spans="1:17" ht="14.25" customHeight="1">
      <c r="A41" s="1239" t="s">
        <v>265</v>
      </c>
      <c r="B41" s="1248" t="s">
        <v>1626</v>
      </c>
      <c r="C41" s="1244">
        <v>20560</v>
      </c>
      <c r="D41" s="1244">
        <v>21040</v>
      </c>
      <c r="E41" s="1244">
        <v>20740</v>
      </c>
      <c r="F41" s="1252"/>
      <c r="H41" s="1259"/>
      <c r="N41" s="1248" t="s">
        <v>1808</v>
      </c>
      <c r="O41" s="1248" t="s">
        <v>1809</v>
      </c>
      <c r="Q41" s="1248" t="s">
        <v>1810</v>
      </c>
    </row>
    <row r="42" spans="1:17" ht="14.25" customHeight="1">
      <c r="A42" s="1239" t="s">
        <v>265</v>
      </c>
      <c r="B42" s="1248" t="s">
        <v>1636</v>
      </c>
      <c r="C42" s="1244">
        <v>19280</v>
      </c>
      <c r="D42" s="1244">
        <v>22940</v>
      </c>
      <c r="E42" s="1244">
        <v>22500</v>
      </c>
      <c r="F42" s="1252"/>
      <c r="H42" s="1259"/>
      <c r="N42" s="1244" t="s">
        <v>1811</v>
      </c>
      <c r="O42" s="1244" t="s">
        <v>1812</v>
      </c>
      <c r="Q42" s="1244" t="s">
        <v>1813</v>
      </c>
    </row>
    <row r="43" spans="1:17" ht="14.25" customHeight="1">
      <c r="A43" s="1239" t="s">
        <v>265</v>
      </c>
      <c r="B43" s="1248" t="s">
        <v>1646</v>
      </c>
      <c r="C43" s="1244">
        <v>21520</v>
      </c>
      <c r="D43" s="1244">
        <v>19230</v>
      </c>
      <c r="E43" s="1244">
        <v>18540</v>
      </c>
      <c r="F43" s="1252"/>
      <c r="H43" s="1259"/>
      <c r="N43" s="1244" t="s">
        <v>1814</v>
      </c>
      <c r="O43" s="1244" t="s">
        <v>1815</v>
      </c>
      <c r="Q43" s="1244" t="s">
        <v>1816</v>
      </c>
    </row>
    <row r="44" spans="1:17" ht="14.25" customHeight="1">
      <c r="A44" s="1239" t="s">
        <v>265</v>
      </c>
      <c r="B44" s="1248" t="s">
        <v>1656</v>
      </c>
      <c r="C44" s="1244">
        <v>23260</v>
      </c>
      <c r="D44" s="1244">
        <v>21180</v>
      </c>
      <c r="E44" s="1244">
        <v>20730</v>
      </c>
      <c r="F44" s="1252"/>
      <c r="H44" s="1259"/>
      <c r="N44" s="1244" t="s">
        <v>1817</v>
      </c>
      <c r="O44" s="1244" t="s">
        <v>1818</v>
      </c>
      <c r="Q44" s="1244" t="s">
        <v>1819</v>
      </c>
    </row>
    <row r="45" spans="1:17" ht="14.25" customHeight="1">
      <c r="A45" s="1239" t="s">
        <v>265</v>
      </c>
      <c r="B45" s="1248" t="s">
        <v>1666</v>
      </c>
      <c r="C45" s="1244">
        <v>19610</v>
      </c>
      <c r="D45" s="1244">
        <v>18090</v>
      </c>
      <c r="E45" s="1244">
        <v>17970</v>
      </c>
      <c r="F45" s="1252"/>
      <c r="H45" s="1256"/>
      <c r="N45" s="1244" t="s">
        <v>1820</v>
      </c>
      <c r="O45" s="1244" t="s">
        <v>1821</v>
      </c>
      <c r="Q45" s="1244" t="s">
        <v>1822</v>
      </c>
    </row>
    <row r="46" spans="1:17" ht="14.25" customHeight="1">
      <c r="A46" s="1239" t="s">
        <v>265</v>
      </c>
      <c r="B46" s="1248" t="s">
        <v>1676</v>
      </c>
      <c r="C46" s="1244">
        <v>21660</v>
      </c>
      <c r="D46" s="1244">
        <v>19190</v>
      </c>
      <c r="E46" s="1244">
        <v>19790</v>
      </c>
      <c r="F46" s="1252"/>
      <c r="H46" s="1259"/>
      <c r="N46" s="1244" t="s">
        <v>1823</v>
      </c>
      <c r="O46" s="1244" t="s">
        <v>1824</v>
      </c>
      <c r="Q46" s="1244" t="s">
        <v>1825</v>
      </c>
    </row>
    <row r="47" spans="1:17" ht="14.25" customHeight="1">
      <c r="A47" s="1239" t="s">
        <v>265</v>
      </c>
      <c r="B47" s="1248" t="s">
        <v>1686</v>
      </c>
      <c r="C47" s="1244">
        <v>18220</v>
      </c>
      <c r="D47" s="1244"/>
      <c r="E47" s="1244">
        <v>17220</v>
      </c>
      <c r="F47" s="1252"/>
      <c r="H47" s="1259"/>
      <c r="N47" s="1244" t="s">
        <v>1826</v>
      </c>
      <c r="O47" s="1244" t="s">
        <v>1827</v>
      </c>
    </row>
    <row r="48" spans="1:17" ht="14.25" customHeight="1">
      <c r="A48" s="1239" t="s">
        <v>265</v>
      </c>
      <c r="B48" s="1249" t="s">
        <v>1695</v>
      </c>
      <c r="C48" s="1250">
        <v>19430</v>
      </c>
      <c r="D48" s="1250"/>
      <c r="E48" s="1250">
        <v>17830</v>
      </c>
      <c r="F48" s="1260"/>
      <c r="H48" s="1256"/>
      <c r="N48" s="1244" t="s">
        <v>1828</v>
      </c>
      <c r="O48" s="1244" t="s">
        <v>1829</v>
      </c>
    </row>
    <row r="49" spans="1:15" ht="14.25" customHeight="1">
      <c r="A49" s="1239" t="s">
        <v>275</v>
      </c>
      <c r="B49" s="1240" t="s">
        <v>1495</v>
      </c>
      <c r="C49" s="1240">
        <v>17090</v>
      </c>
      <c r="D49" s="1240">
        <v>16950</v>
      </c>
      <c r="E49" s="1240">
        <v>16310</v>
      </c>
      <c r="F49" s="1241">
        <v>4540</v>
      </c>
      <c r="H49" s="1259"/>
      <c r="N49" s="1244" t="s">
        <v>1830</v>
      </c>
      <c r="O49" s="1244" t="s">
        <v>1831</v>
      </c>
    </row>
    <row r="50" spans="1:15" ht="14.25" customHeight="1">
      <c r="A50" s="1239" t="s">
        <v>275</v>
      </c>
      <c r="B50" s="1244" t="s">
        <v>1507</v>
      </c>
      <c r="C50" s="1244">
        <v>19040</v>
      </c>
      <c r="D50" s="1244">
        <v>16960</v>
      </c>
      <c r="E50" s="1244">
        <v>14800</v>
      </c>
      <c r="F50" s="1252">
        <v>3940</v>
      </c>
      <c r="H50" s="1259"/>
    </row>
    <row r="51" spans="1:15" ht="14.25" customHeight="1">
      <c r="A51" s="1239" t="s">
        <v>275</v>
      </c>
      <c r="B51" s="1244" t="s">
        <v>1520</v>
      </c>
      <c r="C51" s="1244">
        <v>17040</v>
      </c>
      <c r="D51" s="1244">
        <v>16930</v>
      </c>
      <c r="E51" s="1244">
        <v>15030</v>
      </c>
      <c r="F51" s="1252">
        <v>4120</v>
      </c>
      <c r="H51" s="1259"/>
    </row>
    <row r="52" spans="1:15" ht="14.25" customHeight="1">
      <c r="A52" s="1239" t="s">
        <v>275</v>
      </c>
      <c r="B52" s="1244" t="s">
        <v>1532</v>
      </c>
      <c r="C52" s="1244">
        <v>17110</v>
      </c>
      <c r="D52" s="1244">
        <v>17750</v>
      </c>
      <c r="E52" s="1244">
        <v>17310</v>
      </c>
      <c r="F52" s="1252">
        <v>3220</v>
      </c>
      <c r="H52" s="1259"/>
    </row>
    <row r="53" spans="1:15" ht="14.25" customHeight="1">
      <c r="A53" s="1239" t="s">
        <v>275</v>
      </c>
      <c r="B53" s="1244" t="s">
        <v>1544</v>
      </c>
      <c r="C53" s="1244">
        <v>17810</v>
      </c>
      <c r="D53" s="1244">
        <v>17260</v>
      </c>
      <c r="E53" s="1244">
        <v>17090</v>
      </c>
      <c r="F53" s="1252">
        <v>3520</v>
      </c>
      <c r="H53" s="1259"/>
    </row>
    <row r="54" spans="1:15" ht="14.25" customHeight="1">
      <c r="A54" s="1239" t="s">
        <v>275</v>
      </c>
      <c r="B54" s="1244" t="s">
        <v>1555</v>
      </c>
      <c r="C54" s="1244">
        <v>17410</v>
      </c>
      <c r="D54" s="1244">
        <v>16780</v>
      </c>
      <c r="E54" s="1244">
        <v>16370</v>
      </c>
      <c r="F54" s="1252">
        <v>3410</v>
      </c>
      <c r="H54" s="1259"/>
    </row>
    <row r="55" spans="1:15" ht="14.25" customHeight="1">
      <c r="A55" s="1239" t="s">
        <v>275</v>
      </c>
      <c r="B55" s="1244" t="s">
        <v>1566</v>
      </c>
      <c r="C55" s="1244">
        <v>16930</v>
      </c>
      <c r="D55" s="1244">
        <v>14720</v>
      </c>
      <c r="E55" s="1244">
        <v>15000</v>
      </c>
      <c r="F55" s="1252">
        <v>3710</v>
      </c>
      <c r="H55" s="1259"/>
    </row>
    <row r="56" spans="1:15" ht="14.25" customHeight="1">
      <c r="A56" s="1239" t="s">
        <v>275</v>
      </c>
      <c r="B56" s="1244" t="s">
        <v>1577</v>
      </c>
      <c r="C56" s="1244">
        <v>14930</v>
      </c>
      <c r="D56" s="1244">
        <v>15850</v>
      </c>
      <c r="E56" s="1244">
        <v>14320</v>
      </c>
      <c r="F56" s="1252">
        <v>3960</v>
      </c>
      <c r="H56" s="1259"/>
    </row>
    <row r="57" spans="1:15" ht="14.25" customHeight="1">
      <c r="A57" s="1239" t="s">
        <v>275</v>
      </c>
      <c r="B57" s="1244" t="s">
        <v>1587</v>
      </c>
      <c r="C57" s="1244">
        <v>16160</v>
      </c>
      <c r="D57" s="1244">
        <v>16190</v>
      </c>
      <c r="E57" s="1244">
        <v>15650</v>
      </c>
      <c r="F57" s="1252">
        <v>4200</v>
      </c>
      <c r="H57" s="1259"/>
    </row>
    <row r="58" spans="1:15" ht="14.25" customHeight="1">
      <c r="A58" s="1239" t="s">
        <v>275</v>
      </c>
      <c r="B58" s="1244" t="s">
        <v>1597</v>
      </c>
      <c r="C58" s="1244">
        <v>16360</v>
      </c>
      <c r="D58" s="1244">
        <v>14050</v>
      </c>
      <c r="E58" s="1244">
        <v>16070</v>
      </c>
      <c r="F58" s="1252">
        <v>3990</v>
      </c>
      <c r="H58" s="1259"/>
    </row>
    <row r="59" spans="1:15" ht="14.25" customHeight="1">
      <c r="A59" s="1239" t="s">
        <v>275</v>
      </c>
      <c r="B59" s="1244" t="s">
        <v>1607</v>
      </c>
      <c r="C59" s="1244">
        <v>14160</v>
      </c>
      <c r="D59" s="1244">
        <v>16620</v>
      </c>
      <c r="E59" s="1244">
        <v>13940</v>
      </c>
      <c r="F59" s="1252">
        <v>4260</v>
      </c>
      <c r="H59" s="1259"/>
    </row>
    <row r="60" spans="1:15" ht="14.25" customHeight="1">
      <c r="A60" s="1239" t="s">
        <v>275</v>
      </c>
      <c r="B60" s="1244" t="s">
        <v>1617</v>
      </c>
      <c r="C60" s="1244">
        <v>16750</v>
      </c>
      <c r="D60" s="1244">
        <v>13910</v>
      </c>
      <c r="E60" s="1244">
        <v>16550</v>
      </c>
      <c r="F60" s="1252">
        <v>4550</v>
      </c>
      <c r="H60" s="1259"/>
    </row>
    <row r="61" spans="1:15" ht="14.25" customHeight="1">
      <c r="A61" s="1239" t="s">
        <v>275</v>
      </c>
      <c r="B61" s="1244" t="s">
        <v>1627</v>
      </c>
      <c r="C61" s="1244">
        <v>14000</v>
      </c>
      <c r="D61" s="1244">
        <v>14550</v>
      </c>
      <c r="E61" s="1244">
        <v>13860</v>
      </c>
      <c r="F61" s="1261"/>
      <c r="H61" s="1259"/>
    </row>
    <row r="62" spans="1:15" ht="14.25" customHeight="1">
      <c r="A62" s="1239" t="s">
        <v>275</v>
      </c>
      <c r="B62" s="1244" t="s">
        <v>1637</v>
      </c>
      <c r="C62" s="1244">
        <v>14660</v>
      </c>
      <c r="D62" s="1244">
        <v>17450</v>
      </c>
      <c r="E62" s="1244">
        <v>14470</v>
      </c>
      <c r="F62" s="1261"/>
      <c r="H62" s="1259"/>
    </row>
    <row r="63" spans="1:15" ht="14.25" customHeight="1">
      <c r="A63" s="1239" t="s">
        <v>275</v>
      </c>
      <c r="B63" s="1244" t="s">
        <v>1647</v>
      </c>
      <c r="C63" s="1244">
        <v>17610</v>
      </c>
      <c r="D63" s="1244">
        <v>16500</v>
      </c>
      <c r="E63" s="1244">
        <v>17330</v>
      </c>
      <c r="F63" s="1261"/>
      <c r="H63" s="1259"/>
    </row>
    <row r="64" spans="1:15" ht="14.25" customHeight="1">
      <c r="A64" s="1239" t="s">
        <v>275</v>
      </c>
      <c r="B64" s="1244" t="s">
        <v>1657</v>
      </c>
      <c r="C64" s="1244">
        <v>16590</v>
      </c>
      <c r="D64" s="1244">
        <v>15130</v>
      </c>
      <c r="E64" s="1244">
        <v>16420</v>
      </c>
      <c r="F64" s="1261"/>
      <c r="H64" s="1259"/>
    </row>
    <row r="65" spans="1:8" s="1231" customFormat="1" ht="14.25" customHeight="1">
      <c r="A65" s="1239" t="s">
        <v>275</v>
      </c>
      <c r="B65" s="1244" t="s">
        <v>1667</v>
      </c>
      <c r="C65" s="1244">
        <v>15220</v>
      </c>
      <c r="D65" s="1244">
        <v>14660</v>
      </c>
      <c r="E65" s="1244">
        <v>15060</v>
      </c>
      <c r="F65" s="1252"/>
      <c r="H65" s="1259"/>
    </row>
    <row r="66" spans="1:8" s="1231" customFormat="1" ht="14.25" customHeight="1">
      <c r="A66" s="1239" t="s">
        <v>275</v>
      </c>
      <c r="B66" s="1244" t="s">
        <v>1677</v>
      </c>
      <c r="C66" s="1244">
        <v>14720</v>
      </c>
      <c r="D66" s="1244">
        <v>15970</v>
      </c>
      <c r="E66" s="1244">
        <v>14610</v>
      </c>
      <c r="F66" s="1252"/>
      <c r="H66" s="1259"/>
    </row>
    <row r="67" spans="1:8" s="1231" customFormat="1" ht="14.25" customHeight="1">
      <c r="A67" s="1239" t="s">
        <v>275</v>
      </c>
      <c r="B67" s="1244" t="s">
        <v>1687</v>
      </c>
      <c r="C67" s="1244">
        <v>16080</v>
      </c>
      <c r="D67" s="1244">
        <v>14840</v>
      </c>
      <c r="E67" s="1244">
        <v>15630</v>
      </c>
      <c r="F67" s="1252"/>
      <c r="H67" s="1259"/>
    </row>
    <row r="68" spans="1:8" s="1231" customFormat="1" ht="14.25" customHeight="1">
      <c r="A68" s="1239" t="s">
        <v>275</v>
      </c>
      <c r="B68" s="1244" t="s">
        <v>1696</v>
      </c>
      <c r="C68" s="1244">
        <v>14940</v>
      </c>
      <c r="D68" s="1244">
        <v>18000</v>
      </c>
      <c r="E68" s="1244">
        <v>14040</v>
      </c>
      <c r="F68" s="1252"/>
      <c r="H68" s="1259"/>
    </row>
    <row r="69" spans="1:8" s="1231" customFormat="1" ht="14.25" customHeight="1">
      <c r="A69" s="1239" t="s">
        <v>275</v>
      </c>
      <c r="B69" s="1244" t="s">
        <v>1704</v>
      </c>
      <c r="C69" s="1244">
        <v>18810</v>
      </c>
      <c r="D69" s="1244">
        <v>15100</v>
      </c>
      <c r="E69" s="1244">
        <v>14710</v>
      </c>
      <c r="F69" s="1252"/>
      <c r="H69" s="1259"/>
    </row>
    <row r="70" spans="1:8" s="1231" customFormat="1" ht="14.25" customHeight="1">
      <c r="A70" s="1239" t="s">
        <v>275</v>
      </c>
      <c r="B70" s="1244" t="s">
        <v>1712</v>
      </c>
      <c r="C70" s="1244">
        <v>18270</v>
      </c>
      <c r="D70" s="1244"/>
      <c r="E70" s="1244"/>
      <c r="F70" s="1252"/>
      <c r="H70" s="1259"/>
    </row>
    <row r="71" spans="1:8" s="1231" customFormat="1" ht="14.25" customHeight="1">
      <c r="A71" s="1239" t="s">
        <v>275</v>
      </c>
      <c r="B71" s="1244" t="s">
        <v>1719</v>
      </c>
      <c r="C71" s="1244">
        <v>15230</v>
      </c>
      <c r="D71" s="1244"/>
      <c r="E71" s="1244"/>
      <c r="F71" s="1252"/>
      <c r="H71" s="1259"/>
    </row>
    <row r="72" spans="1:8" s="1231" customFormat="1" ht="14.25" customHeight="1">
      <c r="A72" s="1239" t="s">
        <v>275</v>
      </c>
      <c r="B72" s="1244" t="s">
        <v>1726</v>
      </c>
      <c r="C72" s="1244"/>
      <c r="D72" s="1244"/>
      <c r="E72" s="1244"/>
      <c r="F72" s="1252">
        <v>4120</v>
      </c>
      <c r="H72" s="1259"/>
    </row>
    <row r="73" spans="1:8" s="1231" customFormat="1" ht="14.25" customHeight="1">
      <c r="A73" s="1239" t="s">
        <v>275</v>
      </c>
      <c r="B73" s="1244" t="s">
        <v>1733</v>
      </c>
      <c r="C73" s="1244"/>
      <c r="D73" s="1244"/>
      <c r="E73" s="1244"/>
      <c r="F73" s="1252">
        <v>3930</v>
      </c>
      <c r="H73" s="1259"/>
    </row>
    <row r="74" spans="1:8" s="1231" customFormat="1" ht="14.25" customHeight="1">
      <c r="A74" s="1239" t="s">
        <v>275</v>
      </c>
      <c r="B74" s="1244" t="s">
        <v>1740</v>
      </c>
      <c r="C74" s="1244"/>
      <c r="D74" s="1244"/>
      <c r="E74" s="1244"/>
      <c r="F74" s="1252">
        <v>4060</v>
      </c>
      <c r="H74" s="1259"/>
    </row>
    <row r="75" spans="1:8" s="1231" customFormat="1" ht="14.25" customHeight="1">
      <c r="A75" s="1239" t="s">
        <v>275</v>
      </c>
      <c r="B75" s="1250" t="s">
        <v>1747</v>
      </c>
      <c r="C75" s="1250"/>
      <c r="D75" s="1250"/>
      <c r="E75" s="1250"/>
      <c r="F75" s="1260">
        <v>3750</v>
      </c>
      <c r="H75" s="1259"/>
    </row>
    <row r="76" spans="1:8" s="1231" customFormat="1" ht="14.25" customHeight="1">
      <c r="A76" s="1239" t="s">
        <v>284</v>
      </c>
      <c r="B76" s="1240" t="s">
        <v>1496</v>
      </c>
      <c r="C76" s="1240">
        <v>14690</v>
      </c>
      <c r="D76" s="1240">
        <v>14640</v>
      </c>
      <c r="E76" s="1240">
        <v>14590</v>
      </c>
      <c r="F76" s="1241">
        <v>3060</v>
      </c>
      <c r="H76" s="1259"/>
    </row>
    <row r="77" spans="1:8" s="1231" customFormat="1" ht="14.25" customHeight="1">
      <c r="A77" s="1239" t="s">
        <v>284</v>
      </c>
      <c r="B77" s="1244" t="s">
        <v>1508</v>
      </c>
      <c r="C77" s="1244">
        <v>12550</v>
      </c>
      <c r="D77" s="1244">
        <v>12480</v>
      </c>
      <c r="E77" s="1244">
        <v>12450</v>
      </c>
      <c r="F77" s="1252">
        <v>2590</v>
      </c>
      <c r="H77" s="1259"/>
    </row>
    <row r="78" spans="1:8" s="1231" customFormat="1" ht="14.25" customHeight="1">
      <c r="A78" s="1239" t="s">
        <v>284</v>
      </c>
      <c r="B78" s="1244" t="s">
        <v>1521</v>
      </c>
      <c r="C78" s="1244">
        <v>14360</v>
      </c>
      <c r="D78" s="1244">
        <v>14320</v>
      </c>
      <c r="E78" s="1244">
        <v>12510</v>
      </c>
      <c r="F78" s="1252">
        <v>2700</v>
      </c>
      <c r="H78" s="1259"/>
    </row>
    <row r="79" spans="1:8" s="1231" customFormat="1" ht="14.25" customHeight="1">
      <c r="A79" s="1239" t="s">
        <v>284</v>
      </c>
      <c r="B79" s="1244" t="s">
        <v>1533</v>
      </c>
      <c r="C79" s="1244">
        <v>12590</v>
      </c>
      <c r="D79" s="1244">
        <v>12540</v>
      </c>
      <c r="E79" s="1244">
        <v>12350</v>
      </c>
      <c r="F79" s="1252">
        <v>2740</v>
      </c>
      <c r="H79" s="1259"/>
    </row>
    <row r="80" spans="1:8" s="1231" customFormat="1" ht="14.25" customHeight="1">
      <c r="A80" s="1239" t="s">
        <v>284</v>
      </c>
      <c r="B80" s="1244" t="s">
        <v>1545</v>
      </c>
      <c r="C80" s="1244">
        <v>12450</v>
      </c>
      <c r="D80" s="1244">
        <v>12370</v>
      </c>
      <c r="E80" s="1244">
        <v>10790</v>
      </c>
      <c r="F80" s="1252">
        <v>2290</v>
      </c>
      <c r="H80" s="1259"/>
    </row>
    <row r="81" spans="1:8" s="1231" customFormat="1" ht="14.25" customHeight="1">
      <c r="A81" s="1239" t="s">
        <v>284</v>
      </c>
      <c r="B81" s="1244" t="s">
        <v>1556</v>
      </c>
      <c r="C81" s="1244">
        <v>14210</v>
      </c>
      <c r="D81" s="1244">
        <v>14150</v>
      </c>
      <c r="E81" s="1244">
        <v>12730</v>
      </c>
      <c r="F81" s="1252">
        <v>2240</v>
      </c>
      <c r="H81" s="1259"/>
    </row>
    <row r="82" spans="1:8" s="1231" customFormat="1" ht="14.25" customHeight="1">
      <c r="A82" s="1239" t="s">
        <v>284</v>
      </c>
      <c r="B82" s="1244" t="s">
        <v>1567</v>
      </c>
      <c r="C82" s="1244">
        <v>10860</v>
      </c>
      <c r="D82" s="1244">
        <v>10820</v>
      </c>
      <c r="E82" s="1244">
        <v>14720</v>
      </c>
      <c r="F82" s="1252">
        <v>2490</v>
      </c>
      <c r="H82" s="1259"/>
    </row>
    <row r="83" spans="1:8" s="1231" customFormat="1" ht="14.25" customHeight="1">
      <c r="A83" s="1239" t="s">
        <v>284</v>
      </c>
      <c r="B83" s="1244" t="s">
        <v>1578</v>
      </c>
      <c r="C83" s="1244">
        <v>12810</v>
      </c>
      <c r="D83" s="1244">
        <v>12760</v>
      </c>
      <c r="E83" s="1244">
        <v>14830</v>
      </c>
      <c r="F83" s="1252">
        <v>2450</v>
      </c>
      <c r="H83" s="1259"/>
    </row>
    <row r="84" spans="1:8" s="1231" customFormat="1" ht="14.25" customHeight="1">
      <c r="A84" s="1239" t="s">
        <v>284</v>
      </c>
      <c r="B84" s="1244" t="s">
        <v>1588</v>
      </c>
      <c r="C84" s="1244">
        <v>14950</v>
      </c>
      <c r="D84" s="1244">
        <v>14810</v>
      </c>
      <c r="E84" s="1244">
        <v>12590</v>
      </c>
      <c r="F84" s="1252">
        <v>2540</v>
      </c>
      <c r="H84" s="1259"/>
    </row>
    <row r="85" spans="1:8" s="1231" customFormat="1" ht="14.25" customHeight="1">
      <c r="A85" s="1239" t="s">
        <v>284</v>
      </c>
      <c r="B85" s="1244" t="s">
        <v>1598</v>
      </c>
      <c r="C85" s="1244">
        <v>14960</v>
      </c>
      <c r="D85" s="1244">
        <v>14890</v>
      </c>
      <c r="E85" s="1244">
        <v>12840</v>
      </c>
      <c r="F85" s="1252">
        <v>2840</v>
      </c>
      <c r="H85" s="1259"/>
    </row>
    <row r="86" spans="1:8" s="1231" customFormat="1" ht="14.25" customHeight="1">
      <c r="A86" s="1239" t="s">
        <v>284</v>
      </c>
      <c r="B86" s="1244" t="s">
        <v>1608</v>
      </c>
      <c r="C86" s="1244">
        <v>12730</v>
      </c>
      <c r="D86" s="1244">
        <v>12660</v>
      </c>
      <c r="E86" s="1244">
        <v>13310</v>
      </c>
      <c r="F86" s="1252">
        <v>3140</v>
      </c>
      <c r="H86" s="1259"/>
    </row>
    <row r="87" spans="1:8" s="1231" customFormat="1" ht="14.25" customHeight="1">
      <c r="A87" s="1239" t="s">
        <v>284</v>
      </c>
      <c r="B87" s="1244" t="s">
        <v>1618</v>
      </c>
      <c r="C87" s="1244">
        <v>12940</v>
      </c>
      <c r="D87" s="1244">
        <v>12890</v>
      </c>
      <c r="E87" s="1244">
        <v>11580</v>
      </c>
      <c r="F87" s="1261"/>
      <c r="H87" s="1259"/>
    </row>
    <row r="88" spans="1:8" s="1231" customFormat="1" ht="14.25" customHeight="1">
      <c r="A88" s="1239" t="s">
        <v>284</v>
      </c>
      <c r="B88" s="1244" t="s">
        <v>1628</v>
      </c>
      <c r="C88" s="1244">
        <v>13430</v>
      </c>
      <c r="D88" s="1244">
        <v>13360</v>
      </c>
      <c r="E88" s="1244">
        <v>12790</v>
      </c>
      <c r="F88" s="1261"/>
      <c r="H88" s="1259"/>
    </row>
    <row r="89" spans="1:8" s="1231" customFormat="1" ht="14.25" customHeight="1">
      <c r="A89" s="1239" t="s">
        <v>284</v>
      </c>
      <c r="B89" s="1244" t="s">
        <v>1638</v>
      </c>
      <c r="C89" s="1244">
        <v>11680</v>
      </c>
      <c r="D89" s="1244">
        <v>11630</v>
      </c>
      <c r="E89" s="1244">
        <v>11320</v>
      </c>
      <c r="F89" s="1261"/>
      <c r="H89" s="1259"/>
    </row>
    <row r="90" spans="1:8" s="1231" customFormat="1" ht="14.25" customHeight="1">
      <c r="A90" s="1239" t="s">
        <v>284</v>
      </c>
      <c r="B90" s="1244" t="s">
        <v>1648</v>
      </c>
      <c r="C90" s="1244">
        <v>12890</v>
      </c>
      <c r="D90" s="1244">
        <v>12820</v>
      </c>
      <c r="E90" s="1244">
        <v>12710</v>
      </c>
      <c r="F90" s="1261"/>
      <c r="H90" s="1259"/>
    </row>
    <row r="91" spans="1:8" s="1231" customFormat="1" ht="14.25" customHeight="1">
      <c r="A91" s="1239" t="s">
        <v>284</v>
      </c>
      <c r="B91" s="1244" t="s">
        <v>1658</v>
      </c>
      <c r="C91" s="1244">
        <v>11410</v>
      </c>
      <c r="D91" s="1244">
        <v>11360</v>
      </c>
      <c r="E91" s="1244">
        <v>12670</v>
      </c>
      <c r="F91" s="1261"/>
      <c r="H91" s="1259"/>
    </row>
    <row r="92" spans="1:8" s="1231" customFormat="1" ht="14.25" customHeight="1">
      <c r="A92" s="1239" t="s">
        <v>284</v>
      </c>
      <c r="B92" s="1244" t="s">
        <v>1668</v>
      </c>
      <c r="C92" s="1244">
        <v>12770</v>
      </c>
      <c r="D92" s="1244">
        <v>12740</v>
      </c>
      <c r="E92" s="1244">
        <v>11970</v>
      </c>
      <c r="F92" s="1261"/>
      <c r="H92" s="1259"/>
    </row>
    <row r="93" spans="1:8" s="1231" customFormat="1" ht="14.25" customHeight="1">
      <c r="A93" s="1239" t="s">
        <v>284</v>
      </c>
      <c r="B93" s="1244" t="s">
        <v>1678</v>
      </c>
      <c r="C93" s="1244">
        <v>12740</v>
      </c>
      <c r="D93" s="1244">
        <v>12700</v>
      </c>
      <c r="E93" s="1244">
        <v>12540</v>
      </c>
      <c r="F93" s="1261"/>
      <c r="H93" s="1259"/>
    </row>
    <row r="94" spans="1:8" s="1231" customFormat="1" ht="14.25" customHeight="1">
      <c r="A94" s="1239" t="s">
        <v>284</v>
      </c>
      <c r="B94" s="1244" t="s">
        <v>1688</v>
      </c>
      <c r="C94" s="1244">
        <v>12020</v>
      </c>
      <c r="D94" s="1244">
        <v>11990</v>
      </c>
      <c r="E94" s="1244">
        <v>13110</v>
      </c>
      <c r="F94" s="1261"/>
      <c r="H94" s="1259"/>
    </row>
    <row r="95" spans="1:8" s="1231" customFormat="1" ht="14.25" customHeight="1">
      <c r="A95" s="1239" t="s">
        <v>284</v>
      </c>
      <c r="B95" s="1244" t="s">
        <v>1697</v>
      </c>
      <c r="C95" s="1244">
        <v>12620</v>
      </c>
      <c r="D95" s="1244">
        <v>12580</v>
      </c>
      <c r="E95" s="1244">
        <v>13160</v>
      </c>
      <c r="F95" s="1252"/>
      <c r="H95" s="1259"/>
    </row>
    <row r="96" spans="1:8" s="1231" customFormat="1" ht="14.25" customHeight="1">
      <c r="A96" s="1239" t="s">
        <v>284</v>
      </c>
      <c r="B96" s="1244" t="s">
        <v>1705</v>
      </c>
      <c r="C96" s="1244">
        <v>13200</v>
      </c>
      <c r="D96" s="1244">
        <v>13150</v>
      </c>
      <c r="E96" s="1244">
        <v>12900</v>
      </c>
      <c r="F96" s="1252"/>
      <c r="H96" s="1259"/>
    </row>
    <row r="97" spans="1:8" s="1231" customFormat="1" ht="14.25" customHeight="1">
      <c r="A97" s="1239" t="s">
        <v>284</v>
      </c>
      <c r="B97" s="1244" t="s">
        <v>1713</v>
      </c>
      <c r="C97" s="1244">
        <v>13270</v>
      </c>
      <c r="D97" s="1244">
        <v>13210</v>
      </c>
      <c r="E97" s="1244">
        <v>11080</v>
      </c>
      <c r="F97" s="1252"/>
      <c r="H97" s="1259"/>
    </row>
    <row r="98" spans="1:8" s="1231" customFormat="1" ht="14.25" customHeight="1">
      <c r="A98" s="1239" t="s">
        <v>284</v>
      </c>
      <c r="B98" s="1244" t="s">
        <v>1720</v>
      </c>
      <c r="C98" s="1244">
        <v>13010</v>
      </c>
      <c r="D98" s="1244">
        <v>12930</v>
      </c>
      <c r="E98" s="1244">
        <v>12840</v>
      </c>
      <c r="F98" s="1252"/>
      <c r="H98" s="1259"/>
    </row>
    <row r="99" spans="1:8" s="1231" customFormat="1" ht="14.25" customHeight="1">
      <c r="A99" s="1239" t="s">
        <v>284</v>
      </c>
      <c r="B99" s="1244" t="s">
        <v>1727</v>
      </c>
      <c r="C99" s="1244">
        <v>11190</v>
      </c>
      <c r="D99" s="1244">
        <v>11130</v>
      </c>
      <c r="E99" s="1244"/>
      <c r="F99" s="1252"/>
      <c r="H99" s="1259"/>
    </row>
    <row r="100" spans="1:8" s="1231" customFormat="1" ht="14.25" customHeight="1">
      <c r="A100" s="1239" t="s">
        <v>284</v>
      </c>
      <c r="B100" s="1244" t="s">
        <v>1734</v>
      </c>
      <c r="C100" s="1244">
        <v>14280</v>
      </c>
      <c r="D100" s="1244">
        <v>14180</v>
      </c>
      <c r="E100" s="1244"/>
      <c r="F100" s="1252"/>
      <c r="H100" s="1259"/>
    </row>
    <row r="101" spans="1:8" s="1231" customFormat="1" ht="14.25" customHeight="1">
      <c r="A101" s="1239" t="s">
        <v>284</v>
      </c>
      <c r="B101" s="1244" t="s">
        <v>1741</v>
      </c>
      <c r="C101" s="1244">
        <v>12960</v>
      </c>
      <c r="D101" s="1244">
        <v>12890</v>
      </c>
      <c r="E101" s="1244"/>
      <c r="F101" s="1252"/>
      <c r="H101" s="1259"/>
    </row>
    <row r="102" spans="1:8" s="1231" customFormat="1" ht="14.25" customHeight="1">
      <c r="A102" s="1239" t="s">
        <v>284</v>
      </c>
      <c r="B102" s="1244" t="s">
        <v>1748</v>
      </c>
      <c r="C102" s="1244"/>
      <c r="D102" s="1244"/>
      <c r="E102" s="1244"/>
      <c r="F102" s="1252">
        <v>3100</v>
      </c>
      <c r="H102" s="1259"/>
    </row>
    <row r="103" spans="1:8" s="1231" customFormat="1" ht="14.25" customHeight="1">
      <c r="A103" s="1239" t="s">
        <v>284</v>
      </c>
      <c r="B103" s="1244" t="s">
        <v>1753</v>
      </c>
      <c r="C103" s="1244"/>
      <c r="D103" s="1244"/>
      <c r="E103" s="1244"/>
      <c r="F103" s="1252">
        <v>2320</v>
      </c>
      <c r="H103" s="1259"/>
    </row>
    <row r="104" spans="1:8" s="1231" customFormat="1" ht="14.25" customHeight="1">
      <c r="A104" s="1239" t="s">
        <v>284</v>
      </c>
      <c r="B104" s="1244" t="s">
        <v>1758</v>
      </c>
      <c r="C104" s="1244"/>
      <c r="D104" s="1244"/>
      <c r="E104" s="1244"/>
      <c r="F104" s="1252">
        <v>2320</v>
      </c>
      <c r="H104" s="1259"/>
    </row>
    <row r="105" spans="1:8" s="1231" customFormat="1" ht="14.25" customHeight="1">
      <c r="A105" s="1239" t="s">
        <v>284</v>
      </c>
      <c r="B105" s="1244" t="s">
        <v>1763</v>
      </c>
      <c r="C105" s="1244"/>
      <c r="D105" s="1244"/>
      <c r="E105" s="1244"/>
      <c r="F105" s="1252">
        <v>2320</v>
      </c>
      <c r="H105" s="1259"/>
    </row>
    <row r="106" spans="1:8" s="1231" customFormat="1" ht="14.25" customHeight="1">
      <c r="A106" s="1239" t="s">
        <v>284</v>
      </c>
      <c r="B106" s="1244" t="s">
        <v>1768</v>
      </c>
      <c r="C106" s="1244"/>
      <c r="D106" s="1244"/>
      <c r="E106" s="1244"/>
      <c r="F106" s="1252">
        <v>2320</v>
      </c>
      <c r="H106" s="1259"/>
    </row>
    <row r="107" spans="1:8" s="1231" customFormat="1" ht="14.25" customHeight="1">
      <c r="A107" s="1239" t="s">
        <v>284</v>
      </c>
      <c r="B107" s="1244" t="s">
        <v>1773</v>
      </c>
      <c r="C107" s="1244"/>
      <c r="D107" s="1244"/>
      <c r="E107" s="1244"/>
      <c r="F107" s="1252">
        <v>2280</v>
      </c>
      <c r="H107" s="1259"/>
    </row>
    <row r="108" spans="1:8" s="1231" customFormat="1" ht="14.25" customHeight="1">
      <c r="A108" s="1239" t="s">
        <v>284</v>
      </c>
      <c r="B108" s="1244" t="s">
        <v>1778</v>
      </c>
      <c r="C108" s="1244"/>
      <c r="D108" s="1244"/>
      <c r="E108" s="1244"/>
      <c r="F108" s="1252">
        <v>2280</v>
      </c>
      <c r="H108" s="1259"/>
    </row>
    <row r="109" spans="1:8" s="1231" customFormat="1" ht="14.25" customHeight="1">
      <c r="A109" s="1239" t="s">
        <v>284</v>
      </c>
      <c r="B109" s="1250" t="s">
        <v>1783</v>
      </c>
      <c r="C109" s="1250"/>
      <c r="D109" s="1250"/>
      <c r="E109" s="1250"/>
      <c r="F109" s="1260">
        <v>2280</v>
      </c>
      <c r="H109" s="1259"/>
    </row>
    <row r="110" spans="1:8" s="1231" customFormat="1" ht="14.25" customHeight="1">
      <c r="A110" s="1239" t="s">
        <v>292</v>
      </c>
      <c r="B110" s="1240" t="s">
        <v>1497</v>
      </c>
      <c r="C110" s="1240">
        <v>10520</v>
      </c>
      <c r="D110" s="1240">
        <v>10490</v>
      </c>
      <c r="E110" s="1240">
        <v>10760</v>
      </c>
      <c r="F110" s="1241">
        <v>2160</v>
      </c>
      <c r="H110" s="1259"/>
    </row>
    <row r="111" spans="1:8" s="1231" customFormat="1" ht="14.25" customHeight="1">
      <c r="A111" s="1239" t="s">
        <v>292</v>
      </c>
      <c r="B111" s="1244" t="s">
        <v>1509</v>
      </c>
      <c r="C111" s="1244">
        <v>10090</v>
      </c>
      <c r="D111" s="1244">
        <v>10060</v>
      </c>
      <c r="E111" s="1244">
        <v>10300</v>
      </c>
      <c r="F111" s="1252">
        <v>2010</v>
      </c>
      <c r="H111" s="1259"/>
    </row>
    <row r="112" spans="1:8" s="1231" customFormat="1" ht="14.25" customHeight="1">
      <c r="A112" s="1239" t="s">
        <v>292</v>
      </c>
      <c r="B112" s="1244" t="s">
        <v>1522</v>
      </c>
      <c r="C112" s="1244">
        <v>9910</v>
      </c>
      <c r="D112" s="1244">
        <v>9850</v>
      </c>
      <c r="E112" s="1244">
        <v>9960</v>
      </c>
      <c r="F112" s="1252">
        <v>2090</v>
      </c>
      <c r="H112" s="1259"/>
    </row>
    <row r="113" spans="1:8" s="1231" customFormat="1" ht="14.25" customHeight="1">
      <c r="A113" s="1239" t="s">
        <v>292</v>
      </c>
      <c r="B113" s="1244" t="s">
        <v>1534</v>
      </c>
      <c r="C113" s="1244">
        <v>11430</v>
      </c>
      <c r="D113" s="1244">
        <v>11400</v>
      </c>
      <c r="E113" s="1244">
        <v>11710</v>
      </c>
      <c r="F113" s="1252">
        <v>2050</v>
      </c>
      <c r="H113" s="1259"/>
    </row>
    <row r="114" spans="1:8" s="1231" customFormat="1" ht="14.25" customHeight="1">
      <c r="A114" s="1239" t="s">
        <v>292</v>
      </c>
      <c r="B114" s="1244" t="s">
        <v>1546</v>
      </c>
      <c r="C114" s="1244">
        <v>11390</v>
      </c>
      <c r="D114" s="1244">
        <v>11350</v>
      </c>
      <c r="E114" s="1244">
        <v>11640</v>
      </c>
      <c r="F114" s="1252">
        <v>1620</v>
      </c>
      <c r="H114" s="1259"/>
    </row>
    <row r="115" spans="1:8" s="1231" customFormat="1" ht="14.25" customHeight="1">
      <c r="A115" s="1239" t="s">
        <v>292</v>
      </c>
      <c r="B115" s="1244" t="s">
        <v>1557</v>
      </c>
      <c r="C115" s="1244">
        <v>9930</v>
      </c>
      <c r="D115" s="1244">
        <v>9900</v>
      </c>
      <c r="E115" s="1244">
        <v>10160</v>
      </c>
      <c r="F115" s="1252">
        <v>1580</v>
      </c>
      <c r="H115" s="1259"/>
    </row>
    <row r="116" spans="1:8" s="1231" customFormat="1" ht="14.25" customHeight="1">
      <c r="A116" s="1239" t="s">
        <v>292</v>
      </c>
      <c r="B116" s="1244" t="s">
        <v>1568</v>
      </c>
      <c r="C116" s="1244">
        <v>9150</v>
      </c>
      <c r="D116" s="1244">
        <v>9120</v>
      </c>
      <c r="E116" s="1244">
        <v>9380</v>
      </c>
      <c r="F116" s="1252">
        <v>1750</v>
      </c>
      <c r="H116" s="1259"/>
    </row>
    <row r="117" spans="1:8" s="1231" customFormat="1" ht="14.25" customHeight="1">
      <c r="A117" s="1239" t="s">
        <v>292</v>
      </c>
      <c r="B117" s="1244" t="s">
        <v>1579</v>
      </c>
      <c r="C117" s="1244">
        <v>10680</v>
      </c>
      <c r="D117" s="1244">
        <v>10650</v>
      </c>
      <c r="E117" s="1244">
        <v>10970</v>
      </c>
      <c r="F117" s="1252">
        <v>1730</v>
      </c>
      <c r="H117" s="1259"/>
    </row>
    <row r="118" spans="1:8" s="1231" customFormat="1" ht="14.25" customHeight="1">
      <c r="A118" s="1239" t="s">
        <v>292</v>
      </c>
      <c r="B118" s="1244" t="s">
        <v>1589</v>
      </c>
      <c r="C118" s="1244">
        <v>10080</v>
      </c>
      <c r="D118" s="1244">
        <v>10050</v>
      </c>
      <c r="E118" s="1244">
        <v>10350</v>
      </c>
      <c r="F118" s="1252">
        <v>1920</v>
      </c>
      <c r="H118" s="1259"/>
    </row>
    <row r="119" spans="1:8" s="1231" customFormat="1" ht="14.25" customHeight="1">
      <c r="A119" s="1239" t="s">
        <v>292</v>
      </c>
      <c r="B119" s="1244" t="s">
        <v>1599</v>
      </c>
      <c r="C119" s="1244">
        <v>9450</v>
      </c>
      <c r="D119" s="1244">
        <v>9410</v>
      </c>
      <c r="E119" s="1244">
        <v>9680</v>
      </c>
      <c r="F119" s="1252">
        <v>1880</v>
      </c>
      <c r="H119" s="1259"/>
    </row>
    <row r="120" spans="1:8" s="1231" customFormat="1" ht="14.25" customHeight="1">
      <c r="A120" s="1239" t="s">
        <v>292</v>
      </c>
      <c r="B120" s="1244" t="s">
        <v>1609</v>
      </c>
      <c r="C120" s="1244">
        <v>8730</v>
      </c>
      <c r="D120" s="1244">
        <v>8700</v>
      </c>
      <c r="E120" s="1244">
        <v>8950</v>
      </c>
      <c r="F120" s="1252">
        <v>1830</v>
      </c>
      <c r="H120" s="1259"/>
    </row>
    <row r="121" spans="1:8" s="1231" customFormat="1" ht="14.25" customHeight="1">
      <c r="A121" s="1239" t="s">
        <v>292</v>
      </c>
      <c r="B121" s="1244" t="s">
        <v>1619</v>
      </c>
      <c r="C121" s="1244">
        <v>10070</v>
      </c>
      <c r="D121" s="1244">
        <v>10040</v>
      </c>
      <c r="E121" s="1244">
        <v>10270</v>
      </c>
      <c r="F121" s="1252">
        <v>1960</v>
      </c>
      <c r="H121" s="1259"/>
    </row>
    <row r="122" spans="1:8" s="1231" customFormat="1" ht="14.25" customHeight="1">
      <c r="A122" s="1239" t="s">
        <v>292</v>
      </c>
      <c r="B122" s="1244" t="s">
        <v>1629</v>
      </c>
      <c r="C122" s="1244">
        <v>10500</v>
      </c>
      <c r="D122" s="1244">
        <v>10470</v>
      </c>
      <c r="E122" s="1244">
        <v>10780</v>
      </c>
      <c r="F122" s="1252">
        <v>2180</v>
      </c>
      <c r="H122" s="1259"/>
    </row>
    <row r="123" spans="1:8" s="1231" customFormat="1" ht="14.25" customHeight="1">
      <c r="A123" s="1239" t="s">
        <v>292</v>
      </c>
      <c r="B123" s="1244" t="s">
        <v>1639</v>
      </c>
      <c r="C123" s="1244">
        <v>10390</v>
      </c>
      <c r="D123" s="1244">
        <v>10360</v>
      </c>
      <c r="E123" s="1244">
        <v>10660</v>
      </c>
      <c r="F123" s="1252">
        <v>2040</v>
      </c>
      <c r="H123" s="1259"/>
    </row>
    <row r="124" spans="1:8" s="1231" customFormat="1" ht="14.25" customHeight="1">
      <c r="A124" s="1239" t="s">
        <v>292</v>
      </c>
      <c r="B124" s="1244" t="s">
        <v>1649</v>
      </c>
      <c r="C124" s="1244">
        <v>10390</v>
      </c>
      <c r="D124" s="1244">
        <v>10360</v>
      </c>
      <c r="E124" s="1244">
        <v>10680</v>
      </c>
      <c r="F124" s="1261"/>
      <c r="H124" s="1259"/>
    </row>
    <row r="125" spans="1:8" s="1231" customFormat="1" ht="14.25" customHeight="1">
      <c r="A125" s="1239" t="s">
        <v>292</v>
      </c>
      <c r="B125" s="1244" t="s">
        <v>1659</v>
      </c>
      <c r="C125" s="1244">
        <v>10440</v>
      </c>
      <c r="D125" s="1244">
        <v>10410</v>
      </c>
      <c r="E125" s="1244">
        <v>10710</v>
      </c>
      <c r="F125" s="1261"/>
      <c r="H125" s="1259"/>
    </row>
    <row r="126" spans="1:8" s="1231" customFormat="1" ht="14.25" customHeight="1">
      <c r="A126" s="1239" t="s">
        <v>292</v>
      </c>
      <c r="B126" s="1244" t="s">
        <v>1669</v>
      </c>
      <c r="C126" s="1244">
        <v>10780</v>
      </c>
      <c r="D126" s="1244">
        <v>10750</v>
      </c>
      <c r="E126" s="1244">
        <v>11080</v>
      </c>
      <c r="F126" s="1261"/>
      <c r="H126" s="1259"/>
    </row>
    <row r="127" spans="1:8" s="1231" customFormat="1" ht="14.25" customHeight="1">
      <c r="A127" s="1239" t="s">
        <v>292</v>
      </c>
      <c r="B127" s="1244" t="s">
        <v>1679</v>
      </c>
      <c r="C127" s="1244">
        <v>10100</v>
      </c>
      <c r="D127" s="1244">
        <v>10070</v>
      </c>
      <c r="E127" s="1244">
        <v>10350</v>
      </c>
      <c r="F127" s="1261"/>
      <c r="H127" s="1259"/>
    </row>
    <row r="128" spans="1:8" s="1231" customFormat="1" ht="14.25" customHeight="1">
      <c r="A128" s="1239" t="s">
        <v>292</v>
      </c>
      <c r="B128" s="1244" t="s">
        <v>1689</v>
      </c>
      <c r="C128" s="1244">
        <v>9200</v>
      </c>
      <c r="D128" s="1244">
        <v>9160</v>
      </c>
      <c r="E128" s="1244">
        <v>9660</v>
      </c>
      <c r="F128" s="1261"/>
      <c r="H128" s="1259"/>
    </row>
    <row r="129" spans="1:8" s="1231" customFormat="1" ht="14.25" customHeight="1">
      <c r="A129" s="1239" t="s">
        <v>292</v>
      </c>
      <c r="B129" s="1244" t="s">
        <v>1698</v>
      </c>
      <c r="C129" s="1244">
        <v>10340</v>
      </c>
      <c r="D129" s="1244">
        <v>10310</v>
      </c>
      <c r="E129" s="1244">
        <v>10580</v>
      </c>
      <c r="F129" s="1261"/>
      <c r="H129" s="1259"/>
    </row>
    <row r="130" spans="1:8" s="1231" customFormat="1" ht="14.25" customHeight="1">
      <c r="A130" s="1239" t="s">
        <v>292</v>
      </c>
      <c r="B130" s="1244" t="s">
        <v>1706</v>
      </c>
      <c r="C130" s="1244">
        <v>9680</v>
      </c>
      <c r="D130" s="1244">
        <v>9660</v>
      </c>
      <c r="E130" s="1244">
        <v>9950</v>
      </c>
      <c r="F130" s="1261"/>
      <c r="H130" s="1259"/>
    </row>
    <row r="131" spans="1:8" s="1231" customFormat="1" ht="14.25" customHeight="1">
      <c r="A131" s="1239" t="s">
        <v>292</v>
      </c>
      <c r="B131" s="1244" t="s">
        <v>1714</v>
      </c>
      <c r="C131" s="1244">
        <v>9540</v>
      </c>
      <c r="D131" s="1244">
        <v>9510</v>
      </c>
      <c r="E131" s="1244">
        <v>9790</v>
      </c>
      <c r="F131" s="1261"/>
      <c r="H131" s="1259"/>
    </row>
    <row r="132" spans="1:8" s="1231" customFormat="1" ht="14.25" customHeight="1">
      <c r="A132" s="1239" t="s">
        <v>292</v>
      </c>
      <c r="B132" s="1244" t="s">
        <v>1721</v>
      </c>
      <c r="C132" s="1244">
        <v>9320</v>
      </c>
      <c r="D132" s="1244">
        <v>9290</v>
      </c>
      <c r="E132" s="1244">
        <v>9570</v>
      </c>
      <c r="F132" s="1261"/>
      <c r="H132" s="1259"/>
    </row>
    <row r="133" spans="1:8" s="1231" customFormat="1" ht="14.25" customHeight="1">
      <c r="A133" s="1239" t="s">
        <v>292</v>
      </c>
      <c r="B133" s="1244" t="s">
        <v>1728</v>
      </c>
      <c r="C133" s="1244">
        <v>10310</v>
      </c>
      <c r="D133" s="1244">
        <v>10280</v>
      </c>
      <c r="E133" s="1244">
        <v>10530</v>
      </c>
      <c r="F133" s="1261"/>
      <c r="H133" s="1259"/>
    </row>
    <row r="134" spans="1:8" s="1231" customFormat="1" ht="14.25" customHeight="1">
      <c r="A134" s="1239" t="s">
        <v>292</v>
      </c>
      <c r="B134" s="1244" t="s">
        <v>1735</v>
      </c>
      <c r="C134" s="1244">
        <v>10370</v>
      </c>
      <c r="D134" s="1244">
        <v>10310</v>
      </c>
      <c r="E134" s="1244">
        <v>10240</v>
      </c>
      <c r="F134" s="1252">
        <v>2060</v>
      </c>
      <c r="H134" s="1259"/>
    </row>
    <row r="135" spans="1:8" s="1231" customFormat="1" ht="14.25" customHeight="1">
      <c r="A135" s="1239" t="s">
        <v>292</v>
      </c>
      <c r="B135" s="1244" t="s">
        <v>1742</v>
      </c>
      <c r="C135" s="1244">
        <v>9300</v>
      </c>
      <c r="D135" s="1244">
        <v>9270</v>
      </c>
      <c r="E135" s="1244">
        <v>9350</v>
      </c>
      <c r="F135" s="1261"/>
      <c r="H135" s="1259"/>
    </row>
    <row r="136" spans="1:8" s="1231" customFormat="1" ht="14.25" customHeight="1">
      <c r="A136" s="1239" t="s">
        <v>292</v>
      </c>
      <c r="B136" s="1244" t="s">
        <v>1749</v>
      </c>
      <c r="C136" s="1244">
        <v>10160</v>
      </c>
      <c r="D136" s="1244">
        <v>10110</v>
      </c>
      <c r="E136" s="1244">
        <v>10080</v>
      </c>
      <c r="F136" s="1261"/>
      <c r="H136" s="1259"/>
    </row>
    <row r="137" spans="1:8" s="1231" customFormat="1" ht="14.25" customHeight="1">
      <c r="A137" s="1239" t="s">
        <v>292</v>
      </c>
      <c r="B137" s="1244" t="s">
        <v>1754</v>
      </c>
      <c r="C137" s="1244">
        <v>9200</v>
      </c>
      <c r="D137" s="1244">
        <v>9170</v>
      </c>
      <c r="E137" s="1244">
        <v>9450</v>
      </c>
      <c r="F137" s="1261"/>
      <c r="H137" s="1259"/>
    </row>
    <row r="138" spans="1:8" s="1231" customFormat="1" ht="14.25" customHeight="1">
      <c r="A138" s="1239" t="s">
        <v>292</v>
      </c>
      <c r="B138" s="1244" t="s">
        <v>1759</v>
      </c>
      <c r="C138" s="1244">
        <v>9690</v>
      </c>
      <c r="D138" s="1244">
        <v>9660</v>
      </c>
      <c r="E138" s="1244">
        <v>9840</v>
      </c>
      <c r="F138" s="1261"/>
      <c r="H138" s="1259"/>
    </row>
    <row r="139" spans="1:8" s="1231" customFormat="1" ht="14.25" customHeight="1">
      <c r="A139" s="1239" t="s">
        <v>292</v>
      </c>
      <c r="B139" s="1244" t="s">
        <v>1764</v>
      </c>
      <c r="C139" s="1244">
        <v>10290</v>
      </c>
      <c r="D139" s="1244">
        <v>10260</v>
      </c>
      <c r="E139" s="1244">
        <v>10550</v>
      </c>
      <c r="F139" s="1252">
        <v>1700</v>
      </c>
      <c r="H139" s="1259"/>
    </row>
    <row r="140" spans="1:8" s="1231" customFormat="1" ht="14.25" customHeight="1">
      <c r="A140" s="1239" t="s">
        <v>292</v>
      </c>
      <c r="B140" s="1244" t="s">
        <v>1769</v>
      </c>
      <c r="C140" s="1244">
        <v>9740</v>
      </c>
      <c r="D140" s="1244">
        <v>9710</v>
      </c>
      <c r="E140" s="1244">
        <v>10000</v>
      </c>
      <c r="F140" s="1252">
        <v>2000</v>
      </c>
      <c r="H140" s="1259"/>
    </row>
    <row r="141" spans="1:8" s="1231" customFormat="1" ht="14.25" customHeight="1">
      <c r="A141" s="1239" t="s">
        <v>292</v>
      </c>
      <c r="B141" s="1244" t="s">
        <v>1774</v>
      </c>
      <c r="C141" s="1244">
        <v>9810</v>
      </c>
      <c r="D141" s="1244">
        <v>9770</v>
      </c>
      <c r="E141" s="1244">
        <v>10060</v>
      </c>
      <c r="F141" s="1261"/>
      <c r="H141" s="1259"/>
    </row>
    <row r="142" spans="1:8" s="1231" customFormat="1" ht="14.25" customHeight="1">
      <c r="A142" s="1239" t="s">
        <v>292</v>
      </c>
      <c r="B142" s="1244" t="s">
        <v>1779</v>
      </c>
      <c r="C142" s="1244">
        <v>9300</v>
      </c>
      <c r="D142" s="1244">
        <v>9270</v>
      </c>
      <c r="E142" s="1244">
        <v>9530</v>
      </c>
      <c r="F142" s="1261"/>
      <c r="H142" s="1259"/>
    </row>
    <row r="143" spans="1:8" s="1231" customFormat="1" ht="14.25" customHeight="1">
      <c r="A143" s="1239" t="s">
        <v>292</v>
      </c>
      <c r="B143" s="1244" t="s">
        <v>1784</v>
      </c>
      <c r="C143" s="1244">
        <v>10080</v>
      </c>
      <c r="D143" s="1244">
        <v>10050</v>
      </c>
      <c r="E143" s="1244">
        <v>10340</v>
      </c>
      <c r="F143" s="1261"/>
      <c r="H143" s="1259"/>
    </row>
    <row r="144" spans="1:8" s="1231" customFormat="1" ht="14.25" customHeight="1">
      <c r="A144" s="1239" t="s">
        <v>292</v>
      </c>
      <c r="B144" s="1244" t="s">
        <v>1788</v>
      </c>
      <c r="C144" s="1244">
        <v>9820</v>
      </c>
      <c r="D144" s="1244">
        <v>9750</v>
      </c>
      <c r="E144" s="1244">
        <v>9900</v>
      </c>
      <c r="F144" s="1261"/>
      <c r="H144" s="1259"/>
    </row>
    <row r="145" spans="1:8" s="1231" customFormat="1" ht="14.25" customHeight="1">
      <c r="A145" s="1239" t="s">
        <v>292</v>
      </c>
      <c r="B145" s="1244" t="s">
        <v>1792</v>
      </c>
      <c r="C145" s="1244"/>
      <c r="D145" s="1244"/>
      <c r="E145" s="1244"/>
      <c r="F145" s="1252">
        <v>1740</v>
      </c>
      <c r="H145" s="1259"/>
    </row>
    <row r="146" spans="1:8" s="1231" customFormat="1" ht="14.25" customHeight="1">
      <c r="A146" s="1239" t="s">
        <v>292</v>
      </c>
      <c r="B146" s="1244" t="s">
        <v>1796</v>
      </c>
      <c r="C146" s="1244"/>
      <c r="D146" s="1244"/>
      <c r="E146" s="1244"/>
      <c r="F146" s="1252">
        <v>1740</v>
      </c>
      <c r="H146" s="1259"/>
    </row>
    <row r="147" spans="1:8" s="1231" customFormat="1" ht="14.25" customHeight="1">
      <c r="A147" s="1239" t="s">
        <v>292</v>
      </c>
      <c r="B147" s="1244" t="s">
        <v>1800</v>
      </c>
      <c r="C147" s="1244"/>
      <c r="D147" s="1244"/>
      <c r="E147" s="1244"/>
      <c r="F147" s="1252">
        <v>1740</v>
      </c>
      <c r="H147" s="1259"/>
    </row>
    <row r="148" spans="1:8" s="1231" customFormat="1" ht="14.25" customHeight="1">
      <c r="A148" s="1239" t="s">
        <v>292</v>
      </c>
      <c r="B148" s="1244" t="s">
        <v>1804</v>
      </c>
      <c r="C148" s="1244"/>
      <c r="D148" s="1244"/>
      <c r="E148" s="1244"/>
      <c r="F148" s="1252">
        <v>1740</v>
      </c>
      <c r="H148" s="1259"/>
    </row>
    <row r="149" spans="1:8" s="1231" customFormat="1" ht="14.25" customHeight="1">
      <c r="A149" s="1239" t="s">
        <v>292</v>
      </c>
      <c r="B149" s="1244" t="s">
        <v>1808</v>
      </c>
      <c r="C149" s="1244"/>
      <c r="D149" s="1244"/>
      <c r="E149" s="1244"/>
      <c r="F149" s="1252">
        <v>1740</v>
      </c>
      <c r="H149" s="1259"/>
    </row>
    <row r="150" spans="1:8" s="1231" customFormat="1" ht="14.25" customHeight="1">
      <c r="A150" s="1239" t="s">
        <v>292</v>
      </c>
      <c r="B150" s="1244" t="s">
        <v>1811</v>
      </c>
      <c r="C150" s="1244"/>
      <c r="D150" s="1244"/>
      <c r="E150" s="1244"/>
      <c r="F150" s="1252">
        <v>1610</v>
      </c>
      <c r="H150" s="1259"/>
    </row>
    <row r="151" spans="1:8" s="1231" customFormat="1" ht="14.25" customHeight="1">
      <c r="A151" s="1239" t="s">
        <v>292</v>
      </c>
      <c r="B151" s="1244" t="s">
        <v>1814</v>
      </c>
      <c r="C151" s="1244"/>
      <c r="D151" s="1244"/>
      <c r="E151" s="1244"/>
      <c r="F151" s="1252">
        <v>1610</v>
      </c>
      <c r="H151" s="1259"/>
    </row>
    <row r="152" spans="1:8" s="1231" customFormat="1" ht="14.25" customHeight="1">
      <c r="A152" s="1239" t="s">
        <v>292</v>
      </c>
      <c r="B152" s="1244" t="s">
        <v>1817</v>
      </c>
      <c r="C152" s="1244"/>
      <c r="D152" s="1244"/>
      <c r="E152" s="1244"/>
      <c r="F152" s="1252">
        <v>1610</v>
      </c>
      <c r="H152" s="1259"/>
    </row>
    <row r="153" spans="1:8" s="1231" customFormat="1" ht="14.25" customHeight="1">
      <c r="A153" s="1239" t="s">
        <v>292</v>
      </c>
      <c r="B153" s="1244" t="s">
        <v>1820</v>
      </c>
      <c r="C153" s="1244"/>
      <c r="D153" s="1244"/>
      <c r="E153" s="1244"/>
      <c r="F153" s="1252">
        <v>1610</v>
      </c>
      <c r="H153" s="1259"/>
    </row>
    <row r="154" spans="1:8" s="1231" customFormat="1" ht="14.25" customHeight="1">
      <c r="A154" s="1239" t="s">
        <v>292</v>
      </c>
      <c r="B154" s="1244" t="s">
        <v>1823</v>
      </c>
      <c r="C154" s="1244"/>
      <c r="D154" s="1244"/>
      <c r="E154" s="1244"/>
      <c r="F154" s="1252">
        <v>1610</v>
      </c>
      <c r="H154" s="1259"/>
    </row>
    <row r="155" spans="1:8" s="1231" customFormat="1" ht="14.25" customHeight="1">
      <c r="A155" s="1239" t="s">
        <v>292</v>
      </c>
      <c r="B155" s="1244" t="s">
        <v>1826</v>
      </c>
      <c r="C155" s="1244"/>
      <c r="D155" s="1244"/>
      <c r="E155" s="1244"/>
      <c r="F155" s="1252">
        <v>1800</v>
      </c>
      <c r="H155" s="1259"/>
    </row>
    <row r="156" spans="1:8" s="1231" customFormat="1" ht="14.25" customHeight="1">
      <c r="A156" s="1239" t="s">
        <v>292</v>
      </c>
      <c r="B156" s="1244" t="s">
        <v>1828</v>
      </c>
      <c r="C156" s="1244"/>
      <c r="D156" s="1244"/>
      <c r="E156" s="1244"/>
      <c r="F156" s="1252">
        <v>1910</v>
      </c>
      <c r="H156" s="1259"/>
    </row>
    <row r="157" spans="1:8" s="1231" customFormat="1" ht="14.25" customHeight="1">
      <c r="A157" s="1239" t="s">
        <v>292</v>
      </c>
      <c r="B157" s="1250" t="s">
        <v>1830</v>
      </c>
      <c r="C157" s="1250"/>
      <c r="D157" s="1250"/>
      <c r="E157" s="1250"/>
      <c r="F157" s="1260">
        <v>1500</v>
      </c>
      <c r="H157" s="1259"/>
    </row>
    <row r="158" spans="1:8" s="1231" customFormat="1" ht="14.25" customHeight="1">
      <c r="A158" s="1239" t="s">
        <v>297</v>
      </c>
      <c r="B158" s="1240" t="s">
        <v>416</v>
      </c>
      <c r="C158" s="1240">
        <v>8170</v>
      </c>
      <c r="D158" s="1240">
        <v>8140</v>
      </c>
      <c r="E158" s="1240">
        <v>8590</v>
      </c>
      <c r="F158" s="1241">
        <v>1450</v>
      </c>
      <c r="H158" s="1259"/>
    </row>
    <row r="159" spans="1:8" s="1231" customFormat="1" ht="14.25" customHeight="1">
      <c r="A159" s="1239" t="s">
        <v>297</v>
      </c>
      <c r="B159" s="1244" t="s">
        <v>1510</v>
      </c>
      <c r="C159" s="1244">
        <v>7410</v>
      </c>
      <c r="D159" s="1244">
        <v>7370</v>
      </c>
      <c r="E159" s="1244">
        <v>8030</v>
      </c>
      <c r="F159" s="1252">
        <v>1510</v>
      </c>
      <c r="H159" s="1259"/>
    </row>
    <row r="160" spans="1:8" s="1231" customFormat="1" ht="14.25" customHeight="1">
      <c r="A160" s="1239" t="s">
        <v>297</v>
      </c>
      <c r="B160" s="1244" t="s">
        <v>1523</v>
      </c>
      <c r="C160" s="1244">
        <v>7240</v>
      </c>
      <c r="D160" s="1244">
        <v>7210</v>
      </c>
      <c r="E160" s="1244">
        <v>7860</v>
      </c>
      <c r="F160" s="1252">
        <v>1370</v>
      </c>
      <c r="H160" s="1259"/>
    </row>
    <row r="161" spans="1:8" s="1231" customFormat="1" ht="14.25" customHeight="1">
      <c r="A161" s="1239" t="s">
        <v>297</v>
      </c>
      <c r="B161" s="1244" t="s">
        <v>1535</v>
      </c>
      <c r="C161" s="1244">
        <v>7720</v>
      </c>
      <c r="D161" s="1244">
        <v>7690</v>
      </c>
      <c r="E161" s="1244">
        <v>8200</v>
      </c>
      <c r="F161" s="1252">
        <v>1190</v>
      </c>
      <c r="H161" s="1259"/>
    </row>
    <row r="162" spans="1:8" s="1231" customFormat="1" ht="14.25" customHeight="1">
      <c r="A162" s="1239" t="s">
        <v>297</v>
      </c>
      <c r="B162" s="1244" t="s">
        <v>1547</v>
      </c>
      <c r="C162" s="1244">
        <v>6900</v>
      </c>
      <c r="D162" s="1244">
        <v>6870</v>
      </c>
      <c r="E162" s="1244">
        <v>7500</v>
      </c>
      <c r="F162" s="1252">
        <v>1390</v>
      </c>
      <c r="H162" s="1259"/>
    </row>
    <row r="163" spans="1:8" s="1231" customFormat="1" ht="14.25" customHeight="1">
      <c r="A163" s="1239" t="s">
        <v>297</v>
      </c>
      <c r="B163" s="1244" t="s">
        <v>1558</v>
      </c>
      <c r="C163" s="1244">
        <v>7120</v>
      </c>
      <c r="D163" s="1244">
        <v>7090</v>
      </c>
      <c r="E163" s="1244">
        <v>7690</v>
      </c>
      <c r="F163" s="1252">
        <v>1230</v>
      </c>
      <c r="H163" s="1259"/>
    </row>
    <row r="164" spans="1:8" s="1231" customFormat="1" ht="14.25" customHeight="1">
      <c r="A164" s="1239" t="s">
        <v>297</v>
      </c>
      <c r="B164" s="1244" t="s">
        <v>1569</v>
      </c>
      <c r="C164" s="1244">
        <v>6560</v>
      </c>
      <c r="D164" s="1244">
        <v>6530</v>
      </c>
      <c r="E164" s="1244">
        <v>7110</v>
      </c>
      <c r="F164" s="1252">
        <v>1340</v>
      </c>
      <c r="H164" s="1259"/>
    </row>
    <row r="165" spans="1:8" s="1231" customFormat="1" ht="14.25" customHeight="1">
      <c r="A165" s="1239" t="s">
        <v>297</v>
      </c>
      <c r="B165" s="1244" t="s">
        <v>1580</v>
      </c>
      <c r="C165" s="1244">
        <v>7450</v>
      </c>
      <c r="D165" s="1244">
        <v>7430</v>
      </c>
      <c r="E165" s="1244">
        <v>8110</v>
      </c>
      <c r="F165" s="1252">
        <v>1290</v>
      </c>
      <c r="H165" s="1259"/>
    </row>
    <row r="166" spans="1:8" s="1231" customFormat="1" ht="14.25" customHeight="1">
      <c r="A166" s="1239" t="s">
        <v>297</v>
      </c>
      <c r="B166" s="1244" t="s">
        <v>1590</v>
      </c>
      <c r="C166" s="1244">
        <v>7490</v>
      </c>
      <c r="D166" s="1244">
        <v>7460</v>
      </c>
      <c r="E166" s="1244">
        <v>8150</v>
      </c>
      <c r="F166" s="1252">
        <v>1350</v>
      </c>
      <c r="H166" s="1259"/>
    </row>
    <row r="167" spans="1:8" s="1231" customFormat="1" ht="14.25" customHeight="1">
      <c r="A167" s="1239" t="s">
        <v>297</v>
      </c>
      <c r="B167" s="1244" t="s">
        <v>1600</v>
      </c>
      <c r="C167" s="1244">
        <v>7540</v>
      </c>
      <c r="D167" s="1244">
        <v>7510</v>
      </c>
      <c r="E167" s="1244">
        <v>8030</v>
      </c>
      <c r="F167" s="1261"/>
      <c r="H167" s="1259"/>
    </row>
    <row r="168" spans="1:8" s="1231" customFormat="1" ht="14.25" customHeight="1">
      <c r="A168" s="1239" t="s">
        <v>297</v>
      </c>
      <c r="B168" s="1244" t="s">
        <v>1610</v>
      </c>
      <c r="C168" s="1244">
        <v>7210</v>
      </c>
      <c r="D168" s="1244">
        <v>7180</v>
      </c>
      <c r="E168" s="1244">
        <v>7830</v>
      </c>
      <c r="F168" s="1261"/>
      <c r="H168" s="1259"/>
    </row>
    <row r="169" spans="1:8" s="1231" customFormat="1" ht="14.25" customHeight="1">
      <c r="A169" s="1239" t="s">
        <v>297</v>
      </c>
      <c r="B169" s="1244" t="s">
        <v>1620</v>
      </c>
      <c r="C169" s="1244">
        <v>7040</v>
      </c>
      <c r="D169" s="1244">
        <v>7020</v>
      </c>
      <c r="E169" s="1244">
        <v>7670</v>
      </c>
      <c r="F169" s="1261"/>
      <c r="H169" s="1259"/>
    </row>
    <row r="170" spans="1:8" s="1231" customFormat="1" ht="14.25" customHeight="1">
      <c r="A170" s="1239" t="s">
        <v>297</v>
      </c>
      <c r="B170" s="1244" t="s">
        <v>1630</v>
      </c>
      <c r="C170" s="1244">
        <v>8040</v>
      </c>
      <c r="D170" s="1244">
        <v>7190</v>
      </c>
      <c r="E170" s="1244">
        <v>7850</v>
      </c>
      <c r="F170" s="1261"/>
      <c r="H170" s="1259"/>
    </row>
    <row r="171" spans="1:8" s="1231" customFormat="1" ht="14.25" customHeight="1">
      <c r="A171" s="1239" t="s">
        <v>297</v>
      </c>
      <c r="B171" s="1244" t="s">
        <v>1640</v>
      </c>
      <c r="C171" s="1244">
        <v>7860</v>
      </c>
      <c r="D171" s="1244">
        <v>7720</v>
      </c>
      <c r="E171" s="1244">
        <v>8150</v>
      </c>
      <c r="F171" s="1252">
        <v>1110</v>
      </c>
      <c r="H171" s="1259"/>
    </row>
    <row r="172" spans="1:8" s="1231" customFormat="1" ht="14.25" customHeight="1">
      <c r="A172" s="1239" t="s">
        <v>297</v>
      </c>
      <c r="B172" s="1244" t="s">
        <v>1650</v>
      </c>
      <c r="C172" s="1244">
        <v>7210</v>
      </c>
      <c r="D172" s="1244">
        <v>7170</v>
      </c>
      <c r="E172" s="1244">
        <v>7320</v>
      </c>
      <c r="F172" s="1261"/>
      <c r="H172" s="1259"/>
    </row>
    <row r="173" spans="1:8" s="1231" customFormat="1" ht="14.25" customHeight="1">
      <c r="A173" s="1239" t="s">
        <v>297</v>
      </c>
      <c r="B173" s="1244" t="s">
        <v>1660</v>
      </c>
      <c r="C173" s="1244">
        <v>6860</v>
      </c>
      <c r="D173" s="1244">
        <v>6810</v>
      </c>
      <c r="E173" s="1244">
        <v>7440</v>
      </c>
      <c r="F173" s="1261"/>
      <c r="H173" s="1259"/>
    </row>
    <row r="174" spans="1:8" s="1231" customFormat="1" ht="14.25" customHeight="1">
      <c r="A174" s="1239" t="s">
        <v>297</v>
      </c>
      <c r="B174" s="1244" t="s">
        <v>1670</v>
      </c>
      <c r="C174" s="1244">
        <v>7120</v>
      </c>
      <c r="D174" s="1244">
        <v>7090</v>
      </c>
      <c r="E174" s="1244">
        <v>7500</v>
      </c>
      <c r="F174" s="1252">
        <v>1490</v>
      </c>
      <c r="H174" s="1259"/>
    </row>
    <row r="175" spans="1:8" s="1231" customFormat="1" ht="14.25" customHeight="1">
      <c r="A175" s="1239" t="s">
        <v>297</v>
      </c>
      <c r="B175" s="1244" t="s">
        <v>1680</v>
      </c>
      <c r="C175" s="1244">
        <v>7850</v>
      </c>
      <c r="D175" s="1244">
        <v>7820</v>
      </c>
      <c r="E175" s="1244">
        <v>8120</v>
      </c>
      <c r="F175" s="1252">
        <v>1530</v>
      </c>
      <c r="H175" s="1259"/>
    </row>
    <row r="176" spans="1:8" s="1231" customFormat="1" ht="14.25" customHeight="1">
      <c r="A176" s="1239" t="s">
        <v>297</v>
      </c>
      <c r="B176" s="1244" t="s">
        <v>1690</v>
      </c>
      <c r="C176" s="1244">
        <v>7620</v>
      </c>
      <c r="D176" s="1244">
        <v>7570</v>
      </c>
      <c r="E176" s="1244">
        <v>7990</v>
      </c>
      <c r="F176" s="1252">
        <v>1480</v>
      </c>
      <c r="H176" s="1259"/>
    </row>
    <row r="177" spans="1:8" s="1231" customFormat="1" ht="14.25" customHeight="1">
      <c r="A177" s="1239" t="s">
        <v>297</v>
      </c>
      <c r="B177" s="1244" t="s">
        <v>1699</v>
      </c>
      <c r="C177" s="1244">
        <v>8590</v>
      </c>
      <c r="D177" s="1244">
        <v>8570</v>
      </c>
      <c r="E177" s="1244">
        <v>8740</v>
      </c>
      <c r="F177" s="1252">
        <v>1540</v>
      </c>
      <c r="H177" s="1259"/>
    </row>
    <row r="178" spans="1:8" s="1231" customFormat="1" ht="14.25" customHeight="1">
      <c r="A178" s="1239" t="s">
        <v>297</v>
      </c>
      <c r="B178" s="1244" t="s">
        <v>1707</v>
      </c>
      <c r="C178" s="1244">
        <v>7510</v>
      </c>
      <c r="D178" s="1244">
        <v>7470</v>
      </c>
      <c r="E178" s="1244">
        <v>8090</v>
      </c>
      <c r="F178" s="1252">
        <v>1320</v>
      </c>
      <c r="H178" s="1259"/>
    </row>
    <row r="179" spans="1:8" s="1231" customFormat="1" ht="14.25" customHeight="1">
      <c r="A179" s="1239" t="s">
        <v>297</v>
      </c>
      <c r="B179" s="1244" t="s">
        <v>1715</v>
      </c>
      <c r="C179" s="1244">
        <v>6380</v>
      </c>
      <c r="D179" s="1244">
        <v>6340</v>
      </c>
      <c r="E179" s="1244">
        <v>6810</v>
      </c>
      <c r="F179" s="1261"/>
      <c r="H179" s="1259"/>
    </row>
    <row r="180" spans="1:8" s="1231" customFormat="1" ht="14.25" customHeight="1">
      <c r="A180" s="1239" t="s">
        <v>297</v>
      </c>
      <c r="B180" s="1244" t="s">
        <v>1722</v>
      </c>
      <c r="C180" s="1244">
        <v>7830</v>
      </c>
      <c r="D180" s="1244">
        <v>7800</v>
      </c>
      <c r="E180" s="1244">
        <v>7780</v>
      </c>
      <c r="F180" s="1252">
        <v>1440</v>
      </c>
      <c r="H180" s="1259"/>
    </row>
    <row r="181" spans="1:8" s="1231" customFormat="1" ht="14.25" customHeight="1">
      <c r="A181" s="1239" t="s">
        <v>297</v>
      </c>
      <c r="B181" s="1244" t="s">
        <v>1729</v>
      </c>
      <c r="C181" s="1244">
        <v>7110</v>
      </c>
      <c r="D181" s="1244">
        <v>7080</v>
      </c>
      <c r="E181" s="1244">
        <v>7730</v>
      </c>
      <c r="F181" s="1252">
        <v>1350</v>
      </c>
      <c r="H181" s="1259"/>
    </row>
    <row r="182" spans="1:8" s="1231" customFormat="1" ht="14.25" customHeight="1">
      <c r="A182" s="1239" t="s">
        <v>297</v>
      </c>
      <c r="B182" s="1244" t="s">
        <v>1736</v>
      </c>
      <c r="C182" s="1244">
        <v>7310</v>
      </c>
      <c r="D182" s="1244">
        <v>7280</v>
      </c>
      <c r="E182" s="1244">
        <v>7950</v>
      </c>
      <c r="F182" s="1252">
        <v>1220</v>
      </c>
      <c r="H182" s="1259"/>
    </row>
    <row r="183" spans="1:8" s="1231" customFormat="1" ht="14.25" customHeight="1">
      <c r="A183" s="1239" t="s">
        <v>297</v>
      </c>
      <c r="B183" s="1244" t="s">
        <v>1743</v>
      </c>
      <c r="C183" s="1244">
        <v>7470</v>
      </c>
      <c r="D183" s="1244">
        <v>7440</v>
      </c>
      <c r="E183" s="1244">
        <v>7880</v>
      </c>
      <c r="F183" s="1261"/>
      <c r="H183" s="1259"/>
    </row>
    <row r="184" spans="1:8" s="1231" customFormat="1" ht="14.25" customHeight="1">
      <c r="A184" s="1239" t="s">
        <v>297</v>
      </c>
      <c r="B184" s="1244" t="s">
        <v>1750</v>
      </c>
      <c r="C184" s="1244">
        <v>6960</v>
      </c>
      <c r="D184" s="1244">
        <v>6930</v>
      </c>
      <c r="E184" s="1244">
        <v>7570</v>
      </c>
      <c r="F184" s="1261"/>
      <c r="H184" s="1259"/>
    </row>
    <row r="185" spans="1:8" s="1231" customFormat="1" ht="14.25" customHeight="1">
      <c r="A185" s="1239" t="s">
        <v>297</v>
      </c>
      <c r="B185" s="1244" t="s">
        <v>1755</v>
      </c>
      <c r="C185" s="1244">
        <v>7260</v>
      </c>
      <c r="D185" s="1244">
        <v>7230</v>
      </c>
      <c r="E185" s="1244">
        <v>7710</v>
      </c>
      <c r="F185" s="1252">
        <v>1360</v>
      </c>
      <c r="H185" s="1259"/>
    </row>
    <row r="186" spans="1:8" s="1231" customFormat="1" ht="14.25" customHeight="1">
      <c r="A186" s="1239" t="s">
        <v>297</v>
      </c>
      <c r="B186" s="1244" t="s">
        <v>1760</v>
      </c>
      <c r="C186" s="1244"/>
      <c r="D186" s="1244"/>
      <c r="E186" s="1244"/>
      <c r="F186" s="1252">
        <v>1560</v>
      </c>
      <c r="H186" s="1259"/>
    </row>
    <row r="187" spans="1:8" s="1231" customFormat="1" ht="14.25" customHeight="1">
      <c r="A187" s="1239" t="s">
        <v>297</v>
      </c>
      <c r="B187" s="1244" t="s">
        <v>1765</v>
      </c>
      <c r="C187" s="1244"/>
      <c r="D187" s="1244"/>
      <c r="E187" s="1244"/>
      <c r="F187" s="1252">
        <v>1560</v>
      </c>
      <c r="H187" s="1259"/>
    </row>
    <row r="188" spans="1:8" s="1231" customFormat="1" ht="14.25" customHeight="1">
      <c r="A188" s="1239" t="s">
        <v>297</v>
      </c>
      <c r="B188" s="1244" t="s">
        <v>1770</v>
      </c>
      <c r="C188" s="1244"/>
      <c r="D188" s="1244"/>
      <c r="E188" s="1244"/>
      <c r="F188" s="1252">
        <v>1560</v>
      </c>
      <c r="H188" s="1259"/>
    </row>
    <row r="189" spans="1:8" s="1231" customFormat="1" ht="14.25" customHeight="1">
      <c r="A189" s="1239" t="s">
        <v>297</v>
      </c>
      <c r="B189" s="1244" t="s">
        <v>1775</v>
      </c>
      <c r="C189" s="1244"/>
      <c r="D189" s="1244"/>
      <c r="E189" s="1244"/>
      <c r="F189" s="1252">
        <v>1320</v>
      </c>
      <c r="H189" s="1259"/>
    </row>
    <row r="190" spans="1:8" s="1231" customFormat="1" ht="14.25" customHeight="1">
      <c r="A190" s="1239" t="s">
        <v>297</v>
      </c>
      <c r="B190" s="1244" t="s">
        <v>1780</v>
      </c>
      <c r="C190" s="1244"/>
      <c r="D190" s="1244"/>
      <c r="E190" s="1244"/>
      <c r="F190" s="1252">
        <v>1320</v>
      </c>
      <c r="H190" s="1259"/>
    </row>
    <row r="191" spans="1:8" s="1231" customFormat="1" ht="14.25" customHeight="1">
      <c r="A191" s="1239" t="s">
        <v>297</v>
      </c>
      <c r="B191" s="1244" t="s">
        <v>1785</v>
      </c>
      <c r="C191" s="1244"/>
      <c r="D191" s="1244"/>
      <c r="E191" s="1244"/>
      <c r="F191" s="1252">
        <v>1320</v>
      </c>
      <c r="H191" s="1259"/>
    </row>
    <row r="192" spans="1:8" s="1231" customFormat="1" ht="14.25" customHeight="1">
      <c r="A192" s="1239" t="s">
        <v>297</v>
      </c>
      <c r="B192" s="1244" t="s">
        <v>1789</v>
      </c>
      <c r="C192" s="1244"/>
      <c r="D192" s="1244"/>
      <c r="E192" s="1244"/>
      <c r="F192" s="1252">
        <v>1100</v>
      </c>
      <c r="H192" s="1259"/>
    </row>
    <row r="193" spans="1:8" s="1231" customFormat="1" ht="14.25" customHeight="1">
      <c r="A193" s="1239" t="s">
        <v>297</v>
      </c>
      <c r="B193" s="1244" t="s">
        <v>1793</v>
      </c>
      <c r="C193" s="1244"/>
      <c r="D193" s="1244"/>
      <c r="E193" s="1244"/>
      <c r="F193" s="1252">
        <v>1100</v>
      </c>
      <c r="H193" s="1259"/>
    </row>
    <row r="194" spans="1:8" s="1231" customFormat="1" ht="14.25" customHeight="1">
      <c r="A194" s="1239" t="s">
        <v>297</v>
      </c>
      <c r="B194" s="1244" t="s">
        <v>1797</v>
      </c>
      <c r="C194" s="1244"/>
      <c r="D194" s="1244"/>
      <c r="E194" s="1244"/>
      <c r="F194" s="1252">
        <v>1080</v>
      </c>
      <c r="H194" s="1259"/>
    </row>
    <row r="195" spans="1:8" s="1231" customFormat="1" ht="14.25" customHeight="1">
      <c r="A195" s="1239" t="s">
        <v>297</v>
      </c>
      <c r="B195" s="1244" t="s">
        <v>1801</v>
      </c>
      <c r="C195" s="1244"/>
      <c r="D195" s="1244"/>
      <c r="E195" s="1244"/>
      <c r="F195" s="1252">
        <v>1270</v>
      </c>
      <c r="H195" s="1259"/>
    </row>
    <row r="196" spans="1:8" s="1231" customFormat="1" ht="14.25" customHeight="1">
      <c r="A196" s="1239" t="s">
        <v>297</v>
      </c>
      <c r="B196" s="1244" t="s">
        <v>1805</v>
      </c>
      <c r="C196" s="1244"/>
      <c r="D196" s="1244"/>
      <c r="E196" s="1244"/>
      <c r="F196" s="1252">
        <v>1150</v>
      </c>
      <c r="H196" s="1259"/>
    </row>
    <row r="197" spans="1:8" s="1231" customFormat="1" ht="14.25" customHeight="1">
      <c r="A197" s="1239" t="s">
        <v>297</v>
      </c>
      <c r="B197" s="1244" t="s">
        <v>1809</v>
      </c>
      <c r="C197" s="1244"/>
      <c r="D197" s="1244"/>
      <c r="E197" s="1244"/>
      <c r="F197" s="1252">
        <v>1330</v>
      </c>
      <c r="H197" s="1259"/>
    </row>
    <row r="198" spans="1:8" s="1231" customFormat="1" ht="14.25" customHeight="1">
      <c r="A198" s="1239" t="s">
        <v>297</v>
      </c>
      <c r="B198" s="1244" t="s">
        <v>1812</v>
      </c>
      <c r="C198" s="1244"/>
      <c r="D198" s="1244"/>
      <c r="E198" s="1244"/>
      <c r="F198" s="1252">
        <v>1170</v>
      </c>
      <c r="H198" s="1259"/>
    </row>
    <row r="199" spans="1:8" s="1231" customFormat="1" ht="14.25" customHeight="1">
      <c r="A199" s="1239" t="s">
        <v>297</v>
      </c>
      <c r="B199" s="1244" t="s">
        <v>1815</v>
      </c>
      <c r="C199" s="1244"/>
      <c r="D199" s="1244"/>
      <c r="E199" s="1244"/>
      <c r="F199" s="1252">
        <v>1120</v>
      </c>
      <c r="H199" s="1259"/>
    </row>
    <row r="200" spans="1:8" s="1231" customFormat="1" ht="14.25" customHeight="1">
      <c r="A200" s="1239" t="s">
        <v>297</v>
      </c>
      <c r="B200" s="1244" t="s">
        <v>1818</v>
      </c>
      <c r="C200" s="1244"/>
      <c r="D200" s="1244"/>
      <c r="E200" s="1244"/>
      <c r="F200" s="1252">
        <v>1120</v>
      </c>
      <c r="H200" s="1259"/>
    </row>
    <row r="201" spans="1:8" s="1231" customFormat="1" ht="14.25" customHeight="1">
      <c r="A201" s="1239" t="s">
        <v>297</v>
      </c>
      <c r="B201" s="1244" t="s">
        <v>1821</v>
      </c>
      <c r="C201" s="1244"/>
      <c r="D201" s="1244"/>
      <c r="E201" s="1244"/>
      <c r="F201" s="1252">
        <v>1540</v>
      </c>
      <c r="H201" s="1259"/>
    </row>
    <row r="202" spans="1:8" s="1231" customFormat="1" ht="14.25" customHeight="1">
      <c r="A202" s="1239" t="s">
        <v>297</v>
      </c>
      <c r="B202" s="1244" t="s">
        <v>1824</v>
      </c>
      <c r="C202" s="1244"/>
      <c r="D202" s="1244"/>
      <c r="E202" s="1244"/>
      <c r="F202" s="1252">
        <v>1310</v>
      </c>
      <c r="H202" s="1259"/>
    </row>
    <row r="203" spans="1:8" s="1231" customFormat="1" ht="14.25" customHeight="1">
      <c r="A203" s="1239" t="s">
        <v>297</v>
      </c>
      <c r="B203" s="1244" t="s">
        <v>1827</v>
      </c>
      <c r="C203" s="1244"/>
      <c r="D203" s="1244"/>
      <c r="E203" s="1244"/>
      <c r="F203" s="1252">
        <v>1310</v>
      </c>
      <c r="H203" s="1259"/>
    </row>
    <row r="204" spans="1:8" s="1231" customFormat="1" ht="14.25" customHeight="1">
      <c r="A204" s="1239" t="s">
        <v>297</v>
      </c>
      <c r="B204" s="1244" t="s">
        <v>1829</v>
      </c>
      <c r="C204" s="1244"/>
      <c r="D204" s="1244"/>
      <c r="E204" s="1244"/>
      <c r="F204" s="1252">
        <v>1080</v>
      </c>
      <c r="H204" s="1259"/>
    </row>
    <row r="205" spans="1:8" s="1231" customFormat="1" ht="14.25" customHeight="1">
      <c r="A205" s="1239" t="s">
        <v>297</v>
      </c>
      <c r="B205" s="1244" t="s">
        <v>1831</v>
      </c>
      <c r="C205" s="1244"/>
      <c r="D205" s="1244"/>
      <c r="E205" s="1244"/>
      <c r="F205" s="1252">
        <v>1080</v>
      </c>
      <c r="H205" s="1259"/>
    </row>
    <row r="206" spans="1:8" s="1231" customFormat="1" ht="14.25" customHeight="1">
      <c r="A206" s="1239" t="s">
        <v>302</v>
      </c>
      <c r="B206" s="1240" t="s">
        <v>1498</v>
      </c>
      <c r="C206" s="1240">
        <v>5450</v>
      </c>
      <c r="D206" s="1240">
        <v>5430</v>
      </c>
      <c r="E206" s="1240">
        <v>5700</v>
      </c>
      <c r="F206" s="1241">
        <v>1020</v>
      </c>
      <c r="H206" s="1259"/>
    </row>
    <row r="207" spans="1:8" s="1231" customFormat="1" ht="14.25" customHeight="1">
      <c r="A207" s="1239" t="s">
        <v>302</v>
      </c>
      <c r="B207" s="1244" t="s">
        <v>1511</v>
      </c>
      <c r="C207" s="1244">
        <v>5860</v>
      </c>
      <c r="D207" s="1244">
        <v>5820</v>
      </c>
      <c r="E207" s="1244">
        <v>6050</v>
      </c>
      <c r="F207" s="1252">
        <v>1080</v>
      </c>
      <c r="H207" s="1259"/>
    </row>
    <row r="208" spans="1:8" s="1231" customFormat="1" ht="14.25" customHeight="1">
      <c r="A208" s="1239" t="s">
        <v>302</v>
      </c>
      <c r="B208" s="1244" t="s">
        <v>1524</v>
      </c>
      <c r="C208" s="1244">
        <v>4630</v>
      </c>
      <c r="D208" s="1244">
        <v>4600</v>
      </c>
      <c r="E208" s="1244">
        <v>4840</v>
      </c>
      <c r="F208" s="1252">
        <v>900</v>
      </c>
      <c r="H208" s="1259"/>
    </row>
    <row r="209" spans="1:8" s="1231" customFormat="1" ht="14.25" customHeight="1">
      <c r="A209" s="1239" t="s">
        <v>302</v>
      </c>
      <c r="B209" s="1244" t="s">
        <v>1536</v>
      </c>
      <c r="C209" s="1244">
        <v>5320</v>
      </c>
      <c r="D209" s="1244">
        <v>5270</v>
      </c>
      <c r="E209" s="1244">
        <v>5540</v>
      </c>
      <c r="F209" s="1252">
        <v>980</v>
      </c>
      <c r="H209" s="1259"/>
    </row>
    <row r="210" spans="1:8" s="1231" customFormat="1" ht="14.25" customHeight="1">
      <c r="A210" s="1239" t="s">
        <v>302</v>
      </c>
      <c r="B210" s="1244" t="s">
        <v>1548</v>
      </c>
      <c r="C210" s="1244">
        <v>5760</v>
      </c>
      <c r="D210" s="1244">
        <v>5710</v>
      </c>
      <c r="E210" s="1244">
        <v>6010</v>
      </c>
      <c r="F210" s="1252">
        <v>870</v>
      </c>
      <c r="H210" s="1259"/>
    </row>
    <row r="211" spans="1:8" s="1231" customFormat="1" ht="14.25" customHeight="1">
      <c r="A211" s="1239" t="s">
        <v>302</v>
      </c>
      <c r="B211" s="1244" t="s">
        <v>1559</v>
      </c>
      <c r="C211" s="1244">
        <v>4160</v>
      </c>
      <c r="D211" s="1244">
        <v>4100</v>
      </c>
      <c r="E211" s="1244">
        <v>4270</v>
      </c>
      <c r="F211" s="1252">
        <v>790</v>
      </c>
      <c r="H211" s="1259"/>
    </row>
    <row r="212" spans="1:8" s="1231" customFormat="1" ht="14.25" customHeight="1">
      <c r="A212" s="1239" t="s">
        <v>302</v>
      </c>
      <c r="B212" s="1244" t="s">
        <v>1570</v>
      </c>
      <c r="C212" s="1244">
        <v>4880</v>
      </c>
      <c r="D212" s="1244">
        <v>4850</v>
      </c>
      <c r="E212" s="1244">
        <v>5110</v>
      </c>
      <c r="F212" s="1252">
        <v>940</v>
      </c>
      <c r="H212" s="1259"/>
    </row>
    <row r="213" spans="1:8" s="1231" customFormat="1" ht="14.25" customHeight="1">
      <c r="A213" s="1239" t="s">
        <v>302</v>
      </c>
      <c r="B213" s="1244" t="s">
        <v>1581</v>
      </c>
      <c r="C213" s="1244">
        <v>4640</v>
      </c>
      <c r="D213" s="1244">
        <v>4590</v>
      </c>
      <c r="E213" s="1244">
        <v>4700</v>
      </c>
      <c r="F213" s="1252">
        <v>1030</v>
      </c>
      <c r="H213" s="1259"/>
    </row>
    <row r="214" spans="1:8" s="1231" customFormat="1" ht="14.25" customHeight="1">
      <c r="A214" s="1239" t="s">
        <v>302</v>
      </c>
      <c r="B214" s="1244" t="s">
        <v>1591</v>
      </c>
      <c r="C214" s="1244">
        <v>4540</v>
      </c>
      <c r="D214" s="1244">
        <v>4490</v>
      </c>
      <c r="E214" s="1244">
        <v>4610</v>
      </c>
      <c r="F214" s="1261"/>
      <c r="H214" s="1259"/>
    </row>
    <row r="215" spans="1:8" s="1231" customFormat="1" ht="14.25" customHeight="1">
      <c r="A215" s="1239" t="s">
        <v>302</v>
      </c>
      <c r="B215" s="1244" t="s">
        <v>1601</v>
      </c>
      <c r="C215" s="1244">
        <v>5280</v>
      </c>
      <c r="D215" s="1244">
        <v>5250</v>
      </c>
      <c r="E215" s="1244">
        <v>5520</v>
      </c>
      <c r="F215" s="1252">
        <v>1000</v>
      </c>
      <c r="H215" s="1259"/>
    </row>
    <row r="216" spans="1:8" s="1231" customFormat="1" ht="14.25" customHeight="1">
      <c r="A216" s="1239" t="s">
        <v>302</v>
      </c>
      <c r="B216" s="1244" t="s">
        <v>1611</v>
      </c>
      <c r="C216" s="1244">
        <v>5100</v>
      </c>
      <c r="D216" s="1244">
        <v>5050</v>
      </c>
      <c r="E216" s="1244">
        <v>5300</v>
      </c>
      <c r="F216" s="1252">
        <v>950</v>
      </c>
      <c r="H216" s="1259"/>
    </row>
    <row r="217" spans="1:8" s="1231" customFormat="1" ht="14.25" customHeight="1">
      <c r="A217" s="1239" t="s">
        <v>302</v>
      </c>
      <c r="B217" s="1244" t="s">
        <v>1621</v>
      </c>
      <c r="C217" s="1244">
        <v>5370</v>
      </c>
      <c r="D217" s="1244">
        <v>5320</v>
      </c>
      <c r="E217" s="1244">
        <v>5410</v>
      </c>
      <c r="F217" s="1252">
        <v>950</v>
      </c>
      <c r="H217" s="1259"/>
    </row>
    <row r="218" spans="1:8" s="1231" customFormat="1" ht="14.25" customHeight="1">
      <c r="A218" s="1239" t="s">
        <v>302</v>
      </c>
      <c r="B218" s="1244" t="s">
        <v>1631</v>
      </c>
      <c r="C218" s="1244">
        <v>5540</v>
      </c>
      <c r="D218" s="1244">
        <v>5480</v>
      </c>
      <c r="E218" s="1244">
        <v>5740</v>
      </c>
      <c r="F218" s="1252">
        <v>1020</v>
      </c>
      <c r="H218" s="1259"/>
    </row>
    <row r="219" spans="1:8" s="1231" customFormat="1" ht="14.25" customHeight="1">
      <c r="A219" s="1239" t="s">
        <v>302</v>
      </c>
      <c r="B219" s="1244" t="s">
        <v>1641</v>
      </c>
      <c r="C219" s="1244">
        <v>5140</v>
      </c>
      <c r="D219" s="1244">
        <v>5100</v>
      </c>
      <c r="E219" s="1244">
        <v>5350</v>
      </c>
      <c r="F219" s="1252">
        <v>1120</v>
      </c>
      <c r="H219" s="1259"/>
    </row>
    <row r="220" spans="1:8" s="1231" customFormat="1" ht="14.25" customHeight="1">
      <c r="A220" s="1239" t="s">
        <v>302</v>
      </c>
      <c r="B220" s="1244" t="s">
        <v>1651</v>
      </c>
      <c r="C220" s="1244">
        <v>5040</v>
      </c>
      <c r="D220" s="1244">
        <v>5000</v>
      </c>
      <c r="E220" s="1244">
        <v>5240</v>
      </c>
      <c r="F220" s="1252">
        <v>980</v>
      </c>
      <c r="H220" s="1259"/>
    </row>
    <row r="221" spans="1:8" s="1231" customFormat="1" ht="14.25" customHeight="1">
      <c r="A221" s="1239" t="s">
        <v>302</v>
      </c>
      <c r="B221" s="1244" t="s">
        <v>1661</v>
      </c>
      <c r="C221" s="1266"/>
      <c r="D221" s="1266"/>
      <c r="E221" s="1266"/>
      <c r="F221" s="1252">
        <v>1070</v>
      </c>
      <c r="H221" s="1259"/>
    </row>
    <row r="222" spans="1:8" s="1231" customFormat="1" ht="14.25" customHeight="1">
      <c r="A222" s="1239" t="s">
        <v>302</v>
      </c>
      <c r="B222" s="1244" t="s">
        <v>1671</v>
      </c>
      <c r="C222" s="1266"/>
      <c r="D222" s="1266"/>
      <c r="E222" s="1266"/>
      <c r="F222" s="1252">
        <v>870</v>
      </c>
      <c r="H222" s="1259"/>
    </row>
    <row r="223" spans="1:8" s="1231" customFormat="1" ht="14.25" customHeight="1">
      <c r="A223" s="1239" t="s">
        <v>302</v>
      </c>
      <c r="B223" s="1244" t="s">
        <v>1681</v>
      </c>
      <c r="C223" s="1266"/>
      <c r="D223" s="1266"/>
      <c r="E223" s="1266"/>
      <c r="F223" s="1252">
        <v>940</v>
      </c>
      <c r="H223" s="1259"/>
    </row>
    <row r="224" spans="1:8" s="1231" customFormat="1" ht="14.25" customHeight="1">
      <c r="A224" s="1239" t="s">
        <v>302</v>
      </c>
      <c r="B224" s="1244" t="s">
        <v>1691</v>
      </c>
      <c r="C224" s="1266"/>
      <c r="D224" s="1266"/>
      <c r="E224" s="1266"/>
      <c r="F224" s="1252">
        <v>990</v>
      </c>
      <c r="H224" s="1259"/>
    </row>
    <row r="225" spans="1:8" s="1231" customFormat="1" ht="14.25" customHeight="1">
      <c r="A225" s="1239" t="s">
        <v>302</v>
      </c>
      <c r="B225" s="1244" t="s">
        <v>1700</v>
      </c>
      <c r="C225" s="1244">
        <v>5730</v>
      </c>
      <c r="D225" s="1244">
        <v>5680</v>
      </c>
      <c r="E225" s="1244">
        <v>6020</v>
      </c>
      <c r="F225" s="1252">
        <v>1000</v>
      </c>
      <c r="H225" s="1259"/>
    </row>
    <row r="226" spans="1:8" s="1231" customFormat="1" ht="14.25" customHeight="1">
      <c r="A226" s="1239" t="s">
        <v>302</v>
      </c>
      <c r="B226" s="1244" t="s">
        <v>1708</v>
      </c>
      <c r="C226" s="1244">
        <v>4970</v>
      </c>
      <c r="D226" s="1244">
        <v>4940</v>
      </c>
      <c r="E226" s="1244">
        <v>5180</v>
      </c>
      <c r="F226" s="1252">
        <v>960</v>
      </c>
      <c r="H226" s="1259"/>
    </row>
    <row r="227" spans="1:8" s="1231" customFormat="1" ht="14.25" customHeight="1">
      <c r="A227" s="1239" t="s">
        <v>302</v>
      </c>
      <c r="B227" s="1244" t="s">
        <v>1716</v>
      </c>
      <c r="C227" s="1244">
        <v>5550</v>
      </c>
      <c r="D227" s="1244">
        <v>5500</v>
      </c>
      <c r="E227" s="1244">
        <v>5780</v>
      </c>
      <c r="F227" s="1252">
        <v>940</v>
      </c>
      <c r="H227" s="1259"/>
    </row>
    <row r="228" spans="1:8" s="1231" customFormat="1" ht="14.25" customHeight="1">
      <c r="A228" s="1239" t="s">
        <v>302</v>
      </c>
      <c r="B228" s="1244" t="s">
        <v>1723</v>
      </c>
      <c r="C228" s="1244">
        <v>5460</v>
      </c>
      <c r="D228" s="1244">
        <v>5420</v>
      </c>
      <c r="E228" s="1244">
        <v>5690</v>
      </c>
      <c r="F228" s="1252">
        <v>910</v>
      </c>
      <c r="H228" s="1259"/>
    </row>
    <row r="229" spans="1:8" s="1231" customFormat="1" ht="14.25" customHeight="1">
      <c r="A229" s="1239" t="s">
        <v>302</v>
      </c>
      <c r="B229" s="1244" t="s">
        <v>1730</v>
      </c>
      <c r="C229" s="1244">
        <v>5310</v>
      </c>
      <c r="D229" s="1244">
        <v>5270</v>
      </c>
      <c r="E229" s="1244">
        <v>5510</v>
      </c>
      <c r="F229" s="1261"/>
      <c r="H229" s="1259"/>
    </row>
    <row r="230" spans="1:8" s="1231" customFormat="1" ht="14.25" customHeight="1">
      <c r="A230" s="1239" t="s">
        <v>302</v>
      </c>
      <c r="B230" s="1244" t="s">
        <v>1737</v>
      </c>
      <c r="C230" s="1244">
        <v>4540</v>
      </c>
      <c r="D230" s="1244">
        <v>4500</v>
      </c>
      <c r="E230" s="1244">
        <v>4730</v>
      </c>
      <c r="F230" s="1261"/>
      <c r="H230" s="1259"/>
    </row>
    <row r="231" spans="1:8" s="1231" customFormat="1" ht="14.25" customHeight="1">
      <c r="A231" s="1239" t="s">
        <v>302</v>
      </c>
      <c r="B231" s="1244" t="s">
        <v>1744</v>
      </c>
      <c r="C231" s="1244">
        <v>4480</v>
      </c>
      <c r="D231" s="1244">
        <v>4410</v>
      </c>
      <c r="E231" s="1244">
        <v>4640</v>
      </c>
      <c r="F231" s="1261"/>
      <c r="H231" s="1259"/>
    </row>
    <row r="232" spans="1:8" s="1231" customFormat="1" ht="14.25" customHeight="1">
      <c r="A232" s="1239" t="s">
        <v>302</v>
      </c>
      <c r="B232" s="1244" t="s">
        <v>1751</v>
      </c>
      <c r="C232" s="1244">
        <v>5670</v>
      </c>
      <c r="D232" s="1244">
        <v>5600</v>
      </c>
      <c r="E232" s="1244">
        <v>5890</v>
      </c>
      <c r="F232" s="1252">
        <v>1150</v>
      </c>
      <c r="H232" s="1259"/>
    </row>
    <row r="233" spans="1:8" s="1231" customFormat="1" ht="14.25" customHeight="1">
      <c r="A233" s="1239" t="s">
        <v>302</v>
      </c>
      <c r="B233" s="1244" t="s">
        <v>1756</v>
      </c>
      <c r="C233" s="1244">
        <v>4590</v>
      </c>
      <c r="D233" s="1244">
        <v>4500</v>
      </c>
      <c r="E233" s="1244">
        <v>4600</v>
      </c>
      <c r="F233" s="1261"/>
      <c r="H233" s="1259"/>
    </row>
    <row r="234" spans="1:8" s="1231" customFormat="1" ht="14.25" customHeight="1">
      <c r="A234" s="1239" t="s">
        <v>302</v>
      </c>
      <c r="B234" s="1244" t="s">
        <v>1761</v>
      </c>
      <c r="C234" s="1244">
        <v>3990</v>
      </c>
      <c r="D234" s="1244">
        <v>3950</v>
      </c>
      <c r="E234" s="1244">
        <v>4180</v>
      </c>
      <c r="F234" s="1261"/>
      <c r="H234" s="1259"/>
    </row>
    <row r="235" spans="1:8" s="1231" customFormat="1" ht="14.25" customHeight="1">
      <c r="A235" s="1239" t="s">
        <v>302</v>
      </c>
      <c r="B235" s="1244" t="s">
        <v>1766</v>
      </c>
      <c r="C235" s="1244">
        <v>5590</v>
      </c>
      <c r="D235" s="1244">
        <v>5540</v>
      </c>
      <c r="E235" s="1244">
        <v>5810</v>
      </c>
      <c r="F235" s="1252">
        <v>970</v>
      </c>
      <c r="H235" s="1259"/>
    </row>
    <row r="236" spans="1:8" s="1231" customFormat="1" ht="14.25" customHeight="1">
      <c r="A236" s="1239" t="s">
        <v>302</v>
      </c>
      <c r="B236" s="1244" t="s">
        <v>1771</v>
      </c>
      <c r="C236" s="1244"/>
      <c r="D236" s="1244"/>
      <c r="E236" s="1244"/>
      <c r="F236" s="1252">
        <v>1020</v>
      </c>
      <c r="H236" s="1259"/>
    </row>
    <row r="237" spans="1:8" s="1231" customFormat="1" ht="14.25" customHeight="1">
      <c r="A237" s="1239" t="s">
        <v>302</v>
      </c>
      <c r="B237" s="1244" t="s">
        <v>1776</v>
      </c>
      <c r="C237" s="1244"/>
      <c r="D237" s="1244"/>
      <c r="E237" s="1244"/>
      <c r="F237" s="1252">
        <v>960</v>
      </c>
      <c r="H237" s="1259"/>
    </row>
    <row r="238" spans="1:8" s="1231" customFormat="1" ht="14.25" customHeight="1">
      <c r="A238" s="1239" t="s">
        <v>302</v>
      </c>
      <c r="B238" s="1244" t="s">
        <v>1781</v>
      </c>
      <c r="C238" s="1244"/>
      <c r="D238" s="1244"/>
      <c r="E238" s="1244"/>
      <c r="F238" s="1252">
        <v>960</v>
      </c>
      <c r="H238" s="1259"/>
    </row>
    <row r="239" spans="1:8" s="1231" customFormat="1" ht="14.25" customHeight="1">
      <c r="A239" s="1239" t="s">
        <v>302</v>
      </c>
      <c r="B239" s="1244" t="s">
        <v>1786</v>
      </c>
      <c r="C239" s="1244"/>
      <c r="D239" s="1244"/>
      <c r="E239" s="1244"/>
      <c r="F239" s="1252">
        <v>960</v>
      </c>
      <c r="H239" s="1259"/>
    </row>
    <row r="240" spans="1:8" s="1231" customFormat="1" ht="14.25" customHeight="1">
      <c r="A240" s="1239" t="s">
        <v>302</v>
      </c>
      <c r="B240" s="1244" t="s">
        <v>1790</v>
      </c>
      <c r="C240" s="1244"/>
      <c r="D240" s="1244"/>
      <c r="E240" s="1244"/>
      <c r="F240" s="1252">
        <v>990</v>
      </c>
      <c r="H240" s="1259"/>
    </row>
    <row r="241" spans="1:8" s="1231" customFormat="1" ht="14.25" customHeight="1">
      <c r="A241" s="1239" t="s">
        <v>302</v>
      </c>
      <c r="B241" s="1244" t="s">
        <v>1794</v>
      </c>
      <c r="C241" s="1244"/>
      <c r="D241" s="1244"/>
      <c r="E241" s="1244"/>
      <c r="F241" s="1252">
        <v>1000</v>
      </c>
      <c r="H241" s="1259"/>
    </row>
    <row r="242" spans="1:8" s="1231" customFormat="1" ht="14.25" customHeight="1">
      <c r="A242" s="1239" t="s">
        <v>302</v>
      </c>
      <c r="B242" s="1244" t="s">
        <v>1798</v>
      </c>
      <c r="C242" s="1244"/>
      <c r="D242" s="1244"/>
      <c r="E242" s="1244"/>
      <c r="F242" s="1252">
        <v>980</v>
      </c>
      <c r="H242" s="1259"/>
    </row>
    <row r="243" spans="1:8" s="1231" customFormat="1" ht="14.25" customHeight="1">
      <c r="A243" s="1239" t="s">
        <v>302</v>
      </c>
      <c r="B243" s="1244" t="s">
        <v>1802</v>
      </c>
      <c r="C243" s="1244"/>
      <c r="D243" s="1244"/>
      <c r="E243" s="1244"/>
      <c r="F243" s="1252">
        <v>970</v>
      </c>
      <c r="H243" s="1259"/>
    </row>
    <row r="244" spans="1:8" s="1231" customFormat="1" ht="14.25" customHeight="1">
      <c r="A244" s="1239" t="s">
        <v>302</v>
      </c>
      <c r="B244" s="1250" t="s">
        <v>1806</v>
      </c>
      <c r="C244" s="1250"/>
      <c r="D244" s="1250"/>
      <c r="E244" s="1250"/>
      <c r="F244" s="1260">
        <v>970</v>
      </c>
      <c r="H244" s="1259"/>
    </row>
    <row r="245" spans="1:8" s="1231" customFormat="1" ht="14.25" customHeight="1">
      <c r="A245" s="1239" t="s">
        <v>305</v>
      </c>
      <c r="B245" s="1240" t="s">
        <v>1499</v>
      </c>
      <c r="C245" s="1240">
        <v>4050</v>
      </c>
      <c r="D245" s="1240">
        <v>4020</v>
      </c>
      <c r="E245" s="1240">
        <v>4160</v>
      </c>
      <c r="F245" s="1241">
        <v>840</v>
      </c>
      <c r="H245" s="1259"/>
    </row>
    <row r="246" spans="1:8" s="1231" customFormat="1" ht="14.25" customHeight="1">
      <c r="A246" s="1239" t="s">
        <v>305</v>
      </c>
      <c r="B246" s="1244" t="s">
        <v>1512</v>
      </c>
      <c r="C246" s="1244">
        <v>4010</v>
      </c>
      <c r="D246" s="1244">
        <v>3960</v>
      </c>
      <c r="E246" s="1244">
        <v>4130</v>
      </c>
      <c r="F246" s="1252">
        <v>840</v>
      </c>
      <c r="H246" s="1259"/>
    </row>
    <row r="247" spans="1:8" s="1231" customFormat="1" ht="14.25" customHeight="1">
      <c r="A247" s="1239" t="s">
        <v>305</v>
      </c>
      <c r="B247" s="1244" t="s">
        <v>1525</v>
      </c>
      <c r="C247" s="1244">
        <v>3170</v>
      </c>
      <c r="D247" s="1244">
        <v>3140</v>
      </c>
      <c r="E247" s="1244">
        <v>3270</v>
      </c>
      <c r="F247" s="1252">
        <v>640</v>
      </c>
      <c r="H247" s="1259"/>
    </row>
    <row r="248" spans="1:8" s="1231" customFormat="1" ht="14.25" customHeight="1">
      <c r="A248" s="1239" t="s">
        <v>305</v>
      </c>
      <c r="B248" s="1244" t="s">
        <v>1537</v>
      </c>
      <c r="C248" s="1244">
        <v>3140</v>
      </c>
      <c r="D248" s="1244">
        <v>3120</v>
      </c>
      <c r="E248" s="1244">
        <v>3240</v>
      </c>
      <c r="F248" s="1252">
        <v>620</v>
      </c>
      <c r="H248" s="1259"/>
    </row>
    <row r="249" spans="1:8" s="1231" customFormat="1" ht="14.25" customHeight="1">
      <c r="A249" s="1239" t="s">
        <v>305</v>
      </c>
      <c r="B249" s="1244" t="s">
        <v>1549</v>
      </c>
      <c r="C249" s="1244">
        <v>3200</v>
      </c>
      <c r="D249" s="1244">
        <v>3100</v>
      </c>
      <c r="E249" s="1244">
        <v>3230</v>
      </c>
      <c r="F249" s="1252">
        <v>750</v>
      </c>
      <c r="H249" s="1259"/>
    </row>
    <row r="250" spans="1:8" s="1231" customFormat="1" ht="14.25" customHeight="1">
      <c r="A250" s="1239" t="s">
        <v>305</v>
      </c>
      <c r="B250" s="1244" t="s">
        <v>1560</v>
      </c>
      <c r="C250" s="1244">
        <v>4060</v>
      </c>
      <c r="D250" s="1244">
        <v>4000</v>
      </c>
      <c r="E250" s="1244">
        <v>4140</v>
      </c>
      <c r="F250" s="1252">
        <v>790</v>
      </c>
      <c r="H250" s="1259"/>
    </row>
    <row r="251" spans="1:8" s="1231" customFormat="1" ht="14.25" customHeight="1">
      <c r="A251" s="1239" t="s">
        <v>305</v>
      </c>
      <c r="B251" s="1244" t="s">
        <v>1571</v>
      </c>
      <c r="C251" s="1244">
        <v>3990</v>
      </c>
      <c r="D251" s="1244">
        <v>3970</v>
      </c>
      <c r="E251" s="1244">
        <v>4110</v>
      </c>
      <c r="F251" s="1252">
        <v>730</v>
      </c>
      <c r="H251" s="1259"/>
    </row>
    <row r="252" spans="1:8" s="1231" customFormat="1" ht="14.25" customHeight="1">
      <c r="A252" s="1239" t="s">
        <v>305</v>
      </c>
      <c r="B252" s="1244" t="s">
        <v>1582</v>
      </c>
      <c r="C252" s="1244">
        <v>3560</v>
      </c>
      <c r="D252" s="1244">
        <v>3530</v>
      </c>
      <c r="E252" s="1244">
        <v>3650</v>
      </c>
      <c r="F252" s="1252">
        <v>750</v>
      </c>
      <c r="H252" s="1259"/>
    </row>
    <row r="253" spans="1:8" s="1231" customFormat="1" ht="14.25" customHeight="1">
      <c r="A253" s="1239" t="s">
        <v>305</v>
      </c>
      <c r="B253" s="1244" t="s">
        <v>1592</v>
      </c>
      <c r="C253" s="1244">
        <v>3780</v>
      </c>
      <c r="D253" s="1244">
        <v>3750</v>
      </c>
      <c r="E253" s="1244">
        <v>3870</v>
      </c>
      <c r="F253" s="1252">
        <v>770</v>
      </c>
      <c r="H253" s="1259"/>
    </row>
    <row r="254" spans="1:8" s="1231" customFormat="1" ht="14.25" customHeight="1">
      <c r="A254" s="1239" t="s">
        <v>305</v>
      </c>
      <c r="B254" s="1244" t="s">
        <v>1602</v>
      </c>
      <c r="C254" s="1266"/>
      <c r="D254" s="1266"/>
      <c r="E254" s="1266"/>
      <c r="F254" s="1252">
        <v>740</v>
      </c>
      <c r="H254" s="1259"/>
    </row>
    <row r="255" spans="1:8" s="1231" customFormat="1" ht="14.25" customHeight="1">
      <c r="A255" s="1239" t="s">
        <v>305</v>
      </c>
      <c r="B255" s="1244" t="s">
        <v>1612</v>
      </c>
      <c r="C255" s="1266"/>
      <c r="D255" s="1266"/>
      <c r="E255" s="1266"/>
      <c r="F255" s="1252">
        <v>760</v>
      </c>
      <c r="H255" s="1259"/>
    </row>
    <row r="256" spans="1:8" s="1231" customFormat="1" ht="14.25" customHeight="1">
      <c r="A256" s="1239" t="s">
        <v>305</v>
      </c>
      <c r="B256" s="1244" t="s">
        <v>1622</v>
      </c>
      <c r="C256" s="1244">
        <v>3760</v>
      </c>
      <c r="D256" s="1244">
        <v>3730</v>
      </c>
      <c r="E256" s="1244">
        <v>3870</v>
      </c>
      <c r="F256" s="1252">
        <v>830</v>
      </c>
      <c r="H256" s="1259"/>
    </row>
    <row r="257" spans="1:8" s="1231" customFormat="1" ht="14.25" customHeight="1">
      <c r="A257" s="1239" t="s">
        <v>305</v>
      </c>
      <c r="B257" s="1244" t="s">
        <v>1632</v>
      </c>
      <c r="C257" s="1244">
        <v>3570</v>
      </c>
      <c r="D257" s="1244">
        <v>3540</v>
      </c>
      <c r="E257" s="1244">
        <v>3650</v>
      </c>
      <c r="F257" s="1252">
        <v>790</v>
      </c>
      <c r="H257" s="1259"/>
    </row>
    <row r="258" spans="1:8" s="1231" customFormat="1" ht="14.25" customHeight="1">
      <c r="A258" s="1239" t="s">
        <v>305</v>
      </c>
      <c r="B258" s="1244" t="s">
        <v>1642</v>
      </c>
      <c r="C258" s="1244">
        <v>3410</v>
      </c>
      <c r="D258" s="1244">
        <v>3380</v>
      </c>
      <c r="E258" s="1244">
        <v>3500</v>
      </c>
      <c r="F258" s="1252">
        <v>830</v>
      </c>
      <c r="H258" s="1259"/>
    </row>
    <row r="259" spans="1:8" s="1231" customFormat="1" ht="14.25" customHeight="1">
      <c r="A259" s="1239" t="s">
        <v>305</v>
      </c>
      <c r="B259" s="1244" t="s">
        <v>1652</v>
      </c>
      <c r="C259" s="1244">
        <v>3870</v>
      </c>
      <c r="D259" s="1244">
        <v>3840</v>
      </c>
      <c r="E259" s="1244">
        <v>3970</v>
      </c>
      <c r="F259" s="1252">
        <v>830</v>
      </c>
      <c r="H259" s="1259"/>
    </row>
    <row r="260" spans="1:8" s="1231" customFormat="1" ht="14.25" customHeight="1">
      <c r="A260" s="1239" t="s">
        <v>305</v>
      </c>
      <c r="B260" s="1244" t="s">
        <v>1662</v>
      </c>
      <c r="C260" s="1244">
        <v>3700</v>
      </c>
      <c r="D260" s="1244">
        <v>3660</v>
      </c>
      <c r="E260" s="1244">
        <v>3810</v>
      </c>
      <c r="F260" s="1252">
        <v>790</v>
      </c>
      <c r="H260" s="1259"/>
    </row>
    <row r="261" spans="1:8" s="1231" customFormat="1" ht="14.25" customHeight="1">
      <c r="A261" s="1239" t="s">
        <v>305</v>
      </c>
      <c r="B261" s="1244" t="s">
        <v>1672</v>
      </c>
      <c r="C261" s="1244">
        <v>3470</v>
      </c>
      <c r="D261" s="1244">
        <v>3430</v>
      </c>
      <c r="E261" s="1244">
        <v>3640</v>
      </c>
      <c r="F261" s="1252">
        <v>760</v>
      </c>
      <c r="H261" s="1259"/>
    </row>
    <row r="262" spans="1:8" s="1231" customFormat="1" ht="14.25" customHeight="1">
      <c r="A262" s="1239" t="s">
        <v>305</v>
      </c>
      <c r="B262" s="1244" t="s">
        <v>1682</v>
      </c>
      <c r="C262" s="1244">
        <v>3510</v>
      </c>
      <c r="D262" s="1244">
        <v>3470</v>
      </c>
      <c r="E262" s="1244">
        <v>3680</v>
      </c>
      <c r="F262" s="1261"/>
      <c r="H262" s="1259"/>
    </row>
    <row r="263" spans="1:8" s="1231" customFormat="1" ht="14.25" customHeight="1">
      <c r="A263" s="1239" t="s">
        <v>305</v>
      </c>
      <c r="B263" s="1244" t="s">
        <v>1692</v>
      </c>
      <c r="C263" s="1244">
        <v>3960</v>
      </c>
      <c r="D263" s="1244">
        <v>3930</v>
      </c>
      <c r="E263" s="1244">
        <v>4070</v>
      </c>
      <c r="F263" s="1252">
        <v>830</v>
      </c>
      <c r="H263" s="1259"/>
    </row>
    <row r="264" spans="1:8" s="1231" customFormat="1" ht="14.25" customHeight="1">
      <c r="A264" s="1239" t="s">
        <v>305</v>
      </c>
      <c r="B264" s="1244" t="s">
        <v>1701</v>
      </c>
      <c r="C264" s="1244">
        <v>4010</v>
      </c>
      <c r="D264" s="1244">
        <v>3980</v>
      </c>
      <c r="E264" s="1244">
        <v>4150</v>
      </c>
      <c r="F264" s="1252">
        <v>760</v>
      </c>
      <c r="H264" s="1259"/>
    </row>
    <row r="265" spans="1:8" s="1231" customFormat="1" ht="14.25" customHeight="1">
      <c r="A265" s="1239" t="s">
        <v>305</v>
      </c>
      <c r="B265" s="1244" t="s">
        <v>1709</v>
      </c>
      <c r="C265" s="1244">
        <v>3910</v>
      </c>
      <c r="D265" s="1244">
        <v>3890</v>
      </c>
      <c r="E265" s="1244">
        <v>4040</v>
      </c>
      <c r="F265" s="1252">
        <v>780</v>
      </c>
      <c r="H265" s="1259"/>
    </row>
    <row r="266" spans="1:8" s="1231" customFormat="1" ht="14.25" customHeight="1">
      <c r="A266" s="1239" t="s">
        <v>305</v>
      </c>
      <c r="B266" s="1244" t="s">
        <v>1717</v>
      </c>
      <c r="C266" s="1244">
        <v>3930</v>
      </c>
      <c r="D266" s="1244">
        <v>3900</v>
      </c>
      <c r="E266" s="1244">
        <v>4080</v>
      </c>
      <c r="F266" s="1252">
        <v>770</v>
      </c>
      <c r="H266" s="1259"/>
    </row>
    <row r="267" spans="1:8" s="1231" customFormat="1" ht="14.25" customHeight="1">
      <c r="A267" s="1239" t="s">
        <v>305</v>
      </c>
      <c r="B267" s="1244" t="s">
        <v>1724</v>
      </c>
      <c r="C267" s="1244">
        <v>3800</v>
      </c>
      <c r="D267" s="1244">
        <v>3780</v>
      </c>
      <c r="E267" s="1244">
        <v>3930</v>
      </c>
      <c r="F267" s="1261"/>
      <c r="H267" s="1259"/>
    </row>
    <row r="268" spans="1:8" s="1231" customFormat="1" ht="14.25" customHeight="1">
      <c r="A268" s="1239" t="s">
        <v>305</v>
      </c>
      <c r="B268" s="1244" t="s">
        <v>1731</v>
      </c>
      <c r="C268" s="1244">
        <v>3460</v>
      </c>
      <c r="D268" s="1244">
        <v>3430</v>
      </c>
      <c r="E268" s="1244">
        <v>3560</v>
      </c>
      <c r="F268" s="1252">
        <v>840</v>
      </c>
      <c r="H268" s="1259"/>
    </row>
    <row r="269" spans="1:8" s="1231" customFormat="1" ht="14.25" customHeight="1">
      <c r="A269" s="1239" t="s">
        <v>305</v>
      </c>
      <c r="B269" s="1244" t="s">
        <v>1738</v>
      </c>
      <c r="C269" s="1244">
        <v>3210</v>
      </c>
      <c r="D269" s="1244">
        <v>3190</v>
      </c>
      <c r="E269" s="1244">
        <v>3310</v>
      </c>
      <c r="F269" s="1252">
        <v>730</v>
      </c>
      <c r="H269" s="1259"/>
    </row>
    <row r="270" spans="1:8" s="1231" customFormat="1" ht="14.25" customHeight="1">
      <c r="A270" s="1239" t="s">
        <v>305</v>
      </c>
      <c r="B270" s="1244" t="s">
        <v>1745</v>
      </c>
      <c r="C270" s="1244">
        <v>3240</v>
      </c>
      <c r="D270" s="1244">
        <v>3210</v>
      </c>
      <c r="E270" s="1244">
        <v>3390</v>
      </c>
      <c r="F270" s="1252">
        <v>820</v>
      </c>
      <c r="H270" s="1259"/>
    </row>
    <row r="271" spans="1:8" s="1231" customFormat="1" ht="14.25" customHeight="1">
      <c r="A271" s="1239" t="s">
        <v>305</v>
      </c>
      <c r="B271" s="1244" t="s">
        <v>1752</v>
      </c>
      <c r="C271" s="1244">
        <v>3300</v>
      </c>
      <c r="D271" s="1244">
        <v>3270</v>
      </c>
      <c r="E271" s="1244">
        <v>3380</v>
      </c>
      <c r="F271" s="1252">
        <v>750</v>
      </c>
      <c r="H271" s="1259"/>
    </row>
    <row r="272" spans="1:8" s="1231" customFormat="1" ht="14.25" customHeight="1">
      <c r="A272" s="1239" t="s">
        <v>305</v>
      </c>
      <c r="B272" s="1244" t="s">
        <v>1757</v>
      </c>
      <c r="C272" s="1266"/>
      <c r="D272" s="1266"/>
      <c r="E272" s="1266"/>
      <c r="F272" s="1252">
        <v>740</v>
      </c>
      <c r="H272" s="1259"/>
    </row>
    <row r="273" spans="1:8" s="1231" customFormat="1" ht="14.25" customHeight="1">
      <c r="A273" s="1239" t="s">
        <v>305</v>
      </c>
      <c r="B273" s="1244" t="s">
        <v>1762</v>
      </c>
      <c r="C273" s="1244">
        <v>3130</v>
      </c>
      <c r="D273" s="1244">
        <v>3100</v>
      </c>
      <c r="E273" s="1244">
        <v>3230</v>
      </c>
      <c r="F273" s="1252">
        <v>700</v>
      </c>
      <c r="H273" s="1259"/>
    </row>
    <row r="274" spans="1:8" s="1231" customFormat="1" ht="14.25" customHeight="1">
      <c r="A274" s="1239" t="s">
        <v>305</v>
      </c>
      <c r="B274" s="1244" t="s">
        <v>1767</v>
      </c>
      <c r="C274" s="1244">
        <v>3460</v>
      </c>
      <c r="D274" s="1244">
        <v>3430</v>
      </c>
      <c r="E274" s="1244">
        <v>3560</v>
      </c>
      <c r="F274" s="1252">
        <v>690</v>
      </c>
      <c r="H274" s="1259"/>
    </row>
    <row r="275" spans="1:8" s="1231" customFormat="1" ht="14.25" customHeight="1">
      <c r="A275" s="1239" t="s">
        <v>305</v>
      </c>
      <c r="B275" s="1244" t="s">
        <v>1772</v>
      </c>
      <c r="C275" s="1244">
        <v>4040</v>
      </c>
      <c r="D275" s="1244">
        <v>4020</v>
      </c>
      <c r="E275" s="1244">
        <v>4160</v>
      </c>
      <c r="F275" s="1252">
        <v>820</v>
      </c>
      <c r="H275" s="1259"/>
    </row>
    <row r="276" spans="1:8" s="1231" customFormat="1" ht="14.25" customHeight="1">
      <c r="A276" s="1239" t="s">
        <v>305</v>
      </c>
      <c r="B276" s="1244" t="s">
        <v>1777</v>
      </c>
      <c r="C276" s="1244">
        <v>3270</v>
      </c>
      <c r="D276" s="1244">
        <v>3240</v>
      </c>
      <c r="E276" s="1244">
        <v>3350</v>
      </c>
      <c r="F276" s="1252">
        <v>680</v>
      </c>
      <c r="H276" s="1259"/>
    </row>
    <row r="277" spans="1:8" s="1231" customFormat="1" ht="14.25" customHeight="1">
      <c r="A277" s="1239" t="s">
        <v>305</v>
      </c>
      <c r="B277" s="1244" t="s">
        <v>1782</v>
      </c>
      <c r="C277" s="1244">
        <v>2930</v>
      </c>
      <c r="D277" s="1244">
        <v>2900</v>
      </c>
      <c r="E277" s="1244">
        <v>3000</v>
      </c>
      <c r="F277" s="1252">
        <v>640</v>
      </c>
      <c r="H277" s="1259"/>
    </row>
    <row r="278" spans="1:8" s="1231" customFormat="1" ht="14.25" customHeight="1">
      <c r="A278" s="1239" t="s">
        <v>305</v>
      </c>
      <c r="B278" s="1244" t="s">
        <v>1787</v>
      </c>
      <c r="C278" s="1244">
        <v>4080</v>
      </c>
      <c r="D278" s="1244">
        <v>4030</v>
      </c>
      <c r="E278" s="1244">
        <v>4140</v>
      </c>
      <c r="F278" s="1252">
        <v>850</v>
      </c>
      <c r="H278" s="1259"/>
    </row>
    <row r="279" spans="1:8" s="1231" customFormat="1" ht="14.25" customHeight="1">
      <c r="A279" s="1239" t="s">
        <v>305</v>
      </c>
      <c r="B279" s="1244" t="s">
        <v>1791</v>
      </c>
      <c r="C279" s="1244"/>
      <c r="D279" s="1244"/>
      <c r="E279" s="1244"/>
      <c r="F279" s="1252">
        <v>760</v>
      </c>
      <c r="H279" s="1259"/>
    </row>
    <row r="280" spans="1:8" s="1231" customFormat="1" ht="14.25" customHeight="1">
      <c r="A280" s="1239" t="s">
        <v>305</v>
      </c>
      <c r="B280" s="1244" t="s">
        <v>1795</v>
      </c>
      <c r="C280" s="1244"/>
      <c r="D280" s="1244"/>
      <c r="E280" s="1244"/>
      <c r="F280" s="1252">
        <v>760</v>
      </c>
      <c r="H280" s="1259"/>
    </row>
    <row r="281" spans="1:8" s="1231" customFormat="1" ht="14.25" customHeight="1">
      <c r="A281" s="1239" t="s">
        <v>305</v>
      </c>
      <c r="B281" s="1244" t="s">
        <v>1799</v>
      </c>
      <c r="C281" s="1244"/>
      <c r="D281" s="1244"/>
      <c r="E281" s="1244"/>
      <c r="F281" s="1252">
        <v>780</v>
      </c>
      <c r="H281" s="1259"/>
    </row>
    <row r="282" spans="1:8" s="1231" customFormat="1" ht="14.25" customHeight="1">
      <c r="A282" s="1239" t="s">
        <v>305</v>
      </c>
      <c r="B282" s="1244" t="s">
        <v>1803</v>
      </c>
      <c r="C282" s="1244"/>
      <c r="D282" s="1244"/>
      <c r="E282" s="1244"/>
      <c r="F282" s="1252">
        <v>730</v>
      </c>
      <c r="H282" s="1259"/>
    </row>
    <row r="283" spans="1:8" s="1231" customFormat="1" ht="14.25" customHeight="1">
      <c r="A283" s="1239" t="s">
        <v>305</v>
      </c>
      <c r="B283" s="1244" t="s">
        <v>1807</v>
      </c>
      <c r="C283" s="1244"/>
      <c r="D283" s="1244"/>
      <c r="E283" s="1244"/>
      <c r="F283" s="1252">
        <v>770</v>
      </c>
      <c r="H283" s="1259"/>
    </row>
    <row r="284" spans="1:8" s="1231" customFormat="1" ht="14.25" customHeight="1">
      <c r="A284" s="1239" t="s">
        <v>305</v>
      </c>
      <c r="B284" s="1244" t="s">
        <v>1810</v>
      </c>
      <c r="C284" s="1244"/>
      <c r="D284" s="1244"/>
      <c r="E284" s="1244"/>
      <c r="F284" s="1252">
        <v>640</v>
      </c>
      <c r="H284" s="1259"/>
    </row>
    <row r="285" spans="1:8" s="1231" customFormat="1" ht="14.25" customHeight="1">
      <c r="A285" s="1239" t="s">
        <v>305</v>
      </c>
      <c r="B285" s="1244" t="s">
        <v>1813</v>
      </c>
      <c r="C285" s="1244"/>
      <c r="D285" s="1244"/>
      <c r="E285" s="1244"/>
      <c r="F285" s="1252">
        <v>640</v>
      </c>
      <c r="H285" s="1259"/>
    </row>
    <row r="286" spans="1:8" s="1231" customFormat="1" ht="14.25" customHeight="1">
      <c r="A286" s="1239" t="s">
        <v>305</v>
      </c>
      <c r="B286" s="1244" t="s">
        <v>1816</v>
      </c>
      <c r="C286" s="1244"/>
      <c r="D286" s="1244"/>
      <c r="E286" s="1244"/>
      <c r="F286" s="1252">
        <v>850</v>
      </c>
      <c r="H286" s="1259"/>
    </row>
    <row r="287" spans="1:8" s="1231" customFormat="1" ht="14.25" customHeight="1">
      <c r="A287" s="1239" t="s">
        <v>305</v>
      </c>
      <c r="B287" s="1244" t="s">
        <v>1819</v>
      </c>
      <c r="C287" s="1244"/>
      <c r="D287" s="1244"/>
      <c r="E287" s="1244"/>
      <c r="F287" s="1252">
        <v>760</v>
      </c>
      <c r="H287" s="1259"/>
    </row>
    <row r="288" spans="1:8" s="1231" customFormat="1" ht="14.25" customHeight="1">
      <c r="A288" s="1239" t="s">
        <v>305</v>
      </c>
      <c r="B288" s="1244" t="s">
        <v>1822</v>
      </c>
      <c r="C288" s="1244"/>
      <c r="D288" s="1244"/>
      <c r="E288" s="1244"/>
      <c r="F288" s="1252">
        <v>830</v>
      </c>
      <c r="H288" s="1259"/>
    </row>
    <row r="289" spans="1:8" s="1231" customFormat="1" ht="14.25" customHeight="1">
      <c r="A289" s="1239" t="s">
        <v>305</v>
      </c>
      <c r="B289" s="1250" t="s">
        <v>1825</v>
      </c>
      <c r="C289" s="1250"/>
      <c r="D289" s="1250"/>
      <c r="E289" s="1250"/>
      <c r="F289" s="1260">
        <v>680</v>
      </c>
      <c r="H289" s="1259"/>
    </row>
    <row r="290" spans="1:8" s="1231" customFormat="1" ht="14.25" customHeight="1">
      <c r="A290" s="1239" t="s">
        <v>308</v>
      </c>
      <c r="B290" s="1240" t="s">
        <v>1500</v>
      </c>
      <c r="C290" s="1240">
        <v>2770</v>
      </c>
      <c r="D290" s="1240">
        <v>2740</v>
      </c>
      <c r="E290" s="1240">
        <v>2720</v>
      </c>
      <c r="F290" s="1267"/>
      <c r="H290" s="1259"/>
    </row>
    <row r="291" spans="1:8" s="1231" customFormat="1" ht="14.25" customHeight="1">
      <c r="A291" s="1239" t="s">
        <v>308</v>
      </c>
      <c r="B291" s="1244" t="s">
        <v>1513</v>
      </c>
      <c r="C291" s="1244">
        <v>2670</v>
      </c>
      <c r="D291" s="1244">
        <v>2640</v>
      </c>
      <c r="E291" s="1244">
        <v>2620</v>
      </c>
      <c r="F291" s="1261"/>
      <c r="H291" s="1259"/>
    </row>
    <row r="292" spans="1:8" s="1231" customFormat="1" ht="14.25" customHeight="1">
      <c r="A292" s="1239" t="s">
        <v>308</v>
      </c>
      <c r="B292" s="1244" t="s">
        <v>1526</v>
      </c>
      <c r="C292" s="1244">
        <v>2180</v>
      </c>
      <c r="D292" s="1244">
        <v>2140</v>
      </c>
      <c r="E292" s="1244">
        <v>2120</v>
      </c>
      <c r="F292" s="1252">
        <v>490</v>
      </c>
      <c r="H292" s="1259"/>
    </row>
    <row r="293" spans="1:8" s="1231" customFormat="1" ht="14.25" customHeight="1">
      <c r="A293" s="1239" t="s">
        <v>308</v>
      </c>
      <c r="B293" s="1244" t="s">
        <v>1832</v>
      </c>
      <c r="C293" s="1244"/>
      <c r="D293" s="1244"/>
      <c r="E293" s="1244"/>
      <c r="F293" s="1252">
        <v>470</v>
      </c>
      <c r="H293" s="1259"/>
    </row>
    <row r="294" spans="1:8" s="1231" customFormat="1" ht="14.25" customHeight="1">
      <c r="A294" s="1239" t="s">
        <v>308</v>
      </c>
      <c r="B294" s="1244" t="s">
        <v>1538</v>
      </c>
      <c r="C294" s="1244">
        <v>2730</v>
      </c>
      <c r="D294" s="1244">
        <v>2700</v>
      </c>
      <c r="E294" s="1244">
        <v>2680</v>
      </c>
      <c r="F294" s="1252">
        <v>490</v>
      </c>
      <c r="H294" s="1259"/>
    </row>
    <row r="295" spans="1:8" s="1231" customFormat="1" ht="14.25" customHeight="1">
      <c r="A295" s="1239" t="s">
        <v>308</v>
      </c>
      <c r="B295" s="1244" t="s">
        <v>1550</v>
      </c>
      <c r="C295" s="1244">
        <v>2380</v>
      </c>
      <c r="D295" s="1244">
        <v>2350</v>
      </c>
      <c r="E295" s="1244">
        <v>2330</v>
      </c>
      <c r="F295" s="1252">
        <v>530</v>
      </c>
      <c r="H295" s="1259"/>
    </row>
    <row r="296" spans="1:8" s="1231" customFormat="1" ht="14.25" customHeight="1">
      <c r="A296" s="1239" t="s">
        <v>308</v>
      </c>
      <c r="B296" s="1244" t="s">
        <v>1561</v>
      </c>
      <c r="C296" s="1244">
        <v>2650</v>
      </c>
      <c r="D296" s="1244">
        <v>2620</v>
      </c>
      <c r="E296" s="1244">
        <v>2590</v>
      </c>
      <c r="F296" s="1252">
        <v>590</v>
      </c>
      <c r="H296" s="1259"/>
    </row>
    <row r="297" spans="1:8" s="1231" customFormat="1" ht="14.25" customHeight="1">
      <c r="A297" s="1239" t="s">
        <v>308</v>
      </c>
      <c r="B297" s="1244" t="s">
        <v>1572</v>
      </c>
      <c r="C297" s="1244">
        <v>2700</v>
      </c>
      <c r="D297" s="1244">
        <v>2670</v>
      </c>
      <c r="E297" s="1244">
        <v>2650</v>
      </c>
      <c r="F297" s="1252">
        <v>630</v>
      </c>
      <c r="H297" s="1259"/>
    </row>
    <row r="298" spans="1:8" s="1231" customFormat="1" ht="14.25" customHeight="1">
      <c r="A298" s="1239" t="s">
        <v>308</v>
      </c>
      <c r="B298" s="1244" t="s">
        <v>1583</v>
      </c>
      <c r="C298" s="1244">
        <v>2650</v>
      </c>
      <c r="D298" s="1244">
        <v>2620</v>
      </c>
      <c r="E298" s="1244">
        <v>2590</v>
      </c>
      <c r="F298" s="1252">
        <v>640</v>
      </c>
      <c r="H298" s="1259"/>
    </row>
    <row r="299" spans="1:8" s="1231" customFormat="1" ht="14.25" customHeight="1">
      <c r="A299" s="1239" t="s">
        <v>308</v>
      </c>
      <c r="B299" s="1244" t="s">
        <v>1593</v>
      </c>
      <c r="C299" s="1244">
        <v>2500</v>
      </c>
      <c r="D299" s="1244">
        <v>2480</v>
      </c>
      <c r="E299" s="1244">
        <v>2460</v>
      </c>
      <c r="F299" s="1261"/>
      <c r="H299" s="1259"/>
    </row>
    <row r="300" spans="1:8" s="1231" customFormat="1" ht="14.25" customHeight="1">
      <c r="A300" s="1239" t="s">
        <v>308</v>
      </c>
      <c r="B300" s="1244" t="s">
        <v>1603</v>
      </c>
      <c r="C300" s="1244">
        <v>2760</v>
      </c>
      <c r="D300" s="1244">
        <v>2730</v>
      </c>
      <c r="E300" s="1244">
        <v>2700</v>
      </c>
      <c r="F300" s="1252">
        <v>630</v>
      </c>
      <c r="H300" s="1259"/>
    </row>
    <row r="301" spans="1:8" s="1231" customFormat="1" ht="14.25" customHeight="1">
      <c r="A301" s="1239" t="s">
        <v>308</v>
      </c>
      <c r="B301" s="1244" t="s">
        <v>1613</v>
      </c>
      <c r="C301" s="1244">
        <v>2510</v>
      </c>
      <c r="D301" s="1244">
        <v>2480</v>
      </c>
      <c r="E301" s="1244">
        <v>2460</v>
      </c>
      <c r="F301" s="1261"/>
      <c r="H301" s="1259"/>
    </row>
    <row r="302" spans="1:8" s="1231" customFormat="1" ht="14.25" customHeight="1">
      <c r="A302" s="1239" t="s">
        <v>308</v>
      </c>
      <c r="B302" s="1244" t="s">
        <v>1623</v>
      </c>
      <c r="C302" s="1244">
        <v>2480</v>
      </c>
      <c r="D302" s="1244">
        <v>2450</v>
      </c>
      <c r="E302" s="1244">
        <v>2420</v>
      </c>
      <c r="F302" s="1252">
        <v>600</v>
      </c>
      <c r="H302" s="1259"/>
    </row>
    <row r="303" spans="1:8" s="1231" customFormat="1" ht="14.25" customHeight="1">
      <c r="A303" s="1239" t="s">
        <v>308</v>
      </c>
      <c r="B303" s="1244" t="s">
        <v>1633</v>
      </c>
      <c r="C303" s="1244">
        <v>2270</v>
      </c>
      <c r="D303" s="1244">
        <v>2240</v>
      </c>
      <c r="E303" s="1244">
        <v>2210</v>
      </c>
      <c r="F303" s="1252">
        <v>540</v>
      </c>
      <c r="H303" s="1259"/>
    </row>
    <row r="304" spans="1:8" s="1231" customFormat="1" ht="14.25" customHeight="1">
      <c r="A304" s="1239" t="s">
        <v>308</v>
      </c>
      <c r="B304" s="1244" t="s">
        <v>1643</v>
      </c>
      <c r="C304" s="1244">
        <v>2310</v>
      </c>
      <c r="D304" s="1244">
        <v>2290</v>
      </c>
      <c r="E304" s="1244">
        <v>2270</v>
      </c>
      <c r="F304" s="1261"/>
      <c r="H304" s="1259"/>
    </row>
    <row r="305" spans="1:8" s="1231" customFormat="1" ht="14.25" customHeight="1">
      <c r="A305" s="1239" t="s">
        <v>308</v>
      </c>
      <c r="B305" s="1244" t="s">
        <v>1653</v>
      </c>
      <c r="C305" s="1244">
        <v>2490</v>
      </c>
      <c r="D305" s="1244">
        <v>2470</v>
      </c>
      <c r="E305" s="1244">
        <v>2440</v>
      </c>
      <c r="F305" s="1252">
        <v>560</v>
      </c>
      <c r="H305" s="1259"/>
    </row>
    <row r="306" spans="1:8" s="1231" customFormat="1" ht="14.25" customHeight="1">
      <c r="A306" s="1239" t="s">
        <v>308</v>
      </c>
      <c r="B306" s="1244" t="s">
        <v>1663</v>
      </c>
      <c r="C306" s="1244">
        <v>2420</v>
      </c>
      <c r="D306" s="1244">
        <v>2400</v>
      </c>
      <c r="E306" s="1244">
        <v>2380</v>
      </c>
      <c r="F306" s="1261"/>
      <c r="H306" s="1259"/>
    </row>
    <row r="307" spans="1:8" s="1231" customFormat="1" ht="14.25" customHeight="1">
      <c r="A307" s="1239" t="s">
        <v>308</v>
      </c>
      <c r="B307" s="1244" t="s">
        <v>1673</v>
      </c>
      <c r="C307" s="1244">
        <v>2770</v>
      </c>
      <c r="D307" s="1244">
        <v>2740</v>
      </c>
      <c r="E307" s="1244">
        <v>2710</v>
      </c>
      <c r="F307" s="1252">
        <v>650</v>
      </c>
      <c r="H307" s="1259"/>
    </row>
    <row r="308" spans="1:8" s="1231" customFormat="1" ht="14.25" customHeight="1">
      <c r="A308" s="1239" t="s">
        <v>308</v>
      </c>
      <c r="B308" s="1244" t="s">
        <v>1683</v>
      </c>
      <c r="C308" s="1244">
        <v>2610</v>
      </c>
      <c r="D308" s="1244">
        <v>2580</v>
      </c>
      <c r="E308" s="1244">
        <v>2550</v>
      </c>
      <c r="F308" s="1252">
        <v>580</v>
      </c>
      <c r="H308" s="1259"/>
    </row>
    <row r="309" spans="1:8" s="1231" customFormat="1" ht="14.25" customHeight="1">
      <c r="A309" s="1239" t="s">
        <v>308</v>
      </c>
      <c r="B309" s="1244" t="s">
        <v>1693</v>
      </c>
      <c r="C309" s="1244">
        <v>2690</v>
      </c>
      <c r="D309" s="1244">
        <v>2670</v>
      </c>
      <c r="E309" s="1244">
        <v>2650</v>
      </c>
      <c r="F309" s="1261"/>
      <c r="H309" s="1259"/>
    </row>
    <row r="310" spans="1:8" s="1231" customFormat="1" ht="14.25" customHeight="1">
      <c r="A310" s="1239" t="s">
        <v>308</v>
      </c>
      <c r="B310" s="1244" t="s">
        <v>1702</v>
      </c>
      <c r="C310" s="1244">
        <v>2360</v>
      </c>
      <c r="D310" s="1244">
        <v>2330</v>
      </c>
      <c r="E310" s="1244">
        <v>2310</v>
      </c>
      <c r="F310" s="1252">
        <v>560</v>
      </c>
      <c r="H310" s="1259"/>
    </row>
    <row r="311" spans="1:8" s="1231" customFormat="1" ht="14.25" customHeight="1">
      <c r="A311" s="1239" t="s">
        <v>308</v>
      </c>
      <c r="B311" s="1244" t="s">
        <v>1710</v>
      </c>
      <c r="C311" s="1244">
        <v>1970</v>
      </c>
      <c r="D311" s="1244">
        <v>1950</v>
      </c>
      <c r="E311" s="1244">
        <v>1920</v>
      </c>
      <c r="F311" s="1252">
        <v>470</v>
      </c>
      <c r="H311" s="1259"/>
    </row>
    <row r="312" spans="1:8" s="1231" customFormat="1" ht="14.25" customHeight="1">
      <c r="A312" s="1239" t="s">
        <v>308</v>
      </c>
      <c r="B312" s="1244" t="s">
        <v>1718</v>
      </c>
      <c r="C312" s="1244">
        <v>2230</v>
      </c>
      <c r="D312" s="1244">
        <v>2200</v>
      </c>
      <c r="E312" s="1244">
        <v>2170</v>
      </c>
      <c r="F312" s="1252">
        <v>460</v>
      </c>
      <c r="H312" s="1259"/>
    </row>
    <row r="313" spans="1:8" s="1231" customFormat="1" ht="14.25" customHeight="1">
      <c r="A313" s="1239" t="s">
        <v>308</v>
      </c>
      <c r="B313" s="1244" t="s">
        <v>1725</v>
      </c>
      <c r="C313" s="1244">
        <v>2770</v>
      </c>
      <c r="D313" s="1244">
        <v>2740</v>
      </c>
      <c r="E313" s="1244">
        <v>2710</v>
      </c>
      <c r="F313" s="1252">
        <v>610</v>
      </c>
      <c r="H313" s="1259"/>
    </row>
    <row r="314" spans="1:8" s="1231" customFormat="1" ht="14.25" customHeight="1">
      <c r="A314" s="1239" t="s">
        <v>308</v>
      </c>
      <c r="B314" s="1244" t="s">
        <v>1732</v>
      </c>
      <c r="C314" s="1244"/>
      <c r="D314" s="1244"/>
      <c r="E314" s="1244"/>
      <c r="F314" s="1252">
        <v>490</v>
      </c>
      <c r="H314" s="1259"/>
    </row>
    <row r="315" spans="1:8" s="1231" customFormat="1" ht="14.25" customHeight="1">
      <c r="A315" s="1239" t="s">
        <v>308</v>
      </c>
      <c r="B315" s="1244" t="s">
        <v>1739</v>
      </c>
      <c r="C315" s="1244"/>
      <c r="D315" s="1244"/>
      <c r="E315" s="1244"/>
      <c r="F315" s="1252">
        <v>520</v>
      </c>
      <c r="H315" s="1259"/>
    </row>
    <row r="316" spans="1:8" s="1231" customFormat="1" ht="14.25" customHeight="1">
      <c r="A316" s="1239" t="s">
        <v>308</v>
      </c>
      <c r="B316" s="1250" t="s">
        <v>1746</v>
      </c>
      <c r="C316" s="1250"/>
      <c r="D316" s="1250"/>
      <c r="E316" s="1250"/>
      <c r="F316" s="1260">
        <v>460</v>
      </c>
      <c r="H316" s="1259"/>
    </row>
    <row r="317" spans="1:8" s="1231" customFormat="1" ht="14.25" customHeight="1">
      <c r="A317" s="1239" t="s">
        <v>311</v>
      </c>
      <c r="B317" s="1240" t="s">
        <v>1501</v>
      </c>
      <c r="C317" s="1240">
        <v>1200</v>
      </c>
      <c r="D317" s="1240">
        <v>1180</v>
      </c>
      <c r="E317" s="1240">
        <v>1160</v>
      </c>
      <c r="F317" s="1241">
        <v>370</v>
      </c>
      <c r="H317" s="1233"/>
    </row>
    <row r="318" spans="1:8" s="1231" customFormat="1" ht="14.25" customHeight="1">
      <c r="A318" s="1239" t="s">
        <v>311</v>
      </c>
      <c r="B318" s="1244" t="s">
        <v>1514</v>
      </c>
      <c r="C318" s="1244">
        <v>1090</v>
      </c>
      <c r="D318" s="1244">
        <v>1060</v>
      </c>
      <c r="E318" s="1244">
        <v>1040</v>
      </c>
      <c r="F318" s="1261"/>
      <c r="H318" s="1233"/>
    </row>
    <row r="319" spans="1:8" s="1231" customFormat="1" ht="14.25" customHeight="1">
      <c r="A319" s="1239" t="s">
        <v>311</v>
      </c>
      <c r="B319" s="1244" t="s">
        <v>1527</v>
      </c>
      <c r="C319" s="1244">
        <v>1520</v>
      </c>
      <c r="D319" s="1244">
        <v>1470</v>
      </c>
      <c r="E319" s="1244">
        <v>1440</v>
      </c>
      <c r="F319" s="1252">
        <v>370</v>
      </c>
      <c r="H319" s="1233"/>
    </row>
    <row r="320" spans="1:8" s="1231" customFormat="1" ht="14.25" customHeight="1">
      <c r="A320" s="1239" t="s">
        <v>311</v>
      </c>
      <c r="B320" s="1244" t="s">
        <v>1539</v>
      </c>
      <c r="C320" s="1244">
        <v>1360</v>
      </c>
      <c r="D320" s="1244">
        <v>1300</v>
      </c>
      <c r="E320" s="1244">
        <v>1270</v>
      </c>
      <c r="F320" s="1261"/>
      <c r="H320" s="1233"/>
    </row>
    <row r="321" spans="1:8" s="1231" customFormat="1" ht="14.25" customHeight="1">
      <c r="A321" s="1239" t="s">
        <v>311</v>
      </c>
      <c r="B321" s="1244" t="s">
        <v>1551</v>
      </c>
      <c r="C321" s="1244">
        <v>1750</v>
      </c>
      <c r="D321" s="1244">
        <v>1690</v>
      </c>
      <c r="E321" s="1244">
        <v>1660</v>
      </c>
      <c r="F321" s="1261"/>
      <c r="H321" s="1233"/>
    </row>
    <row r="322" spans="1:8" s="1231" customFormat="1" ht="14.25" customHeight="1">
      <c r="A322" s="1239" t="s">
        <v>311</v>
      </c>
      <c r="B322" s="1244" t="s">
        <v>1562</v>
      </c>
      <c r="C322" s="1244">
        <v>1650</v>
      </c>
      <c r="D322" s="1244">
        <v>1610</v>
      </c>
      <c r="E322" s="1244">
        <v>1580</v>
      </c>
      <c r="F322" s="1252">
        <v>500</v>
      </c>
      <c r="H322" s="1233"/>
    </row>
    <row r="323" spans="1:8" s="1231" customFormat="1" ht="14.25" customHeight="1">
      <c r="A323" s="1239" t="s">
        <v>311</v>
      </c>
      <c r="B323" s="1244" t="s">
        <v>1573</v>
      </c>
      <c r="C323" s="1244">
        <v>1780</v>
      </c>
      <c r="D323" s="1244">
        <v>1740</v>
      </c>
      <c r="E323" s="1244">
        <v>1720</v>
      </c>
      <c r="F323" s="1261"/>
      <c r="H323" s="1233"/>
    </row>
    <row r="324" spans="1:8" s="1231" customFormat="1" ht="14.25" customHeight="1">
      <c r="A324" s="1239" t="s">
        <v>311</v>
      </c>
      <c r="B324" s="1244" t="s">
        <v>1584</v>
      </c>
      <c r="C324" s="1244">
        <v>1650</v>
      </c>
      <c r="D324" s="1244">
        <v>1610</v>
      </c>
      <c r="E324" s="1244">
        <v>1580</v>
      </c>
      <c r="F324" s="1261"/>
      <c r="H324" s="1233"/>
    </row>
    <row r="325" spans="1:8" s="1231" customFormat="1" ht="14.25" customHeight="1">
      <c r="A325" s="1239" t="s">
        <v>311</v>
      </c>
      <c r="B325" s="1244" t="s">
        <v>1594</v>
      </c>
      <c r="C325" s="1244">
        <v>1330</v>
      </c>
      <c r="D325" s="1244">
        <v>1270</v>
      </c>
      <c r="E325" s="1244">
        <v>1240</v>
      </c>
      <c r="F325" s="1252">
        <v>430</v>
      </c>
      <c r="H325" s="1233"/>
    </row>
    <row r="326" spans="1:8" s="1231" customFormat="1" ht="14.25" customHeight="1">
      <c r="A326" s="1239" t="s">
        <v>311</v>
      </c>
      <c r="B326" s="1244" t="s">
        <v>1604</v>
      </c>
      <c r="C326" s="1244">
        <v>1470</v>
      </c>
      <c r="D326" s="1244">
        <v>1430</v>
      </c>
      <c r="E326" s="1244">
        <v>1400</v>
      </c>
      <c r="F326" s="1261"/>
      <c r="H326" s="1233"/>
    </row>
    <row r="327" spans="1:8" s="1231" customFormat="1" ht="14.25" customHeight="1">
      <c r="A327" s="1239" t="s">
        <v>311</v>
      </c>
      <c r="B327" s="1244" t="s">
        <v>1614</v>
      </c>
      <c r="C327" s="1244">
        <v>1420</v>
      </c>
      <c r="D327" s="1244">
        <v>1380</v>
      </c>
      <c r="E327" s="1244">
        <v>1360</v>
      </c>
      <c r="F327" s="1252">
        <v>420</v>
      </c>
      <c r="H327" s="1233"/>
    </row>
    <row r="328" spans="1:8" s="1231" customFormat="1" ht="14.25" customHeight="1">
      <c r="A328" s="1239" t="s">
        <v>311</v>
      </c>
      <c r="B328" s="1244" t="s">
        <v>1624</v>
      </c>
      <c r="C328" s="1244">
        <v>1400</v>
      </c>
      <c r="D328" s="1244">
        <v>1360</v>
      </c>
      <c r="E328" s="1244">
        <v>1330</v>
      </c>
      <c r="F328" s="1252">
        <v>460</v>
      </c>
      <c r="H328" s="1233"/>
    </row>
    <row r="329" spans="1:8" s="1231" customFormat="1" ht="14.25" customHeight="1">
      <c r="A329" s="1239" t="s">
        <v>311</v>
      </c>
      <c r="B329" s="1244" t="s">
        <v>1634</v>
      </c>
      <c r="C329" s="1244">
        <v>1640</v>
      </c>
      <c r="D329" s="1244">
        <v>1610</v>
      </c>
      <c r="E329" s="1244">
        <v>1580</v>
      </c>
      <c r="F329" s="1252">
        <v>410</v>
      </c>
      <c r="H329" s="1233"/>
    </row>
    <row r="330" spans="1:8" s="1231" customFormat="1" ht="14.25" customHeight="1">
      <c r="A330" s="1239" t="s">
        <v>311</v>
      </c>
      <c r="B330" s="1244" t="s">
        <v>1644</v>
      </c>
      <c r="C330" s="1244">
        <v>1260</v>
      </c>
      <c r="D330" s="1244">
        <v>1220</v>
      </c>
      <c r="E330" s="1244">
        <v>1200</v>
      </c>
      <c r="F330" s="1261"/>
      <c r="H330" s="1233"/>
    </row>
    <row r="331" spans="1:8" s="1231" customFormat="1" ht="14.25" customHeight="1">
      <c r="A331" s="1239" t="s">
        <v>311</v>
      </c>
      <c r="B331" s="1244" t="s">
        <v>1654</v>
      </c>
      <c r="C331" s="1244">
        <v>1620</v>
      </c>
      <c r="D331" s="1244">
        <v>1560</v>
      </c>
      <c r="E331" s="1244">
        <v>1530</v>
      </c>
      <c r="F331" s="1252">
        <v>490</v>
      </c>
      <c r="H331" s="1233"/>
    </row>
    <row r="332" spans="1:8" s="1231" customFormat="1" ht="14.25" customHeight="1">
      <c r="A332" s="1239" t="s">
        <v>311</v>
      </c>
      <c r="B332" s="1244" t="s">
        <v>1664</v>
      </c>
      <c r="C332" s="1244">
        <v>1520</v>
      </c>
      <c r="D332" s="1244">
        <v>1470</v>
      </c>
      <c r="E332" s="1244">
        <v>1440</v>
      </c>
      <c r="F332" s="1252">
        <v>440</v>
      </c>
      <c r="H332" s="1233"/>
    </row>
    <row r="333" spans="1:8" s="1231" customFormat="1" ht="14.25" customHeight="1">
      <c r="A333" s="1239" t="s">
        <v>311</v>
      </c>
      <c r="B333" s="1244" t="s">
        <v>1674</v>
      </c>
      <c r="C333" s="1244">
        <v>1370</v>
      </c>
      <c r="D333" s="1244">
        <v>1320</v>
      </c>
      <c r="E333" s="1244">
        <v>1300</v>
      </c>
      <c r="F333" s="1252">
        <v>460</v>
      </c>
      <c r="H333" s="1233"/>
    </row>
    <row r="334" spans="1:8" s="1231" customFormat="1" ht="14.25" customHeight="1">
      <c r="A334" s="1239" t="s">
        <v>311</v>
      </c>
      <c r="B334" s="1244" t="s">
        <v>1684</v>
      </c>
      <c r="C334" s="1244">
        <v>1410</v>
      </c>
      <c r="D334" s="1244">
        <v>1340</v>
      </c>
      <c r="E334" s="1244">
        <v>1310</v>
      </c>
      <c r="F334" s="1252">
        <v>410</v>
      </c>
      <c r="H334" s="1233"/>
    </row>
    <row r="335" spans="1:8" s="1231" customFormat="1" ht="14.25" customHeight="1">
      <c r="A335" s="1239" t="s">
        <v>311</v>
      </c>
      <c r="B335" s="1244" t="s">
        <v>1694</v>
      </c>
      <c r="C335" s="1244">
        <v>1260</v>
      </c>
      <c r="D335" s="1244">
        <v>1220</v>
      </c>
      <c r="E335" s="1244">
        <v>1200</v>
      </c>
      <c r="F335" s="1261"/>
      <c r="H335" s="1233"/>
    </row>
    <row r="336" spans="1:8" s="1231" customFormat="1" ht="14.25" customHeight="1">
      <c r="A336" s="1239" t="s">
        <v>311</v>
      </c>
      <c r="B336" s="1244" t="s">
        <v>1703</v>
      </c>
      <c r="C336" s="1244">
        <v>1160</v>
      </c>
      <c r="D336" s="1244">
        <v>1140</v>
      </c>
      <c r="E336" s="1244">
        <v>1120</v>
      </c>
      <c r="F336" s="1252">
        <v>430</v>
      </c>
      <c r="H336" s="1233"/>
    </row>
    <row r="337" spans="1:8" s="1231" customFormat="1" ht="14.25" customHeight="1">
      <c r="A337" s="1239" t="s">
        <v>311</v>
      </c>
      <c r="B337" s="1250" t="s">
        <v>1711</v>
      </c>
      <c r="C337" s="1250"/>
      <c r="D337" s="1250"/>
      <c r="E337" s="1250"/>
      <c r="F337" s="1260">
        <v>380</v>
      </c>
      <c r="H337" s="1233"/>
    </row>
    <row r="338" spans="1:8" s="1231" customFormat="1" ht="14.25" customHeight="1">
      <c r="A338" s="1239" t="s">
        <v>314</v>
      </c>
      <c r="B338" s="1240" t="s">
        <v>1502</v>
      </c>
      <c r="C338" s="1240">
        <v>880</v>
      </c>
      <c r="D338" s="1240">
        <v>850</v>
      </c>
      <c r="E338" s="1240">
        <v>830</v>
      </c>
      <c r="F338" s="1267"/>
      <c r="H338" s="1233"/>
    </row>
    <row r="339" spans="1:8" s="1231" customFormat="1" ht="14.25" customHeight="1">
      <c r="A339" s="1239" t="s">
        <v>314</v>
      </c>
      <c r="B339" s="1244" t="s">
        <v>1515</v>
      </c>
      <c r="C339" s="1244">
        <v>830</v>
      </c>
      <c r="D339" s="1244">
        <v>800</v>
      </c>
      <c r="E339" s="1244">
        <v>780</v>
      </c>
      <c r="F339" s="1261"/>
      <c r="H339" s="1233"/>
    </row>
    <row r="340" spans="1:8" s="1231" customFormat="1" ht="14.25" customHeight="1">
      <c r="A340" s="1239" t="s">
        <v>314</v>
      </c>
      <c r="B340" s="1244" t="s">
        <v>1528</v>
      </c>
      <c r="C340" s="1244">
        <v>980</v>
      </c>
      <c r="D340" s="1244">
        <v>950</v>
      </c>
      <c r="E340" s="1244">
        <v>920</v>
      </c>
      <c r="F340" s="1261"/>
      <c r="H340" s="1233"/>
    </row>
    <row r="341" spans="1:8" s="1231" customFormat="1" ht="14.25" customHeight="1">
      <c r="A341" s="1239" t="s">
        <v>314</v>
      </c>
      <c r="B341" s="1244" t="s">
        <v>1540</v>
      </c>
      <c r="C341" s="1244">
        <v>760</v>
      </c>
      <c r="D341" s="1244">
        <v>720</v>
      </c>
      <c r="E341" s="1244">
        <v>690</v>
      </c>
      <c r="F341" s="1252">
        <v>350</v>
      </c>
      <c r="H341" s="1233"/>
    </row>
    <row r="342" spans="1:8" s="1231" customFormat="1" ht="14.25" customHeight="1">
      <c r="A342" s="1239" t="s">
        <v>314</v>
      </c>
      <c r="B342" s="1244" t="s">
        <v>1552</v>
      </c>
      <c r="C342" s="1244">
        <v>910</v>
      </c>
      <c r="D342" s="1244">
        <v>870</v>
      </c>
      <c r="E342" s="1244">
        <v>850</v>
      </c>
      <c r="F342" s="1252">
        <v>370</v>
      </c>
      <c r="H342" s="1233"/>
    </row>
    <row r="343" spans="1:8" s="1231" customFormat="1" ht="14.25" customHeight="1">
      <c r="A343" s="1239" t="s">
        <v>314</v>
      </c>
      <c r="B343" s="1244" t="s">
        <v>1563</v>
      </c>
      <c r="C343" s="1244">
        <v>800</v>
      </c>
      <c r="D343" s="1244">
        <v>760</v>
      </c>
      <c r="E343" s="1244">
        <v>730</v>
      </c>
      <c r="F343" s="1252">
        <v>340</v>
      </c>
      <c r="H343" s="1233"/>
    </row>
    <row r="344" spans="1:8" s="1231" customFormat="1" ht="14.25" customHeight="1">
      <c r="A344" s="1239" t="s">
        <v>314</v>
      </c>
      <c r="B344" s="1250" t="s">
        <v>1574</v>
      </c>
      <c r="C344" s="1250">
        <v>720</v>
      </c>
      <c r="D344" s="1250">
        <v>690</v>
      </c>
      <c r="E344" s="1250">
        <v>660</v>
      </c>
      <c r="F344" s="1260">
        <v>300</v>
      </c>
      <c r="H344" s="1233"/>
    </row>
  </sheetData>
  <sheetProtection password="C66D" sheet="1" objects="1" scenarios="1" formatCells="0" formatColumns="0" formatRows="0"/>
  <mergeCells count="3">
    <mergeCell ref="A1:F1"/>
    <mergeCell ref="A2:F2"/>
    <mergeCell ref="A3:A4"/>
  </mergeCells>
  <phoneticPr fontId="231"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08"/>
  <sheetViews>
    <sheetView workbookViewId="0">
      <selection activeCell="O1" sqref="O1:AA1048576"/>
    </sheetView>
  </sheetViews>
  <sheetFormatPr defaultColWidth="9" defaultRowHeight="13.5"/>
  <cols>
    <col min="1" max="1" width="9" style="1219"/>
    <col min="2" max="16384" width="9" style="1220"/>
  </cols>
  <sheetData>
    <row r="1" spans="1:14" ht="14.25">
      <c r="A1" s="1221" t="s">
        <v>1833</v>
      </c>
      <c r="B1" s="1222"/>
      <c r="C1" s="1222"/>
      <c r="D1" s="1222"/>
      <c r="E1" s="1222"/>
      <c r="F1" s="1222"/>
      <c r="G1" s="1222"/>
      <c r="H1" s="1222"/>
      <c r="I1" s="1222"/>
      <c r="J1" s="1222"/>
      <c r="K1" s="1222"/>
      <c r="L1" s="1222"/>
      <c r="M1" s="1222"/>
      <c r="N1" s="1222"/>
    </row>
    <row r="2" spans="1:14">
      <c r="A2" s="1223" t="s">
        <v>105</v>
      </c>
      <c r="B2" s="1224" t="s">
        <v>240</v>
      </c>
      <c r="C2" s="1224" t="s">
        <v>253</v>
      </c>
      <c r="D2" s="1224" t="s">
        <v>265</v>
      </c>
      <c r="E2" s="1224" t="s">
        <v>275</v>
      </c>
      <c r="F2" s="1224" t="s">
        <v>284</v>
      </c>
      <c r="G2" s="1224" t="s">
        <v>292</v>
      </c>
      <c r="H2" s="1225" t="s">
        <v>297</v>
      </c>
      <c r="I2" s="1225" t="s">
        <v>302</v>
      </c>
      <c r="J2" s="1228" t="s">
        <v>305</v>
      </c>
      <c r="K2" s="1228" t="s">
        <v>308</v>
      </c>
      <c r="L2" s="1228" t="s">
        <v>311</v>
      </c>
      <c r="M2" s="1228" t="s">
        <v>314</v>
      </c>
    </row>
    <row r="3" spans="1:14">
      <c r="A3" s="1223">
        <v>0.1</v>
      </c>
      <c r="B3" s="1226">
        <v>15.052</v>
      </c>
      <c r="C3" s="1226">
        <v>15.052</v>
      </c>
      <c r="D3" s="1226">
        <v>14.263</v>
      </c>
      <c r="E3" s="1226">
        <v>14.263</v>
      </c>
      <c r="F3" s="1226">
        <v>14.263</v>
      </c>
      <c r="G3" s="1226">
        <v>14.263</v>
      </c>
      <c r="H3" s="1226">
        <v>14.263</v>
      </c>
      <c r="I3" s="1226">
        <v>14.097</v>
      </c>
      <c r="J3" s="1226">
        <v>14.097</v>
      </c>
      <c r="K3" s="1226">
        <v>14.097</v>
      </c>
      <c r="L3" s="1226">
        <v>14.097</v>
      </c>
      <c r="M3" s="1226">
        <v>14.097</v>
      </c>
      <c r="N3" s="1229"/>
    </row>
    <row r="4" spans="1:14">
      <c r="A4" s="1223">
        <v>0.2</v>
      </c>
      <c r="B4" s="1226">
        <v>7.5259999999999998</v>
      </c>
      <c r="C4" s="1226">
        <v>7.5259999999999998</v>
      </c>
      <c r="D4" s="1226">
        <v>7.1315</v>
      </c>
      <c r="E4" s="1226">
        <v>7.1315</v>
      </c>
      <c r="F4" s="1226">
        <v>7.1315</v>
      </c>
      <c r="G4" s="1226">
        <v>7.1315</v>
      </c>
      <c r="H4" s="1226">
        <v>7.1315</v>
      </c>
      <c r="I4" s="1226">
        <v>7.0484999999999998</v>
      </c>
      <c r="J4" s="1226">
        <v>7.0484999999999998</v>
      </c>
      <c r="K4" s="1226">
        <v>7.0484999999999998</v>
      </c>
      <c r="L4" s="1226">
        <v>7.0484999999999998</v>
      </c>
      <c r="M4" s="1226">
        <v>7.0484999999999998</v>
      </c>
    </row>
    <row r="5" spans="1:14">
      <c r="A5" s="1223">
        <v>0.3</v>
      </c>
      <c r="B5" s="1226">
        <v>5.0172999999999996</v>
      </c>
      <c r="C5" s="1226">
        <v>5.0172999999999996</v>
      </c>
      <c r="D5" s="1226">
        <v>4.7542999999999997</v>
      </c>
      <c r="E5" s="1226">
        <v>4.7542999999999997</v>
      </c>
      <c r="F5" s="1226">
        <v>4.7542999999999997</v>
      </c>
      <c r="G5" s="1226">
        <v>4.7542999999999997</v>
      </c>
      <c r="H5" s="1226">
        <v>4.7542999999999997</v>
      </c>
      <c r="I5" s="1226">
        <v>4.6989999999999998</v>
      </c>
      <c r="J5" s="1226">
        <v>4.6989999999999998</v>
      </c>
      <c r="K5" s="1226">
        <v>4.6989999999999998</v>
      </c>
      <c r="L5" s="1226">
        <v>4.6989999999999998</v>
      </c>
      <c r="M5" s="1226">
        <v>4.6989999999999998</v>
      </c>
    </row>
    <row r="6" spans="1:14">
      <c r="A6" s="1223">
        <v>0.4</v>
      </c>
      <c r="B6" s="1226">
        <v>3.7629999999999999</v>
      </c>
      <c r="C6" s="1226">
        <v>3.7629999999999999</v>
      </c>
      <c r="D6" s="1226">
        <v>3.5657999999999999</v>
      </c>
      <c r="E6" s="1226">
        <v>3.5657999999999999</v>
      </c>
      <c r="F6" s="1226">
        <v>3.5657999999999999</v>
      </c>
      <c r="G6" s="1226">
        <v>3.5657999999999999</v>
      </c>
      <c r="H6" s="1226">
        <v>3.5657999999999999</v>
      </c>
      <c r="I6" s="1226">
        <v>3.5243000000000002</v>
      </c>
      <c r="J6" s="1226">
        <v>3.5243000000000002</v>
      </c>
      <c r="K6" s="1226">
        <v>3.5243000000000002</v>
      </c>
      <c r="L6" s="1226">
        <v>3.5243000000000002</v>
      </c>
      <c r="M6" s="1226">
        <v>3.5243000000000002</v>
      </c>
    </row>
    <row r="7" spans="1:14">
      <c r="A7" s="1223">
        <v>0.5</v>
      </c>
      <c r="B7" s="1226">
        <v>3.0104000000000002</v>
      </c>
      <c r="C7" s="1226">
        <v>3.0104000000000002</v>
      </c>
      <c r="D7" s="1226">
        <v>2.8525999999999998</v>
      </c>
      <c r="E7" s="1226">
        <v>2.8525999999999998</v>
      </c>
      <c r="F7" s="1226">
        <v>2.8525999999999998</v>
      </c>
      <c r="G7" s="1226">
        <v>2.8525999999999998</v>
      </c>
      <c r="H7" s="1226">
        <v>2.8525999999999998</v>
      </c>
      <c r="I7" s="1226">
        <v>2.8193999999999999</v>
      </c>
      <c r="J7" s="1226">
        <v>2.8193999999999999</v>
      </c>
      <c r="K7" s="1226">
        <v>2.8193999999999999</v>
      </c>
      <c r="L7" s="1226">
        <v>2.8193999999999999</v>
      </c>
      <c r="M7" s="1226">
        <v>2.8193999999999999</v>
      </c>
    </row>
    <row r="8" spans="1:14">
      <c r="A8" s="1223">
        <v>0.6</v>
      </c>
      <c r="B8" s="1226">
        <v>2.5087000000000002</v>
      </c>
      <c r="C8" s="1226">
        <v>2.5087000000000002</v>
      </c>
      <c r="D8" s="1226">
        <v>2.3772000000000002</v>
      </c>
      <c r="E8" s="1226">
        <v>2.3772000000000002</v>
      </c>
      <c r="F8" s="1226">
        <v>2.3772000000000002</v>
      </c>
      <c r="G8" s="1226">
        <v>2.3772000000000002</v>
      </c>
      <c r="H8" s="1226">
        <v>2.3772000000000002</v>
      </c>
      <c r="I8" s="1226">
        <v>2.3494999999999999</v>
      </c>
      <c r="J8" s="1226">
        <v>2.3494999999999999</v>
      </c>
      <c r="K8" s="1226">
        <v>2.3494999999999999</v>
      </c>
      <c r="L8" s="1226">
        <v>2.3494999999999999</v>
      </c>
      <c r="M8" s="1226">
        <v>2.3494999999999999</v>
      </c>
    </row>
    <row r="9" spans="1:14">
      <c r="A9" s="1223">
        <v>0.7</v>
      </c>
      <c r="B9" s="1226">
        <v>2.1503000000000001</v>
      </c>
      <c r="C9" s="1226">
        <v>2.1503000000000001</v>
      </c>
      <c r="D9" s="1226">
        <v>2.0375999999999999</v>
      </c>
      <c r="E9" s="1226">
        <v>2.0375999999999999</v>
      </c>
      <c r="F9" s="1226">
        <v>2.0375999999999999</v>
      </c>
      <c r="G9" s="1226">
        <v>2.0375999999999999</v>
      </c>
      <c r="H9" s="1226">
        <v>2.0375999999999999</v>
      </c>
      <c r="I9" s="1226">
        <v>2.0139</v>
      </c>
      <c r="J9" s="1226">
        <v>2.0139</v>
      </c>
      <c r="K9" s="1226">
        <v>2.0139</v>
      </c>
      <c r="L9" s="1226">
        <v>2.0139</v>
      </c>
      <c r="M9" s="1226">
        <v>2.0139</v>
      </c>
    </row>
    <row r="10" spans="1:14">
      <c r="A10" s="1223">
        <v>0.8</v>
      </c>
      <c r="B10" s="1226">
        <v>1.8815</v>
      </c>
      <c r="C10" s="1226">
        <v>1.8815</v>
      </c>
      <c r="D10" s="1226">
        <v>1.7828999999999999</v>
      </c>
      <c r="E10" s="1226">
        <v>1.7828999999999999</v>
      </c>
      <c r="F10" s="1226">
        <v>1.7828999999999999</v>
      </c>
      <c r="G10" s="1226">
        <v>1.7828999999999999</v>
      </c>
      <c r="H10" s="1226">
        <v>1.7828999999999999</v>
      </c>
      <c r="I10" s="1226">
        <v>1.7621</v>
      </c>
      <c r="J10" s="1226">
        <v>1.7621</v>
      </c>
      <c r="K10" s="1226">
        <v>1.7621</v>
      </c>
      <c r="L10" s="1226">
        <v>1.7621</v>
      </c>
      <c r="M10" s="1226">
        <v>1.7621</v>
      </c>
    </row>
    <row r="11" spans="1:14">
      <c r="A11" s="1223">
        <v>0.9</v>
      </c>
      <c r="B11" s="1226">
        <v>1.6724000000000001</v>
      </c>
      <c r="C11" s="1226">
        <v>1.6724000000000001</v>
      </c>
      <c r="D11" s="1226">
        <v>1.5848</v>
      </c>
      <c r="E11" s="1226">
        <v>1.5848</v>
      </c>
      <c r="F11" s="1226">
        <v>1.5848</v>
      </c>
      <c r="G11" s="1226">
        <v>1.5848</v>
      </c>
      <c r="H11" s="1226">
        <v>1.5848</v>
      </c>
      <c r="I11" s="1226">
        <v>1.5663</v>
      </c>
      <c r="J11" s="1226">
        <v>1.5663</v>
      </c>
      <c r="K11" s="1226">
        <v>1.5663</v>
      </c>
      <c r="L11" s="1226">
        <v>1.5663</v>
      </c>
      <c r="M11" s="1226">
        <v>1.5663</v>
      </c>
    </row>
    <row r="12" spans="1:14">
      <c r="A12" s="1223">
        <v>1</v>
      </c>
      <c r="B12" s="1226">
        <v>1.5052000000000001</v>
      </c>
      <c r="C12" s="1226">
        <v>1.5052000000000001</v>
      </c>
      <c r="D12" s="1226">
        <v>1.4262999999999999</v>
      </c>
      <c r="E12" s="1226">
        <v>1.4262999999999999</v>
      </c>
      <c r="F12" s="1226">
        <v>1.4262999999999999</v>
      </c>
      <c r="G12" s="1226">
        <v>1.4262999999999999</v>
      </c>
      <c r="H12" s="1226">
        <v>1.4262999999999999</v>
      </c>
      <c r="I12" s="1226">
        <v>1.4097</v>
      </c>
      <c r="J12" s="1226">
        <v>1.4097</v>
      </c>
      <c r="K12" s="1226">
        <v>1.4097</v>
      </c>
      <c r="L12" s="1226">
        <v>1.4097</v>
      </c>
      <c r="M12" s="1226">
        <v>1.4097</v>
      </c>
    </row>
    <row r="13" spans="1:14">
      <c r="A13" s="1223">
        <v>1.1000000000000001</v>
      </c>
      <c r="B13" s="1226">
        <v>1.4509000000000001</v>
      </c>
      <c r="C13" s="1226">
        <v>1.4509000000000001</v>
      </c>
      <c r="D13" s="1226">
        <v>1.3697999999999999</v>
      </c>
      <c r="E13" s="1226">
        <v>1.3697999999999999</v>
      </c>
      <c r="F13" s="1226">
        <v>1.3697999999999999</v>
      </c>
      <c r="G13" s="1226">
        <v>1.3697999999999999</v>
      </c>
      <c r="H13" s="1226">
        <v>1.3697999999999999</v>
      </c>
      <c r="I13" s="1226">
        <v>1.343</v>
      </c>
      <c r="J13" s="1226">
        <v>1.343</v>
      </c>
      <c r="K13" s="1226">
        <v>1.343</v>
      </c>
      <c r="L13" s="1226">
        <v>1.343</v>
      </c>
      <c r="M13" s="1226">
        <v>1.343</v>
      </c>
    </row>
    <row r="14" spans="1:14">
      <c r="A14" s="1223">
        <v>1.2</v>
      </c>
      <c r="B14" s="1226">
        <v>1.4035</v>
      </c>
      <c r="C14" s="1226">
        <v>1.4035</v>
      </c>
      <c r="D14" s="1226">
        <v>1.3205</v>
      </c>
      <c r="E14" s="1226">
        <v>1.3205</v>
      </c>
      <c r="F14" s="1226">
        <v>1.3205</v>
      </c>
      <c r="G14" s="1226">
        <v>1.3205</v>
      </c>
      <c r="H14" s="1226">
        <v>1.3205</v>
      </c>
      <c r="I14" s="1226">
        <v>1.2845</v>
      </c>
      <c r="J14" s="1226">
        <v>1.2845</v>
      </c>
      <c r="K14" s="1226">
        <v>1.2845</v>
      </c>
      <c r="L14" s="1226">
        <v>1.2845</v>
      </c>
      <c r="M14" s="1226">
        <v>1.2845</v>
      </c>
    </row>
    <row r="15" spans="1:14">
      <c r="A15" s="1223">
        <v>1.3</v>
      </c>
      <c r="B15" s="1226">
        <v>1.3622000000000001</v>
      </c>
      <c r="C15" s="1226">
        <v>1.3622000000000001</v>
      </c>
      <c r="D15" s="1226">
        <v>1.2775000000000001</v>
      </c>
      <c r="E15" s="1226">
        <v>1.2775000000000001</v>
      </c>
      <c r="F15" s="1226">
        <v>1.2775000000000001</v>
      </c>
      <c r="G15" s="1226">
        <v>1.2775000000000001</v>
      </c>
      <c r="H15" s="1226">
        <v>1.2775000000000001</v>
      </c>
      <c r="I15" s="1226">
        <v>1.2332000000000001</v>
      </c>
      <c r="J15" s="1226">
        <v>1.2332000000000001</v>
      </c>
      <c r="K15" s="1226">
        <v>1.2332000000000001</v>
      </c>
      <c r="L15" s="1226">
        <v>1.2332000000000001</v>
      </c>
      <c r="M15" s="1226">
        <v>1.2332000000000001</v>
      </c>
    </row>
    <row r="16" spans="1:14">
      <c r="A16" s="1223">
        <v>1.4</v>
      </c>
      <c r="B16" s="1226">
        <v>1.3262</v>
      </c>
      <c r="C16" s="1226">
        <v>1.3262</v>
      </c>
      <c r="D16" s="1226">
        <v>1.2402</v>
      </c>
      <c r="E16" s="1226">
        <v>1.2402</v>
      </c>
      <c r="F16" s="1226">
        <v>1.2402</v>
      </c>
      <c r="G16" s="1226">
        <v>1.2402</v>
      </c>
      <c r="H16" s="1226">
        <v>1.2402</v>
      </c>
      <c r="I16" s="1226">
        <v>1.1881999999999999</v>
      </c>
      <c r="J16" s="1226">
        <v>1.1881999999999999</v>
      </c>
      <c r="K16" s="1226">
        <v>1.1881999999999999</v>
      </c>
      <c r="L16" s="1226">
        <v>1.1881999999999999</v>
      </c>
      <c r="M16" s="1226">
        <v>1.1881999999999999</v>
      </c>
      <c r="N16" s="1229"/>
    </row>
    <row r="17" spans="1:14">
      <c r="A17" s="1223">
        <v>1.5</v>
      </c>
      <c r="B17" s="1226">
        <v>1.2948</v>
      </c>
      <c r="C17" s="1226">
        <v>1.2948</v>
      </c>
      <c r="D17" s="1226">
        <v>1.2075</v>
      </c>
      <c r="E17" s="1226">
        <v>1.2075</v>
      </c>
      <c r="F17" s="1226">
        <v>1.2075</v>
      </c>
      <c r="G17" s="1226">
        <v>1.2075</v>
      </c>
      <c r="H17" s="1226">
        <v>1.2075</v>
      </c>
      <c r="I17" s="1226">
        <v>1.1486000000000001</v>
      </c>
      <c r="J17" s="1226">
        <v>1.1486000000000001</v>
      </c>
      <c r="K17" s="1226">
        <v>1.1486000000000001</v>
      </c>
      <c r="L17" s="1226">
        <v>1.1486000000000001</v>
      </c>
      <c r="M17" s="1226">
        <v>1.1486000000000001</v>
      </c>
      <c r="N17" s="1229"/>
    </row>
    <row r="18" spans="1:14">
      <c r="A18" s="1223">
        <v>1.6</v>
      </c>
      <c r="B18" s="1226">
        <v>1.2673000000000001</v>
      </c>
      <c r="C18" s="1226">
        <v>1.2673000000000001</v>
      </c>
      <c r="D18" s="1226">
        <v>1.1789000000000001</v>
      </c>
      <c r="E18" s="1226">
        <v>1.1789000000000001</v>
      </c>
      <c r="F18" s="1226">
        <v>1.1789000000000001</v>
      </c>
      <c r="G18" s="1226">
        <v>1.1789000000000001</v>
      </c>
      <c r="H18" s="1226">
        <v>1.1789000000000001</v>
      </c>
      <c r="I18" s="1226">
        <v>1.1134999999999999</v>
      </c>
      <c r="J18" s="1226">
        <v>1.1134999999999999</v>
      </c>
      <c r="K18" s="1226">
        <v>1.1134999999999999</v>
      </c>
      <c r="L18" s="1226">
        <v>1.1134999999999999</v>
      </c>
      <c r="M18" s="1226">
        <v>1.1134999999999999</v>
      </c>
    </row>
    <row r="19" spans="1:14">
      <c r="A19" s="1223">
        <v>1.7</v>
      </c>
      <c r="B19" s="1226">
        <v>1.2428999999999999</v>
      </c>
      <c r="C19" s="1226">
        <v>1.2428999999999999</v>
      </c>
      <c r="D19" s="1226">
        <v>1.1534</v>
      </c>
      <c r="E19" s="1226">
        <v>1.1534</v>
      </c>
      <c r="F19" s="1226">
        <v>1.1534</v>
      </c>
      <c r="G19" s="1226">
        <v>1.1534</v>
      </c>
      <c r="H19" s="1226">
        <v>1.1534</v>
      </c>
      <c r="I19" s="1226">
        <v>1.0820000000000001</v>
      </c>
      <c r="J19" s="1226">
        <v>1.0820000000000001</v>
      </c>
      <c r="K19" s="1226">
        <v>1.0820000000000001</v>
      </c>
      <c r="L19" s="1226">
        <v>1.0820000000000001</v>
      </c>
      <c r="M19" s="1226">
        <v>1.0820000000000001</v>
      </c>
    </row>
    <row r="20" spans="1:14">
      <c r="A20" s="1223">
        <v>1.8</v>
      </c>
      <c r="B20" s="1226">
        <v>1.2206999999999999</v>
      </c>
      <c r="C20" s="1226">
        <v>1.2206999999999999</v>
      </c>
      <c r="D20" s="1226">
        <v>1.1304000000000001</v>
      </c>
      <c r="E20" s="1226">
        <v>1.1304000000000001</v>
      </c>
      <c r="F20" s="1226">
        <v>1.1304000000000001</v>
      </c>
      <c r="G20" s="1226">
        <v>1.1304000000000001</v>
      </c>
      <c r="H20" s="1226">
        <v>1.1304000000000001</v>
      </c>
      <c r="I20" s="1226">
        <v>1.0531999999999999</v>
      </c>
      <c r="J20" s="1226">
        <v>1.0531999999999999</v>
      </c>
      <c r="K20" s="1226">
        <v>1.0531999999999999</v>
      </c>
      <c r="L20" s="1226">
        <v>1.0531999999999999</v>
      </c>
      <c r="M20" s="1226">
        <v>1.0531999999999999</v>
      </c>
    </row>
    <row r="21" spans="1:14">
      <c r="A21" s="1223">
        <v>1.9</v>
      </c>
      <c r="B21" s="1226">
        <v>1.2</v>
      </c>
      <c r="C21" s="1226">
        <v>1.2</v>
      </c>
      <c r="D21" s="1226">
        <v>1.1089</v>
      </c>
      <c r="E21" s="1226">
        <v>1.1089</v>
      </c>
      <c r="F21" s="1226">
        <v>1.1089</v>
      </c>
      <c r="G21" s="1226">
        <v>1.1089</v>
      </c>
      <c r="H21" s="1226">
        <v>1.1089</v>
      </c>
      <c r="I21" s="1226">
        <v>1.0261</v>
      </c>
      <c r="J21" s="1226">
        <v>1.0261</v>
      </c>
      <c r="K21" s="1226">
        <v>1.0261</v>
      </c>
      <c r="L21" s="1226">
        <v>1.0261</v>
      </c>
      <c r="M21" s="1226">
        <v>1.0261</v>
      </c>
    </row>
    <row r="22" spans="1:14">
      <c r="A22" s="1223">
        <v>2</v>
      </c>
      <c r="B22" s="1226">
        <v>1.1800999999999999</v>
      </c>
      <c r="C22" s="1226">
        <v>1.1800999999999999</v>
      </c>
      <c r="D22" s="1226">
        <v>1.0883</v>
      </c>
      <c r="E22" s="1226">
        <v>1.0883</v>
      </c>
      <c r="F22" s="1226">
        <v>1.0883</v>
      </c>
      <c r="G22" s="1226">
        <v>1.0883</v>
      </c>
      <c r="H22" s="1226">
        <v>1.0883</v>
      </c>
      <c r="I22" s="1226">
        <v>1</v>
      </c>
      <c r="J22" s="1226">
        <v>1</v>
      </c>
      <c r="K22" s="1226">
        <v>1</v>
      </c>
      <c r="L22" s="1226">
        <v>1</v>
      </c>
      <c r="M22" s="1226">
        <v>1</v>
      </c>
    </row>
    <row r="23" spans="1:14">
      <c r="A23" s="1227">
        <v>2.1</v>
      </c>
      <c r="B23" s="1226">
        <v>1.1616</v>
      </c>
      <c r="C23" s="1226">
        <v>1.1616</v>
      </c>
      <c r="D23" s="1226">
        <v>1.0685</v>
      </c>
      <c r="E23" s="1226">
        <v>1.0685</v>
      </c>
      <c r="F23" s="1226">
        <v>1.0685</v>
      </c>
      <c r="G23" s="1226">
        <v>1.0685</v>
      </c>
      <c r="H23" s="1226">
        <v>1.0685</v>
      </c>
      <c r="I23" s="1226">
        <v>0.97550000000000003</v>
      </c>
      <c r="J23" s="1226">
        <v>0.97550000000000003</v>
      </c>
      <c r="K23" s="1226">
        <v>0.97550000000000003</v>
      </c>
      <c r="L23" s="1226">
        <v>0.97550000000000003</v>
      </c>
      <c r="M23" s="1226">
        <v>0.97550000000000003</v>
      </c>
    </row>
    <row r="24" spans="1:14">
      <c r="A24" s="1227">
        <v>2.2000000000000002</v>
      </c>
      <c r="B24" s="1226">
        <v>1.1440999999999999</v>
      </c>
      <c r="C24" s="1226">
        <v>1.1440999999999999</v>
      </c>
      <c r="D24" s="1226">
        <v>1.0497000000000001</v>
      </c>
      <c r="E24" s="1226">
        <v>1.0497000000000001</v>
      </c>
      <c r="F24" s="1226">
        <v>1.0497000000000001</v>
      </c>
      <c r="G24" s="1226">
        <v>1.0497000000000001</v>
      </c>
      <c r="H24" s="1226">
        <v>1.0497000000000001</v>
      </c>
      <c r="I24" s="1226">
        <v>0.95230000000000004</v>
      </c>
      <c r="J24" s="1226">
        <v>0.95230000000000004</v>
      </c>
      <c r="K24" s="1226">
        <v>0.95230000000000004</v>
      </c>
      <c r="L24" s="1226">
        <v>0.95230000000000004</v>
      </c>
      <c r="M24" s="1226">
        <v>0.95230000000000004</v>
      </c>
    </row>
    <row r="25" spans="1:14">
      <c r="A25" s="1227">
        <v>2.2999999999999998</v>
      </c>
      <c r="B25" s="1226">
        <v>1.1275999999999999</v>
      </c>
      <c r="C25" s="1226">
        <v>1.1275999999999999</v>
      </c>
      <c r="D25" s="1226">
        <v>1.032</v>
      </c>
      <c r="E25" s="1226">
        <v>1.032</v>
      </c>
      <c r="F25" s="1226">
        <v>1.032</v>
      </c>
      <c r="G25" s="1226">
        <v>1.032</v>
      </c>
      <c r="H25" s="1226">
        <v>1.032</v>
      </c>
      <c r="I25" s="1226">
        <v>0.9304</v>
      </c>
      <c r="J25" s="1226">
        <v>0.9304</v>
      </c>
      <c r="K25" s="1226">
        <v>0.9304</v>
      </c>
      <c r="L25" s="1226">
        <v>0.9304</v>
      </c>
      <c r="M25" s="1226">
        <v>0.9304</v>
      </c>
    </row>
    <row r="26" spans="1:14">
      <c r="A26" s="1227">
        <v>2.4</v>
      </c>
      <c r="B26" s="1226">
        <v>1.1121000000000001</v>
      </c>
      <c r="C26" s="1226">
        <v>1.1121000000000001</v>
      </c>
      <c r="D26" s="1226">
        <v>1.0155000000000001</v>
      </c>
      <c r="E26" s="1226">
        <v>1.0155000000000001</v>
      </c>
      <c r="F26" s="1226">
        <v>1.0155000000000001</v>
      </c>
      <c r="G26" s="1226">
        <v>1.0155000000000001</v>
      </c>
      <c r="H26" s="1226">
        <v>1.0155000000000001</v>
      </c>
      <c r="I26" s="1226">
        <v>0.91</v>
      </c>
      <c r="J26" s="1226">
        <v>0.91</v>
      </c>
      <c r="K26" s="1226">
        <v>0.91</v>
      </c>
      <c r="L26" s="1226">
        <v>0.91</v>
      </c>
      <c r="M26" s="1226">
        <v>0.91</v>
      </c>
    </row>
    <row r="27" spans="1:14">
      <c r="A27" s="1227">
        <v>2.5</v>
      </c>
      <c r="B27" s="1226">
        <v>1.0975999999999999</v>
      </c>
      <c r="C27" s="1226">
        <v>1.0975999999999999</v>
      </c>
      <c r="D27" s="1226">
        <v>1</v>
      </c>
      <c r="E27" s="1226">
        <v>1</v>
      </c>
      <c r="F27" s="1226">
        <v>1</v>
      </c>
      <c r="G27" s="1226">
        <v>1</v>
      </c>
      <c r="H27" s="1226">
        <v>1</v>
      </c>
      <c r="I27" s="1226">
        <v>0.89080000000000004</v>
      </c>
      <c r="J27" s="1226">
        <v>0.89080000000000004</v>
      </c>
      <c r="K27" s="1226">
        <v>0.89080000000000004</v>
      </c>
      <c r="L27" s="1226">
        <v>0.89080000000000004</v>
      </c>
      <c r="M27" s="1226">
        <v>0.89080000000000004</v>
      </c>
    </row>
    <row r="28" spans="1:14">
      <c r="A28" s="1227">
        <v>2.6</v>
      </c>
      <c r="B28" s="1226">
        <v>1.0841000000000001</v>
      </c>
      <c r="C28" s="1226">
        <v>1.0841000000000001</v>
      </c>
      <c r="D28" s="1226">
        <v>0.98619999999999997</v>
      </c>
      <c r="E28" s="1226">
        <v>0.98619999999999997</v>
      </c>
      <c r="F28" s="1226">
        <v>0.98619999999999997</v>
      </c>
      <c r="G28" s="1226">
        <v>0.98619999999999997</v>
      </c>
      <c r="H28" s="1226">
        <v>0.98619999999999997</v>
      </c>
      <c r="I28" s="1226">
        <v>0.873</v>
      </c>
      <c r="J28" s="1226">
        <v>0.873</v>
      </c>
      <c r="K28" s="1226">
        <v>0.873</v>
      </c>
      <c r="L28" s="1226">
        <v>0.873</v>
      </c>
      <c r="M28" s="1226">
        <v>0.873</v>
      </c>
    </row>
    <row r="29" spans="1:14">
      <c r="A29" s="1227">
        <v>2.7</v>
      </c>
      <c r="B29" s="1226">
        <v>1.0716000000000001</v>
      </c>
      <c r="C29" s="1226">
        <v>1.0716000000000001</v>
      </c>
      <c r="D29" s="1226">
        <v>0.97330000000000005</v>
      </c>
      <c r="E29" s="1226">
        <v>0.97330000000000005</v>
      </c>
      <c r="F29" s="1226">
        <v>0.97330000000000005</v>
      </c>
      <c r="G29" s="1226">
        <v>0.97330000000000005</v>
      </c>
      <c r="H29" s="1226">
        <v>0.97330000000000005</v>
      </c>
      <c r="I29" s="1226">
        <v>0.85670000000000002</v>
      </c>
      <c r="J29" s="1226">
        <v>0.85670000000000002</v>
      </c>
      <c r="K29" s="1226">
        <v>0.85670000000000002</v>
      </c>
      <c r="L29" s="1226">
        <v>0.85670000000000002</v>
      </c>
      <c r="M29" s="1226">
        <v>0.85670000000000002</v>
      </c>
    </row>
    <row r="30" spans="1:14">
      <c r="A30" s="1227">
        <v>2.8</v>
      </c>
      <c r="B30" s="1226">
        <v>1.0602</v>
      </c>
      <c r="C30" s="1226">
        <v>1.0602</v>
      </c>
      <c r="D30" s="1226">
        <v>0.96160000000000001</v>
      </c>
      <c r="E30" s="1226">
        <v>0.96160000000000001</v>
      </c>
      <c r="F30" s="1226">
        <v>0.96160000000000001</v>
      </c>
      <c r="G30" s="1226">
        <v>0.96160000000000001</v>
      </c>
      <c r="H30" s="1226">
        <v>0.96160000000000001</v>
      </c>
      <c r="I30" s="1226">
        <v>0.8417</v>
      </c>
      <c r="J30" s="1226">
        <v>0.8417</v>
      </c>
      <c r="K30" s="1226">
        <v>0.8417</v>
      </c>
      <c r="L30" s="1226">
        <v>0.8417</v>
      </c>
      <c r="M30" s="1226">
        <v>0.8417</v>
      </c>
    </row>
    <row r="31" spans="1:14">
      <c r="A31" s="1227">
        <v>2.9</v>
      </c>
      <c r="B31" s="1226">
        <v>1.0497000000000001</v>
      </c>
      <c r="C31" s="1226">
        <v>1.0497000000000001</v>
      </c>
      <c r="D31" s="1226">
        <v>0.95089999999999997</v>
      </c>
      <c r="E31" s="1226">
        <v>0.95089999999999997</v>
      </c>
      <c r="F31" s="1226">
        <v>0.95089999999999997</v>
      </c>
      <c r="G31" s="1226">
        <v>0.95089999999999997</v>
      </c>
      <c r="H31" s="1226">
        <v>0.95089999999999997</v>
      </c>
      <c r="I31" s="1226">
        <v>0.82809999999999995</v>
      </c>
      <c r="J31" s="1226">
        <v>0.82809999999999995</v>
      </c>
      <c r="K31" s="1226">
        <v>0.82809999999999995</v>
      </c>
      <c r="L31" s="1226">
        <v>0.82809999999999995</v>
      </c>
      <c r="M31" s="1226">
        <v>0.82809999999999995</v>
      </c>
    </row>
    <row r="32" spans="1:14">
      <c r="A32" s="1227">
        <v>3</v>
      </c>
      <c r="B32" s="1226">
        <v>1.0401</v>
      </c>
      <c r="C32" s="1226">
        <v>1.0401</v>
      </c>
      <c r="D32" s="1226">
        <v>0.94089999999999996</v>
      </c>
      <c r="E32" s="1226">
        <v>0.94089999999999996</v>
      </c>
      <c r="F32" s="1226">
        <v>0.94089999999999996</v>
      </c>
      <c r="G32" s="1226">
        <v>0.94089999999999996</v>
      </c>
      <c r="H32" s="1226">
        <v>0.94089999999999996</v>
      </c>
      <c r="I32" s="1226">
        <v>0.81579999999999997</v>
      </c>
      <c r="J32" s="1226">
        <v>0.81579999999999997</v>
      </c>
      <c r="K32" s="1226">
        <v>0.81579999999999997</v>
      </c>
      <c r="L32" s="1226">
        <v>0.81579999999999997</v>
      </c>
      <c r="M32" s="1226">
        <v>0.81579999999999997</v>
      </c>
    </row>
    <row r="33" spans="1:13">
      <c r="A33" s="1227">
        <v>3.1</v>
      </c>
      <c r="B33" s="1226">
        <v>1.0314000000000001</v>
      </c>
      <c r="C33" s="1226">
        <v>1.0314000000000001</v>
      </c>
      <c r="D33" s="1226">
        <v>0.93169999999999997</v>
      </c>
      <c r="E33" s="1226">
        <v>0.93169999999999997</v>
      </c>
      <c r="F33" s="1226">
        <v>0.93169999999999997</v>
      </c>
      <c r="G33" s="1226">
        <v>0.93169999999999997</v>
      </c>
      <c r="H33" s="1226">
        <v>0.93169999999999997</v>
      </c>
      <c r="I33" s="1226">
        <v>0.80410000000000004</v>
      </c>
      <c r="J33" s="1226">
        <v>0.80410000000000004</v>
      </c>
      <c r="K33" s="1226">
        <v>0.80410000000000004</v>
      </c>
      <c r="L33" s="1226">
        <v>0.80410000000000004</v>
      </c>
      <c r="M33" s="1226">
        <v>0.80410000000000004</v>
      </c>
    </row>
    <row r="34" spans="1:13">
      <c r="A34" s="1227">
        <v>3.2</v>
      </c>
      <c r="B34" s="1226">
        <v>1.0229999999999999</v>
      </c>
      <c r="C34" s="1226">
        <v>1.0229999999999999</v>
      </c>
      <c r="D34" s="1226">
        <v>0.92279999999999995</v>
      </c>
      <c r="E34" s="1226">
        <v>0.92279999999999995</v>
      </c>
      <c r="F34" s="1226">
        <v>0.92279999999999995</v>
      </c>
      <c r="G34" s="1226">
        <v>0.92279999999999995</v>
      </c>
      <c r="H34" s="1226">
        <v>0.92279999999999995</v>
      </c>
      <c r="I34" s="1226">
        <v>0.79300000000000004</v>
      </c>
      <c r="J34" s="1226">
        <v>0.79300000000000004</v>
      </c>
      <c r="K34" s="1226">
        <v>0.79300000000000004</v>
      </c>
      <c r="L34" s="1226">
        <v>0.79300000000000004</v>
      </c>
      <c r="M34" s="1226">
        <v>0.79300000000000004</v>
      </c>
    </row>
    <row r="35" spans="1:13">
      <c r="A35" s="1227">
        <v>3.3</v>
      </c>
      <c r="B35" s="1226">
        <v>1.0149999999999999</v>
      </c>
      <c r="C35" s="1226">
        <v>1.0149999999999999</v>
      </c>
      <c r="D35" s="1226">
        <v>0.91439999999999999</v>
      </c>
      <c r="E35" s="1226">
        <v>0.91439999999999999</v>
      </c>
      <c r="F35" s="1226">
        <v>0.91439999999999999</v>
      </c>
      <c r="G35" s="1226">
        <v>0.91439999999999999</v>
      </c>
      <c r="H35" s="1226">
        <v>0.91439999999999999</v>
      </c>
      <c r="I35" s="1226">
        <v>0.78220000000000001</v>
      </c>
      <c r="J35" s="1226">
        <v>0.78220000000000001</v>
      </c>
      <c r="K35" s="1226">
        <v>0.78220000000000001</v>
      </c>
      <c r="L35" s="1226">
        <v>0.78220000000000001</v>
      </c>
      <c r="M35" s="1226">
        <v>0.78220000000000001</v>
      </c>
    </row>
    <row r="36" spans="1:13">
      <c r="A36" s="1227">
        <v>3.4</v>
      </c>
      <c r="B36" s="1226">
        <v>1.0073000000000001</v>
      </c>
      <c r="C36" s="1226">
        <v>1.0073000000000001</v>
      </c>
      <c r="D36" s="1226">
        <v>0.90629999999999999</v>
      </c>
      <c r="E36" s="1226">
        <v>0.90629999999999999</v>
      </c>
      <c r="F36" s="1226">
        <v>0.90629999999999999</v>
      </c>
      <c r="G36" s="1226">
        <v>0.90629999999999999</v>
      </c>
      <c r="H36" s="1226">
        <v>0.90629999999999999</v>
      </c>
      <c r="I36" s="1226">
        <v>0.77210000000000001</v>
      </c>
      <c r="J36" s="1226">
        <v>0.77210000000000001</v>
      </c>
      <c r="K36" s="1226">
        <v>0.77210000000000001</v>
      </c>
      <c r="L36" s="1226">
        <v>0.77210000000000001</v>
      </c>
      <c r="M36" s="1226">
        <v>0.77210000000000001</v>
      </c>
    </row>
    <row r="37" spans="1:13">
      <c r="A37" s="1227">
        <v>3.5</v>
      </c>
      <c r="B37" s="1226">
        <v>1</v>
      </c>
      <c r="C37" s="1226">
        <v>1</v>
      </c>
      <c r="D37" s="1226">
        <v>0.89870000000000005</v>
      </c>
      <c r="E37" s="1226">
        <v>0.89870000000000005</v>
      </c>
      <c r="F37" s="1226">
        <v>0.89870000000000005</v>
      </c>
      <c r="G37" s="1226">
        <v>0.89870000000000005</v>
      </c>
      <c r="H37" s="1226">
        <v>0.89870000000000005</v>
      </c>
      <c r="I37" s="1226">
        <v>0.76239999999999997</v>
      </c>
      <c r="J37" s="1226">
        <v>0.76239999999999997</v>
      </c>
      <c r="K37" s="1226">
        <v>0.76239999999999997</v>
      </c>
      <c r="L37" s="1226">
        <v>0.76239999999999997</v>
      </c>
      <c r="M37" s="1226">
        <v>0.76239999999999997</v>
      </c>
    </row>
    <row r="38" spans="1:13">
      <c r="A38" s="1227">
        <v>3.6</v>
      </c>
      <c r="B38" s="1226">
        <v>0.99329999999999996</v>
      </c>
      <c r="C38" s="1226">
        <v>0.99329999999999996</v>
      </c>
      <c r="D38" s="1226">
        <v>0.89139999999999997</v>
      </c>
      <c r="E38" s="1226">
        <v>0.89139999999999997</v>
      </c>
      <c r="F38" s="1226">
        <v>0.89139999999999997</v>
      </c>
      <c r="G38" s="1226">
        <v>0.89139999999999997</v>
      </c>
      <c r="H38" s="1226">
        <v>0.89139999999999997</v>
      </c>
      <c r="I38" s="1226">
        <v>0.75319999999999998</v>
      </c>
      <c r="J38" s="1226">
        <v>0.75319999999999998</v>
      </c>
      <c r="K38" s="1226">
        <v>0.75319999999999998</v>
      </c>
      <c r="L38" s="1226">
        <v>0.75319999999999998</v>
      </c>
      <c r="M38" s="1226">
        <v>0.75319999999999998</v>
      </c>
    </row>
    <row r="39" spans="1:13">
      <c r="A39" s="1227">
        <v>3.7</v>
      </c>
      <c r="B39" s="1226">
        <v>0.9869</v>
      </c>
      <c r="C39" s="1226">
        <v>0.9869</v>
      </c>
      <c r="D39" s="1226">
        <v>0.88449999999999995</v>
      </c>
      <c r="E39" s="1226">
        <v>0.88449999999999995</v>
      </c>
      <c r="F39" s="1226">
        <v>0.88449999999999995</v>
      </c>
      <c r="G39" s="1226">
        <v>0.88449999999999995</v>
      </c>
      <c r="H39" s="1226">
        <v>0.88449999999999995</v>
      </c>
      <c r="I39" s="1226">
        <v>0.74460000000000004</v>
      </c>
      <c r="J39" s="1226">
        <v>0.74460000000000004</v>
      </c>
      <c r="K39" s="1226">
        <v>0.74460000000000004</v>
      </c>
      <c r="L39" s="1226">
        <v>0.74460000000000004</v>
      </c>
      <c r="M39" s="1226">
        <v>0.74460000000000004</v>
      </c>
    </row>
    <row r="40" spans="1:13">
      <c r="A40" s="1227">
        <v>3.8</v>
      </c>
      <c r="B40" s="1226">
        <v>0.98080000000000001</v>
      </c>
      <c r="C40" s="1226">
        <v>0.98080000000000001</v>
      </c>
      <c r="D40" s="1226">
        <v>0.87809999999999999</v>
      </c>
      <c r="E40" s="1226">
        <v>0.87809999999999999</v>
      </c>
      <c r="F40" s="1226">
        <v>0.87809999999999999</v>
      </c>
      <c r="G40" s="1226">
        <v>0.87809999999999999</v>
      </c>
      <c r="H40" s="1226">
        <v>0.87809999999999999</v>
      </c>
      <c r="I40" s="1226">
        <v>0.73640000000000005</v>
      </c>
      <c r="J40" s="1226">
        <v>0.73640000000000005</v>
      </c>
      <c r="K40" s="1226">
        <v>0.73640000000000005</v>
      </c>
      <c r="L40" s="1226">
        <v>0.73640000000000005</v>
      </c>
      <c r="M40" s="1226">
        <v>0.73640000000000005</v>
      </c>
    </row>
    <row r="41" spans="1:13">
      <c r="A41" s="1227">
        <v>3.9</v>
      </c>
      <c r="B41" s="1226">
        <v>0.97509999999999997</v>
      </c>
      <c r="C41" s="1226">
        <v>0.97509999999999997</v>
      </c>
      <c r="D41" s="1226">
        <v>0.87209999999999999</v>
      </c>
      <c r="E41" s="1226">
        <v>0.87209999999999999</v>
      </c>
      <c r="F41" s="1226">
        <v>0.87209999999999999</v>
      </c>
      <c r="G41" s="1226">
        <v>0.87209999999999999</v>
      </c>
      <c r="H41" s="1226">
        <v>0.87209999999999999</v>
      </c>
      <c r="I41" s="1226">
        <v>0.7288</v>
      </c>
      <c r="J41" s="1226">
        <v>0.7288</v>
      </c>
      <c r="K41" s="1226">
        <v>0.7288</v>
      </c>
      <c r="L41" s="1226">
        <v>0.7288</v>
      </c>
      <c r="M41" s="1226">
        <v>0.7288</v>
      </c>
    </row>
    <row r="42" spans="1:13">
      <c r="A42" s="1227">
        <v>4</v>
      </c>
      <c r="B42" s="1226">
        <v>0.96989999999999998</v>
      </c>
      <c r="C42" s="1226">
        <v>0.96989999999999998</v>
      </c>
      <c r="D42" s="1226">
        <v>0.86650000000000005</v>
      </c>
      <c r="E42" s="1226">
        <v>0.86650000000000005</v>
      </c>
      <c r="F42" s="1226">
        <v>0.86650000000000005</v>
      </c>
      <c r="G42" s="1226">
        <v>0.86650000000000005</v>
      </c>
      <c r="H42" s="1226">
        <v>0.86650000000000005</v>
      </c>
      <c r="I42" s="1226">
        <v>0.7218</v>
      </c>
      <c r="J42" s="1226">
        <v>0.7218</v>
      </c>
      <c r="K42" s="1226">
        <v>0.7218</v>
      </c>
      <c r="L42" s="1226">
        <v>0.7218</v>
      </c>
      <c r="M42" s="1226">
        <v>0.7218</v>
      </c>
    </row>
    <row r="43" spans="1:13">
      <c r="A43" s="1227">
        <v>4.0999999999999996</v>
      </c>
      <c r="B43" s="1226">
        <v>0.96479999999999999</v>
      </c>
      <c r="C43" s="1226">
        <v>0.96479999999999999</v>
      </c>
      <c r="D43" s="1226">
        <v>0.86109999999999998</v>
      </c>
      <c r="E43" s="1226">
        <v>0.86109999999999998</v>
      </c>
      <c r="F43" s="1226">
        <v>0.86109999999999998</v>
      </c>
      <c r="G43" s="1226">
        <v>0.86109999999999998</v>
      </c>
      <c r="H43" s="1226">
        <v>0.86109999999999998</v>
      </c>
      <c r="I43" s="1226">
        <v>0.71499999999999997</v>
      </c>
      <c r="J43" s="1226">
        <v>0.71499999999999997</v>
      </c>
      <c r="K43" s="1226">
        <v>0.71499999999999997</v>
      </c>
      <c r="L43" s="1226">
        <v>0.71499999999999997</v>
      </c>
      <c r="M43" s="1226">
        <v>0.71499999999999997</v>
      </c>
    </row>
    <row r="44" spans="1:13">
      <c r="A44" s="1227">
        <v>4.2</v>
      </c>
      <c r="B44" s="1226">
        <v>0.96</v>
      </c>
      <c r="C44" s="1226">
        <v>0.96</v>
      </c>
      <c r="D44" s="1226">
        <v>0.85599999999999998</v>
      </c>
      <c r="E44" s="1226">
        <v>0.85599999999999998</v>
      </c>
      <c r="F44" s="1226">
        <v>0.85599999999999998</v>
      </c>
      <c r="G44" s="1226">
        <v>0.85599999999999998</v>
      </c>
      <c r="H44" s="1226">
        <v>0.85599999999999998</v>
      </c>
      <c r="I44" s="1226">
        <v>0.70840000000000003</v>
      </c>
      <c r="J44" s="1226">
        <v>0.70840000000000003</v>
      </c>
      <c r="K44" s="1226">
        <v>0.70840000000000003</v>
      </c>
      <c r="L44" s="1226">
        <v>0.70840000000000003</v>
      </c>
      <c r="M44" s="1226">
        <v>0.70840000000000003</v>
      </c>
    </row>
    <row r="45" spans="1:13">
      <c r="A45" s="1227">
        <v>4.3</v>
      </c>
      <c r="B45" s="1226">
        <v>0.95530000000000004</v>
      </c>
      <c r="C45" s="1226">
        <v>0.95530000000000004</v>
      </c>
      <c r="D45" s="1226">
        <v>0.85099999999999998</v>
      </c>
      <c r="E45" s="1226">
        <v>0.85099999999999998</v>
      </c>
      <c r="F45" s="1226">
        <v>0.85099999999999998</v>
      </c>
      <c r="G45" s="1226">
        <v>0.85099999999999998</v>
      </c>
      <c r="H45" s="1226">
        <v>0.85099999999999998</v>
      </c>
      <c r="I45" s="1226">
        <v>0.70199999999999996</v>
      </c>
      <c r="J45" s="1226">
        <v>0.70199999999999996</v>
      </c>
      <c r="K45" s="1226">
        <v>0.70199999999999996</v>
      </c>
      <c r="L45" s="1226">
        <v>0.70199999999999996</v>
      </c>
      <c r="M45" s="1226">
        <v>0.70199999999999996</v>
      </c>
    </row>
    <row r="46" spans="1:13">
      <c r="A46" s="1227">
        <v>4.4000000000000004</v>
      </c>
      <c r="B46" s="1226">
        <v>0.95079999999999998</v>
      </c>
      <c r="C46" s="1226">
        <v>0.95079999999999998</v>
      </c>
      <c r="D46" s="1226">
        <v>0.84619999999999995</v>
      </c>
      <c r="E46" s="1226">
        <v>0.84619999999999995</v>
      </c>
      <c r="F46" s="1226">
        <v>0.84619999999999995</v>
      </c>
      <c r="G46" s="1226">
        <v>0.84619999999999995</v>
      </c>
      <c r="H46" s="1226">
        <v>0.84619999999999995</v>
      </c>
      <c r="I46" s="1226">
        <v>0.69579999999999997</v>
      </c>
      <c r="J46" s="1226">
        <v>0.69579999999999997</v>
      </c>
      <c r="K46" s="1226">
        <v>0.69579999999999997</v>
      </c>
      <c r="L46" s="1226">
        <v>0.69579999999999997</v>
      </c>
      <c r="M46" s="1226">
        <v>0.69579999999999997</v>
      </c>
    </row>
    <row r="47" spans="1:13">
      <c r="A47" s="1227">
        <v>4.5</v>
      </c>
      <c r="B47" s="1226">
        <v>0.94640000000000002</v>
      </c>
      <c r="C47" s="1226">
        <v>0.94640000000000002</v>
      </c>
      <c r="D47" s="1226">
        <v>0.84150000000000003</v>
      </c>
      <c r="E47" s="1226">
        <v>0.84150000000000003</v>
      </c>
      <c r="F47" s="1226">
        <v>0.84150000000000003</v>
      </c>
      <c r="G47" s="1226">
        <v>0.84150000000000003</v>
      </c>
      <c r="H47" s="1226">
        <v>0.84150000000000003</v>
      </c>
      <c r="I47" s="1226">
        <v>0.68989999999999996</v>
      </c>
      <c r="J47" s="1226">
        <v>0.68989999999999996</v>
      </c>
      <c r="K47" s="1226">
        <v>0.68989999999999996</v>
      </c>
      <c r="L47" s="1226">
        <v>0.68989999999999996</v>
      </c>
      <c r="M47" s="1226">
        <v>0.68989999999999996</v>
      </c>
    </row>
    <row r="48" spans="1:13">
      <c r="A48" s="1227">
        <v>4.5999999999999996</v>
      </c>
      <c r="B48" s="1226">
        <v>0.94230000000000003</v>
      </c>
      <c r="C48" s="1226">
        <v>0.94230000000000003</v>
      </c>
      <c r="D48" s="1226">
        <v>0.83709999999999996</v>
      </c>
      <c r="E48" s="1226">
        <v>0.83709999999999996</v>
      </c>
      <c r="F48" s="1226">
        <v>0.83709999999999996</v>
      </c>
      <c r="G48" s="1226">
        <v>0.83709999999999996</v>
      </c>
      <c r="H48" s="1226">
        <v>0.83709999999999996</v>
      </c>
      <c r="I48" s="1226">
        <v>0.68430000000000002</v>
      </c>
      <c r="J48" s="1226">
        <v>0.68430000000000002</v>
      </c>
      <c r="K48" s="1226">
        <v>0.68430000000000002</v>
      </c>
      <c r="L48" s="1226">
        <v>0.68430000000000002</v>
      </c>
      <c r="M48" s="1226">
        <v>0.68430000000000002</v>
      </c>
    </row>
    <row r="49" spans="1:13">
      <c r="A49" s="1227">
        <v>4.7</v>
      </c>
      <c r="B49" s="1226">
        <v>0.93830000000000002</v>
      </c>
      <c r="C49" s="1226">
        <v>0.93830000000000002</v>
      </c>
      <c r="D49" s="1226">
        <v>0.83279999999999998</v>
      </c>
      <c r="E49" s="1226">
        <v>0.83279999999999998</v>
      </c>
      <c r="F49" s="1226">
        <v>0.83279999999999998</v>
      </c>
      <c r="G49" s="1226">
        <v>0.83279999999999998</v>
      </c>
      <c r="H49" s="1226">
        <v>0.83279999999999998</v>
      </c>
      <c r="I49" s="1226">
        <v>0.67879999999999996</v>
      </c>
      <c r="J49" s="1226">
        <v>0.67879999999999996</v>
      </c>
      <c r="K49" s="1226">
        <v>0.67879999999999996</v>
      </c>
      <c r="L49" s="1226">
        <v>0.67879999999999996</v>
      </c>
      <c r="M49" s="1226">
        <v>0.67879999999999996</v>
      </c>
    </row>
    <row r="50" spans="1:13">
      <c r="A50" s="1227">
        <v>4.8</v>
      </c>
      <c r="B50" s="1226">
        <v>0.9345</v>
      </c>
      <c r="C50" s="1226">
        <v>0.9345</v>
      </c>
      <c r="D50" s="1226">
        <v>0.82869999999999999</v>
      </c>
      <c r="E50" s="1226">
        <v>0.82869999999999999</v>
      </c>
      <c r="F50" s="1226">
        <v>0.82869999999999999</v>
      </c>
      <c r="G50" s="1226">
        <v>0.82869999999999999</v>
      </c>
      <c r="H50" s="1226">
        <v>0.82869999999999999</v>
      </c>
      <c r="I50" s="1226">
        <v>0.67359999999999998</v>
      </c>
      <c r="J50" s="1226">
        <v>0.67359999999999998</v>
      </c>
      <c r="K50" s="1226">
        <v>0.67359999999999998</v>
      </c>
      <c r="L50" s="1226">
        <v>0.67359999999999998</v>
      </c>
      <c r="M50" s="1226">
        <v>0.67359999999999998</v>
      </c>
    </row>
    <row r="51" spans="1:13">
      <c r="A51" s="1227">
        <v>4.9000000000000004</v>
      </c>
      <c r="B51" s="1226">
        <v>0.93079999999999996</v>
      </c>
      <c r="C51" s="1226">
        <v>0.93079999999999996</v>
      </c>
      <c r="D51" s="1226">
        <v>0.82479999999999998</v>
      </c>
      <c r="E51" s="1226">
        <v>0.82479999999999998</v>
      </c>
      <c r="F51" s="1226">
        <v>0.82479999999999998</v>
      </c>
      <c r="G51" s="1226">
        <v>0.82479999999999998</v>
      </c>
      <c r="H51" s="1226">
        <v>0.82479999999999998</v>
      </c>
      <c r="I51" s="1226">
        <v>0.66849999999999998</v>
      </c>
      <c r="J51" s="1226">
        <v>0.66849999999999998</v>
      </c>
      <c r="K51" s="1226">
        <v>0.66849999999999998</v>
      </c>
      <c r="L51" s="1226">
        <v>0.66849999999999998</v>
      </c>
      <c r="M51" s="1226">
        <v>0.66849999999999998</v>
      </c>
    </row>
    <row r="52" spans="1:13">
      <c r="A52" s="1227">
        <v>5</v>
      </c>
      <c r="B52" s="1226">
        <v>0.9274</v>
      </c>
      <c r="C52" s="1226">
        <v>0.9274</v>
      </c>
      <c r="D52" s="1226">
        <v>0.82110000000000005</v>
      </c>
      <c r="E52" s="1226">
        <v>0.82110000000000005</v>
      </c>
      <c r="F52" s="1226">
        <v>0.82110000000000005</v>
      </c>
      <c r="G52" s="1226">
        <v>0.82110000000000005</v>
      </c>
      <c r="H52" s="1226">
        <v>0.82110000000000005</v>
      </c>
      <c r="I52" s="1226">
        <v>0.66369999999999996</v>
      </c>
      <c r="J52" s="1226">
        <v>0.66369999999999996</v>
      </c>
      <c r="K52" s="1226">
        <v>0.66369999999999996</v>
      </c>
      <c r="L52" s="1226">
        <v>0.66369999999999996</v>
      </c>
      <c r="M52" s="1226">
        <v>0.66369999999999996</v>
      </c>
    </row>
    <row r="53" spans="1:13">
      <c r="A53" s="1223">
        <v>5.0999999999999996</v>
      </c>
      <c r="B53" s="1226">
        <v>0.92410000000000003</v>
      </c>
      <c r="C53" s="1226">
        <v>0.92410000000000003</v>
      </c>
      <c r="D53" s="1226">
        <v>0.8175</v>
      </c>
      <c r="E53" s="1226">
        <v>0.8175</v>
      </c>
      <c r="F53" s="1226">
        <v>0.8175</v>
      </c>
      <c r="G53" s="1226">
        <v>0.8175</v>
      </c>
      <c r="H53" s="1226">
        <v>0.8175</v>
      </c>
      <c r="I53" s="1226">
        <v>0.65900000000000003</v>
      </c>
      <c r="J53" s="1226">
        <v>0.65900000000000003</v>
      </c>
      <c r="K53" s="1226">
        <v>0.65900000000000003</v>
      </c>
      <c r="L53" s="1226">
        <v>0.65900000000000003</v>
      </c>
      <c r="M53" s="1226">
        <v>0.65900000000000003</v>
      </c>
    </row>
    <row r="54" spans="1:13">
      <c r="A54" s="1223">
        <v>5.2</v>
      </c>
      <c r="B54" s="1226">
        <v>0.92090000000000005</v>
      </c>
      <c r="C54" s="1226">
        <v>0.92090000000000005</v>
      </c>
      <c r="D54" s="1226">
        <v>0.81399999999999995</v>
      </c>
      <c r="E54" s="1226">
        <v>0.81399999999999995</v>
      </c>
      <c r="F54" s="1226">
        <v>0.81399999999999995</v>
      </c>
      <c r="G54" s="1226">
        <v>0.81399999999999995</v>
      </c>
      <c r="H54" s="1226">
        <v>0.81399999999999995</v>
      </c>
      <c r="I54" s="1226">
        <v>0.65449999999999997</v>
      </c>
      <c r="J54" s="1226">
        <v>0.65449999999999997</v>
      </c>
      <c r="K54" s="1226">
        <v>0.65449999999999997</v>
      </c>
      <c r="L54" s="1226">
        <v>0.65449999999999997</v>
      </c>
      <c r="M54" s="1226">
        <v>0.65449999999999997</v>
      </c>
    </row>
    <row r="55" spans="1:13">
      <c r="A55" s="1223">
        <v>5.3</v>
      </c>
      <c r="B55" s="1226">
        <v>0.91790000000000005</v>
      </c>
      <c r="C55" s="1226">
        <v>0.91790000000000005</v>
      </c>
      <c r="D55" s="1226">
        <v>0.81059999999999999</v>
      </c>
      <c r="E55" s="1226">
        <v>0.81059999999999999</v>
      </c>
      <c r="F55" s="1226">
        <v>0.81059999999999999</v>
      </c>
      <c r="G55" s="1226">
        <v>0.81059999999999999</v>
      </c>
      <c r="H55" s="1226">
        <v>0.81059999999999999</v>
      </c>
      <c r="I55" s="1226">
        <v>0.6502</v>
      </c>
      <c r="J55" s="1226">
        <v>0.6502</v>
      </c>
      <c r="K55" s="1226">
        <v>0.6502</v>
      </c>
      <c r="L55" s="1226">
        <v>0.6502</v>
      </c>
      <c r="M55" s="1226">
        <v>0.6502</v>
      </c>
    </row>
    <row r="56" spans="1:13">
      <c r="A56" s="1223">
        <v>5.4</v>
      </c>
      <c r="B56" s="1226">
        <v>0.91490000000000005</v>
      </c>
      <c r="C56" s="1226">
        <v>0.91490000000000005</v>
      </c>
      <c r="D56" s="1226">
        <v>0.80740000000000001</v>
      </c>
      <c r="E56" s="1226">
        <v>0.80740000000000001</v>
      </c>
      <c r="F56" s="1226">
        <v>0.80740000000000001</v>
      </c>
      <c r="G56" s="1226">
        <v>0.80740000000000001</v>
      </c>
      <c r="H56" s="1226">
        <v>0.80740000000000001</v>
      </c>
      <c r="I56" s="1226">
        <v>0.64590000000000003</v>
      </c>
      <c r="J56" s="1226">
        <v>0.64590000000000003</v>
      </c>
      <c r="K56" s="1226">
        <v>0.64590000000000003</v>
      </c>
      <c r="L56" s="1226">
        <v>0.64590000000000003</v>
      </c>
      <c r="M56" s="1226">
        <v>0.64590000000000003</v>
      </c>
    </row>
    <row r="57" spans="1:13">
      <c r="A57" s="1223">
        <v>5.5</v>
      </c>
      <c r="B57" s="1226">
        <v>0.91200000000000003</v>
      </c>
      <c r="C57" s="1226">
        <v>0.91200000000000003</v>
      </c>
      <c r="D57" s="1226">
        <v>0.80420000000000003</v>
      </c>
      <c r="E57" s="1226">
        <v>0.80420000000000003</v>
      </c>
      <c r="F57" s="1226">
        <v>0.80420000000000003</v>
      </c>
      <c r="G57" s="1226">
        <v>0.80420000000000003</v>
      </c>
      <c r="H57" s="1226">
        <v>0.80420000000000003</v>
      </c>
      <c r="I57" s="1226">
        <v>0.64180000000000004</v>
      </c>
      <c r="J57" s="1226">
        <v>0.64180000000000004</v>
      </c>
      <c r="K57" s="1226">
        <v>0.64180000000000004</v>
      </c>
      <c r="L57" s="1226">
        <v>0.64180000000000004</v>
      </c>
      <c r="M57" s="1226">
        <v>0.64180000000000004</v>
      </c>
    </row>
    <row r="58" spans="1:13">
      <c r="A58" s="1223">
        <v>5.6</v>
      </c>
      <c r="B58" s="1226">
        <v>0.90910000000000002</v>
      </c>
      <c r="C58" s="1226">
        <v>0.90910000000000002</v>
      </c>
      <c r="D58" s="1226">
        <v>0.80120000000000002</v>
      </c>
      <c r="E58" s="1226">
        <v>0.80120000000000002</v>
      </c>
      <c r="F58" s="1226">
        <v>0.80120000000000002</v>
      </c>
      <c r="G58" s="1226">
        <v>0.80120000000000002</v>
      </c>
      <c r="H58" s="1226">
        <v>0.80120000000000002</v>
      </c>
      <c r="I58" s="1226">
        <v>0.63790000000000002</v>
      </c>
      <c r="J58" s="1226">
        <v>0.63790000000000002</v>
      </c>
      <c r="K58" s="1226">
        <v>0.63790000000000002</v>
      </c>
      <c r="L58" s="1226">
        <v>0.63790000000000002</v>
      </c>
      <c r="M58" s="1226">
        <v>0.63790000000000002</v>
      </c>
    </row>
    <row r="59" spans="1:13">
      <c r="A59" s="1227">
        <v>5.7</v>
      </c>
      <c r="B59" s="1226">
        <v>0.90639999999999998</v>
      </c>
      <c r="C59" s="1226">
        <v>0.90639999999999998</v>
      </c>
      <c r="D59" s="1226">
        <v>0.79820000000000002</v>
      </c>
      <c r="E59" s="1226">
        <v>0.79820000000000002</v>
      </c>
      <c r="F59" s="1226">
        <v>0.79820000000000002</v>
      </c>
      <c r="G59" s="1226">
        <v>0.79820000000000002</v>
      </c>
      <c r="H59" s="1226">
        <v>0.79820000000000002</v>
      </c>
      <c r="I59" s="1226">
        <v>0.6341</v>
      </c>
      <c r="J59" s="1226">
        <v>0.6341</v>
      </c>
      <c r="K59" s="1226">
        <v>0.6341</v>
      </c>
      <c r="L59" s="1226">
        <v>0.6341</v>
      </c>
      <c r="M59" s="1226">
        <v>0.6341</v>
      </c>
    </row>
    <row r="60" spans="1:13">
      <c r="A60" s="1223">
        <v>5.8</v>
      </c>
      <c r="B60" s="1226">
        <v>0.90380000000000005</v>
      </c>
      <c r="C60" s="1226">
        <v>0.90380000000000005</v>
      </c>
      <c r="D60" s="1226">
        <v>0.7954</v>
      </c>
      <c r="E60" s="1226">
        <v>0.7954</v>
      </c>
      <c r="F60" s="1226">
        <v>0.7954</v>
      </c>
      <c r="G60" s="1226">
        <v>0.7954</v>
      </c>
      <c r="H60" s="1226">
        <v>0.7954</v>
      </c>
      <c r="I60" s="1226">
        <v>0.63039999999999996</v>
      </c>
      <c r="J60" s="1226">
        <v>0.63039999999999996</v>
      </c>
      <c r="K60" s="1226">
        <v>0.63039999999999996</v>
      </c>
      <c r="L60" s="1226">
        <v>0.63039999999999996</v>
      </c>
      <c r="M60" s="1226">
        <v>0.63039999999999996</v>
      </c>
    </row>
    <row r="61" spans="1:13">
      <c r="A61" s="1223">
        <v>5.9</v>
      </c>
      <c r="B61" s="1226">
        <v>0.90129999999999999</v>
      </c>
      <c r="C61" s="1226">
        <v>0.90129999999999999</v>
      </c>
      <c r="D61" s="1226">
        <v>0.79269999999999996</v>
      </c>
      <c r="E61" s="1226">
        <v>0.79269999999999996</v>
      </c>
      <c r="F61" s="1226">
        <v>0.79269999999999996</v>
      </c>
      <c r="G61" s="1226">
        <v>0.79269999999999996</v>
      </c>
      <c r="H61" s="1226">
        <v>0.79269999999999996</v>
      </c>
      <c r="I61" s="1226">
        <v>0.62690000000000001</v>
      </c>
      <c r="J61" s="1226">
        <v>0.62690000000000001</v>
      </c>
      <c r="K61" s="1226">
        <v>0.62690000000000001</v>
      </c>
      <c r="L61" s="1226">
        <v>0.62690000000000001</v>
      </c>
      <c r="M61" s="1226">
        <v>0.62690000000000001</v>
      </c>
    </row>
    <row r="62" spans="1:13">
      <c r="A62" s="1223">
        <v>6</v>
      </c>
      <c r="B62" s="1226">
        <v>0.89890000000000003</v>
      </c>
      <c r="C62" s="1226">
        <v>0.89890000000000003</v>
      </c>
      <c r="D62" s="1226">
        <v>0.79020000000000001</v>
      </c>
      <c r="E62" s="1226">
        <v>0.79020000000000001</v>
      </c>
      <c r="F62" s="1226">
        <v>0.79020000000000001</v>
      </c>
      <c r="G62" s="1226">
        <v>0.79020000000000001</v>
      </c>
      <c r="H62" s="1226">
        <v>0.79020000000000001</v>
      </c>
      <c r="I62" s="1226">
        <v>0.62350000000000005</v>
      </c>
      <c r="J62" s="1226">
        <v>0.62350000000000005</v>
      </c>
      <c r="K62" s="1226">
        <v>0.62350000000000005</v>
      </c>
      <c r="L62" s="1226">
        <v>0.62350000000000005</v>
      </c>
      <c r="M62" s="1226">
        <v>0.62350000000000005</v>
      </c>
    </row>
    <row r="63" spans="1:13">
      <c r="A63" s="1223">
        <v>6.1</v>
      </c>
      <c r="B63" s="1226">
        <v>0.89649999999999996</v>
      </c>
      <c r="C63" s="1226">
        <v>0.89649999999999996</v>
      </c>
      <c r="D63" s="1226">
        <v>0.78769999999999996</v>
      </c>
      <c r="E63" s="1226">
        <v>0.78769999999999996</v>
      </c>
      <c r="F63" s="1226">
        <v>0.78769999999999996</v>
      </c>
      <c r="G63" s="1226">
        <v>0.78769999999999996</v>
      </c>
      <c r="H63" s="1226">
        <v>0.78769999999999996</v>
      </c>
      <c r="I63" s="1226">
        <v>0.62029999999999996</v>
      </c>
      <c r="J63" s="1226">
        <v>0.62029999999999996</v>
      </c>
      <c r="K63" s="1226">
        <v>0.62029999999999996</v>
      </c>
      <c r="L63" s="1226">
        <v>0.62029999999999996</v>
      </c>
      <c r="M63" s="1226">
        <v>0.62029999999999996</v>
      </c>
    </row>
    <row r="64" spans="1:13">
      <c r="A64" s="1223">
        <v>6.2</v>
      </c>
      <c r="B64" s="1226">
        <v>0.89429999999999998</v>
      </c>
      <c r="C64" s="1226">
        <v>0.89429999999999998</v>
      </c>
      <c r="D64" s="1226">
        <v>0.78520000000000001</v>
      </c>
      <c r="E64" s="1226">
        <v>0.78520000000000001</v>
      </c>
      <c r="F64" s="1226">
        <v>0.78520000000000001</v>
      </c>
      <c r="G64" s="1226">
        <v>0.78520000000000001</v>
      </c>
      <c r="H64" s="1226">
        <v>0.78520000000000001</v>
      </c>
      <c r="I64" s="1226">
        <v>0.61719999999999997</v>
      </c>
      <c r="J64" s="1226">
        <v>0.61719999999999997</v>
      </c>
      <c r="K64" s="1226">
        <v>0.61719999999999997</v>
      </c>
      <c r="L64" s="1226">
        <v>0.61719999999999997</v>
      </c>
      <c r="M64" s="1226">
        <v>0.61719999999999997</v>
      </c>
    </row>
    <row r="65" spans="1:13">
      <c r="A65" s="1223">
        <v>6.3</v>
      </c>
      <c r="B65" s="1226">
        <v>0.89200000000000002</v>
      </c>
      <c r="C65" s="1226">
        <v>0.89200000000000002</v>
      </c>
      <c r="D65" s="1226">
        <v>0.78280000000000005</v>
      </c>
      <c r="E65" s="1226">
        <v>0.78280000000000005</v>
      </c>
      <c r="F65" s="1226">
        <v>0.78280000000000005</v>
      </c>
      <c r="G65" s="1226">
        <v>0.78280000000000005</v>
      </c>
      <c r="H65" s="1226">
        <v>0.78280000000000005</v>
      </c>
      <c r="I65" s="1226">
        <v>0.61409999999999998</v>
      </c>
      <c r="J65" s="1226">
        <v>0.61409999999999998</v>
      </c>
      <c r="K65" s="1226">
        <v>0.61409999999999998</v>
      </c>
      <c r="L65" s="1226">
        <v>0.61409999999999998</v>
      </c>
      <c r="M65" s="1226">
        <v>0.61409999999999998</v>
      </c>
    </row>
    <row r="66" spans="1:13">
      <c r="A66" s="1223">
        <v>6.4</v>
      </c>
      <c r="B66" s="1226">
        <v>0.88990000000000002</v>
      </c>
      <c r="C66" s="1226">
        <v>0.88990000000000002</v>
      </c>
      <c r="D66" s="1226">
        <v>0.78039999999999998</v>
      </c>
      <c r="E66" s="1226">
        <v>0.78039999999999998</v>
      </c>
      <c r="F66" s="1226">
        <v>0.78039999999999998</v>
      </c>
      <c r="G66" s="1226">
        <v>0.78039999999999998</v>
      </c>
      <c r="H66" s="1226">
        <v>0.78039999999999998</v>
      </c>
      <c r="I66" s="1226">
        <v>0.61099999999999999</v>
      </c>
      <c r="J66" s="1226">
        <v>0.61099999999999999</v>
      </c>
      <c r="K66" s="1226">
        <v>0.61099999999999999</v>
      </c>
      <c r="L66" s="1226">
        <v>0.61099999999999999</v>
      </c>
      <c r="M66" s="1226">
        <v>0.61099999999999999</v>
      </c>
    </row>
    <row r="67" spans="1:13">
      <c r="A67" s="1223">
        <v>6.5</v>
      </c>
      <c r="B67" s="1226">
        <v>0.88780000000000003</v>
      </c>
      <c r="C67" s="1226">
        <v>0.88780000000000003</v>
      </c>
      <c r="D67" s="1226">
        <v>0.77810000000000001</v>
      </c>
      <c r="E67" s="1226">
        <v>0.77810000000000001</v>
      </c>
      <c r="F67" s="1226">
        <v>0.77810000000000001</v>
      </c>
      <c r="G67" s="1226">
        <v>0.77810000000000001</v>
      </c>
      <c r="H67" s="1226">
        <v>0.77810000000000001</v>
      </c>
      <c r="I67" s="1226">
        <v>0.60799999999999998</v>
      </c>
      <c r="J67" s="1226">
        <v>0.60799999999999998</v>
      </c>
      <c r="K67" s="1226">
        <v>0.60799999999999998</v>
      </c>
      <c r="L67" s="1226">
        <v>0.60799999999999998</v>
      </c>
      <c r="M67" s="1226">
        <v>0.60799999999999998</v>
      </c>
    </row>
    <row r="68" spans="1:13">
      <c r="A68" s="1223">
        <v>6.6</v>
      </c>
      <c r="B68" s="1226">
        <v>0.88580000000000003</v>
      </c>
      <c r="C68" s="1226">
        <v>0.88580000000000003</v>
      </c>
      <c r="D68" s="1226">
        <v>0.77580000000000005</v>
      </c>
      <c r="E68" s="1226">
        <v>0.77580000000000005</v>
      </c>
      <c r="F68" s="1226">
        <v>0.77580000000000005</v>
      </c>
      <c r="G68" s="1226">
        <v>0.77580000000000005</v>
      </c>
      <c r="H68" s="1226">
        <v>0.77580000000000005</v>
      </c>
      <c r="I68" s="1226">
        <v>0.60499999999999998</v>
      </c>
      <c r="J68" s="1226">
        <v>0.60499999999999998</v>
      </c>
      <c r="K68" s="1226">
        <v>0.60499999999999998</v>
      </c>
      <c r="L68" s="1226">
        <v>0.60499999999999998</v>
      </c>
      <c r="M68" s="1226">
        <v>0.60499999999999998</v>
      </c>
    </row>
    <row r="69" spans="1:13">
      <c r="A69" s="1223">
        <v>6.7</v>
      </c>
      <c r="B69" s="1226">
        <v>0.88380000000000003</v>
      </c>
      <c r="C69" s="1226">
        <v>0.88380000000000003</v>
      </c>
      <c r="D69" s="1226">
        <v>0.77359999999999995</v>
      </c>
      <c r="E69" s="1226">
        <v>0.77359999999999995</v>
      </c>
      <c r="F69" s="1226">
        <v>0.77359999999999995</v>
      </c>
      <c r="G69" s="1226">
        <v>0.77359999999999995</v>
      </c>
      <c r="H69" s="1226">
        <v>0.77359999999999995</v>
      </c>
      <c r="I69" s="1226">
        <v>0.60209999999999997</v>
      </c>
      <c r="J69" s="1226">
        <v>0.60209999999999997</v>
      </c>
      <c r="K69" s="1226">
        <v>0.60209999999999997</v>
      </c>
      <c r="L69" s="1226">
        <v>0.60209999999999997</v>
      </c>
      <c r="M69" s="1226">
        <v>0.60209999999999997</v>
      </c>
    </row>
    <row r="70" spans="1:13">
      <c r="A70" s="1223">
        <v>6.8</v>
      </c>
      <c r="B70" s="1226">
        <v>0.88190000000000002</v>
      </c>
      <c r="C70" s="1226">
        <v>0.88190000000000002</v>
      </c>
      <c r="D70" s="1226">
        <v>0.77159999999999995</v>
      </c>
      <c r="E70" s="1226">
        <v>0.77159999999999995</v>
      </c>
      <c r="F70" s="1226">
        <v>0.77159999999999995</v>
      </c>
      <c r="G70" s="1226">
        <v>0.77159999999999995</v>
      </c>
      <c r="H70" s="1226">
        <v>0.77159999999999995</v>
      </c>
      <c r="I70" s="1226">
        <v>0.59930000000000005</v>
      </c>
      <c r="J70" s="1226">
        <v>0.59930000000000005</v>
      </c>
      <c r="K70" s="1226">
        <v>0.59930000000000005</v>
      </c>
      <c r="L70" s="1226">
        <v>0.59930000000000005</v>
      </c>
      <c r="M70" s="1226">
        <v>0.59930000000000005</v>
      </c>
    </row>
    <row r="71" spans="1:13">
      <c r="A71" s="1223">
        <v>6.9</v>
      </c>
      <c r="B71" s="1226">
        <v>0.88</v>
      </c>
      <c r="C71" s="1226">
        <v>0.88</v>
      </c>
      <c r="D71" s="1226">
        <v>0.76949999999999996</v>
      </c>
      <c r="E71" s="1226">
        <v>0.76949999999999996</v>
      </c>
      <c r="F71" s="1226">
        <v>0.76949999999999996</v>
      </c>
      <c r="G71" s="1226">
        <v>0.76949999999999996</v>
      </c>
      <c r="H71" s="1226">
        <v>0.76949999999999996</v>
      </c>
      <c r="I71" s="1226">
        <v>0.59640000000000004</v>
      </c>
      <c r="J71" s="1226">
        <v>0.59640000000000004</v>
      </c>
      <c r="K71" s="1226">
        <v>0.59640000000000004</v>
      </c>
      <c r="L71" s="1226">
        <v>0.59640000000000004</v>
      </c>
      <c r="M71" s="1226">
        <v>0.59640000000000004</v>
      </c>
    </row>
    <row r="72" spans="1:13">
      <c r="A72" s="1223">
        <v>7</v>
      </c>
      <c r="B72" s="1226">
        <v>0.87819999999999998</v>
      </c>
      <c r="C72" s="1226">
        <v>0.87819999999999998</v>
      </c>
      <c r="D72" s="1226">
        <v>0.76749999999999996</v>
      </c>
      <c r="E72" s="1226">
        <v>0.76749999999999996</v>
      </c>
      <c r="F72" s="1226">
        <v>0.76749999999999996</v>
      </c>
      <c r="G72" s="1226">
        <v>0.76749999999999996</v>
      </c>
      <c r="H72" s="1226">
        <v>0.76749999999999996</v>
      </c>
      <c r="I72" s="1226">
        <v>0.59360000000000002</v>
      </c>
      <c r="J72" s="1226">
        <v>0.59360000000000002</v>
      </c>
      <c r="K72" s="1226">
        <v>0.59360000000000002</v>
      </c>
      <c r="L72" s="1226">
        <v>0.59360000000000002</v>
      </c>
      <c r="M72" s="1226">
        <v>0.59360000000000002</v>
      </c>
    </row>
    <row r="73" spans="1:13">
      <c r="A73" s="1223">
        <v>7.1</v>
      </c>
      <c r="B73" s="1226">
        <v>0.87660000000000005</v>
      </c>
      <c r="C73" s="1226">
        <v>0.87660000000000005</v>
      </c>
      <c r="D73" s="1226">
        <v>0.76570000000000005</v>
      </c>
      <c r="E73" s="1226">
        <v>0.76570000000000005</v>
      </c>
      <c r="F73" s="1226">
        <v>0.76570000000000005</v>
      </c>
      <c r="G73" s="1226">
        <v>0.76570000000000005</v>
      </c>
      <c r="H73" s="1226">
        <v>0.76570000000000005</v>
      </c>
      <c r="I73" s="1226">
        <v>0.59109999999999996</v>
      </c>
      <c r="J73" s="1226">
        <v>0.59109999999999996</v>
      </c>
      <c r="K73" s="1226">
        <v>0.59109999999999996</v>
      </c>
      <c r="L73" s="1226">
        <v>0.59109999999999996</v>
      </c>
      <c r="M73" s="1226">
        <v>0.59109999999999996</v>
      </c>
    </row>
    <row r="74" spans="1:13">
      <c r="A74" s="1223">
        <v>7.2</v>
      </c>
      <c r="B74" s="1226">
        <v>0.87490000000000001</v>
      </c>
      <c r="C74" s="1226">
        <v>0.87490000000000001</v>
      </c>
      <c r="D74" s="1226">
        <v>0.76380000000000003</v>
      </c>
      <c r="E74" s="1226">
        <v>0.76380000000000003</v>
      </c>
      <c r="F74" s="1226">
        <v>0.76380000000000003</v>
      </c>
      <c r="G74" s="1226">
        <v>0.76380000000000003</v>
      </c>
      <c r="H74" s="1226">
        <v>0.76380000000000003</v>
      </c>
      <c r="I74" s="1226">
        <v>0.58860000000000001</v>
      </c>
      <c r="J74" s="1226">
        <v>0.58860000000000001</v>
      </c>
      <c r="K74" s="1226">
        <v>0.58860000000000001</v>
      </c>
      <c r="L74" s="1226">
        <v>0.58860000000000001</v>
      </c>
      <c r="M74" s="1226">
        <v>0.58860000000000001</v>
      </c>
    </row>
    <row r="75" spans="1:13">
      <c r="A75" s="1223">
        <v>7.3</v>
      </c>
      <c r="B75" s="1226">
        <v>0.87329999999999997</v>
      </c>
      <c r="C75" s="1226">
        <v>0.87329999999999997</v>
      </c>
      <c r="D75" s="1226">
        <v>0.76200000000000001</v>
      </c>
      <c r="E75" s="1226">
        <v>0.76200000000000001</v>
      </c>
      <c r="F75" s="1226">
        <v>0.76200000000000001</v>
      </c>
      <c r="G75" s="1226">
        <v>0.76200000000000001</v>
      </c>
      <c r="H75" s="1226">
        <v>0.76200000000000001</v>
      </c>
      <c r="I75" s="1226">
        <v>0.58620000000000005</v>
      </c>
      <c r="J75" s="1226">
        <v>0.58620000000000005</v>
      </c>
      <c r="K75" s="1226">
        <v>0.58620000000000005</v>
      </c>
      <c r="L75" s="1226">
        <v>0.58620000000000005</v>
      </c>
      <c r="M75" s="1226">
        <v>0.58620000000000005</v>
      </c>
    </row>
    <row r="76" spans="1:13">
      <c r="A76" s="1223">
        <v>7.4</v>
      </c>
      <c r="B76" s="1226">
        <v>0.87160000000000004</v>
      </c>
      <c r="C76" s="1226">
        <v>0.87160000000000004</v>
      </c>
      <c r="D76" s="1226">
        <v>0.76029999999999998</v>
      </c>
      <c r="E76" s="1226">
        <v>0.76029999999999998</v>
      </c>
      <c r="F76" s="1226">
        <v>0.76029999999999998</v>
      </c>
      <c r="G76" s="1226">
        <v>0.76029999999999998</v>
      </c>
      <c r="H76" s="1226">
        <v>0.76029999999999998</v>
      </c>
      <c r="I76" s="1226">
        <v>0.58379999999999999</v>
      </c>
      <c r="J76" s="1226">
        <v>0.58379999999999999</v>
      </c>
      <c r="K76" s="1226">
        <v>0.58379999999999999</v>
      </c>
      <c r="L76" s="1226">
        <v>0.58379999999999999</v>
      </c>
      <c r="M76" s="1226">
        <v>0.58379999999999999</v>
      </c>
    </row>
    <row r="77" spans="1:13">
      <c r="A77" s="1223">
        <v>7.5</v>
      </c>
      <c r="B77" s="1226">
        <v>0.87</v>
      </c>
      <c r="C77" s="1226">
        <v>0.87</v>
      </c>
      <c r="D77" s="1226">
        <v>0.75849999999999995</v>
      </c>
      <c r="E77" s="1226">
        <v>0.75849999999999995</v>
      </c>
      <c r="F77" s="1226">
        <v>0.75849999999999995</v>
      </c>
      <c r="G77" s="1226">
        <v>0.75849999999999995</v>
      </c>
      <c r="H77" s="1226">
        <v>0.75849999999999995</v>
      </c>
      <c r="I77" s="1226">
        <v>0.58140000000000003</v>
      </c>
      <c r="J77" s="1226">
        <v>0.58140000000000003</v>
      </c>
      <c r="K77" s="1226">
        <v>0.58140000000000003</v>
      </c>
      <c r="L77" s="1226">
        <v>0.58140000000000003</v>
      </c>
      <c r="M77" s="1226">
        <v>0.58140000000000003</v>
      </c>
    </row>
    <row r="78" spans="1:13">
      <c r="A78" s="1223">
        <v>7.6</v>
      </c>
      <c r="B78" s="1226">
        <v>0.86839999999999995</v>
      </c>
      <c r="C78" s="1226">
        <v>0.86839999999999995</v>
      </c>
      <c r="D78" s="1226">
        <v>0.75680000000000003</v>
      </c>
      <c r="E78" s="1226">
        <v>0.75680000000000003</v>
      </c>
      <c r="F78" s="1226">
        <v>0.75680000000000003</v>
      </c>
      <c r="G78" s="1226">
        <v>0.75680000000000003</v>
      </c>
      <c r="H78" s="1226">
        <v>0.75680000000000003</v>
      </c>
      <c r="I78" s="1226">
        <v>0.57899999999999996</v>
      </c>
      <c r="J78" s="1226">
        <v>0.57899999999999996</v>
      </c>
      <c r="K78" s="1226">
        <v>0.57899999999999996</v>
      </c>
      <c r="L78" s="1226">
        <v>0.57899999999999996</v>
      </c>
      <c r="M78" s="1226">
        <v>0.57899999999999996</v>
      </c>
    </row>
    <row r="79" spans="1:13">
      <c r="A79" s="1223">
        <v>7.7</v>
      </c>
      <c r="B79" s="1226">
        <v>0.8669</v>
      </c>
      <c r="C79" s="1226">
        <v>0.8669</v>
      </c>
      <c r="D79" s="1226">
        <v>0.755</v>
      </c>
      <c r="E79" s="1226">
        <v>0.755</v>
      </c>
      <c r="F79" s="1226">
        <v>0.755</v>
      </c>
      <c r="G79" s="1226">
        <v>0.755</v>
      </c>
      <c r="H79" s="1226">
        <v>0.755</v>
      </c>
      <c r="I79" s="1226">
        <v>0.57669999999999999</v>
      </c>
      <c r="J79" s="1226">
        <v>0.57669999999999999</v>
      </c>
      <c r="K79" s="1226">
        <v>0.57669999999999999</v>
      </c>
      <c r="L79" s="1226">
        <v>0.57669999999999999</v>
      </c>
      <c r="M79" s="1226">
        <v>0.57669999999999999</v>
      </c>
    </row>
    <row r="80" spans="1:13">
      <c r="A80" s="1223">
        <v>7.8</v>
      </c>
      <c r="B80" s="1226">
        <v>0.86539999999999995</v>
      </c>
      <c r="C80" s="1226">
        <v>0.86539999999999995</v>
      </c>
      <c r="D80" s="1226">
        <v>0.75329999999999997</v>
      </c>
      <c r="E80" s="1226">
        <v>0.75329999999999997</v>
      </c>
      <c r="F80" s="1226">
        <v>0.75329999999999997</v>
      </c>
      <c r="G80" s="1226">
        <v>0.75329999999999997</v>
      </c>
      <c r="H80" s="1226">
        <v>0.75329999999999997</v>
      </c>
      <c r="I80" s="1226">
        <v>0.57450000000000001</v>
      </c>
      <c r="J80" s="1226">
        <v>0.57450000000000001</v>
      </c>
      <c r="K80" s="1226">
        <v>0.57450000000000001</v>
      </c>
      <c r="L80" s="1226">
        <v>0.57450000000000001</v>
      </c>
      <c r="M80" s="1226">
        <v>0.57450000000000001</v>
      </c>
    </row>
    <row r="81" spans="1:13">
      <c r="A81" s="1223">
        <v>7.9</v>
      </c>
      <c r="B81" s="1226">
        <v>0.86380000000000001</v>
      </c>
      <c r="C81" s="1226">
        <v>0.86380000000000001</v>
      </c>
      <c r="D81" s="1226">
        <v>0.75170000000000003</v>
      </c>
      <c r="E81" s="1226">
        <v>0.75170000000000003</v>
      </c>
      <c r="F81" s="1226">
        <v>0.75170000000000003</v>
      </c>
      <c r="G81" s="1226">
        <v>0.75170000000000003</v>
      </c>
      <c r="H81" s="1226">
        <v>0.75170000000000003</v>
      </c>
      <c r="I81" s="1226">
        <v>0.57220000000000004</v>
      </c>
      <c r="J81" s="1226">
        <v>0.57220000000000004</v>
      </c>
      <c r="K81" s="1226">
        <v>0.57220000000000004</v>
      </c>
      <c r="L81" s="1226">
        <v>0.57220000000000004</v>
      </c>
      <c r="M81" s="1226">
        <v>0.57220000000000004</v>
      </c>
    </row>
    <row r="82" spans="1:13">
      <c r="A82" s="1223">
        <v>8</v>
      </c>
      <c r="B82" s="1226">
        <v>0.86240000000000006</v>
      </c>
      <c r="C82" s="1226">
        <v>0.86240000000000006</v>
      </c>
      <c r="D82" s="1226">
        <v>0.75</v>
      </c>
      <c r="E82" s="1226">
        <v>0.75</v>
      </c>
      <c r="F82" s="1226">
        <v>0.75</v>
      </c>
      <c r="G82" s="1226">
        <v>0.75</v>
      </c>
      <c r="H82" s="1226">
        <v>0.75</v>
      </c>
      <c r="I82" s="1226">
        <v>0.56989999999999996</v>
      </c>
      <c r="J82" s="1226">
        <v>0.56989999999999996</v>
      </c>
      <c r="K82" s="1226">
        <v>0.56989999999999996</v>
      </c>
      <c r="L82" s="1226">
        <v>0.56989999999999996</v>
      </c>
      <c r="M82" s="1226">
        <v>0.56989999999999996</v>
      </c>
    </row>
    <row r="83" spans="1:13">
      <c r="A83" s="1223">
        <v>8.1</v>
      </c>
      <c r="B83" s="1226">
        <v>0.86099999999999999</v>
      </c>
      <c r="C83" s="1226">
        <v>0.86099999999999999</v>
      </c>
      <c r="D83" s="1226">
        <v>0.74850000000000005</v>
      </c>
      <c r="E83" s="1226">
        <v>0.74850000000000005</v>
      </c>
      <c r="F83" s="1226">
        <v>0.74850000000000005</v>
      </c>
      <c r="G83" s="1226">
        <v>0.74850000000000005</v>
      </c>
      <c r="H83" s="1226">
        <v>0.74850000000000005</v>
      </c>
      <c r="I83" s="1226">
        <v>0.56779999999999997</v>
      </c>
      <c r="J83" s="1226">
        <v>0.56779999999999997</v>
      </c>
      <c r="K83" s="1226">
        <v>0.56779999999999997</v>
      </c>
      <c r="L83" s="1226">
        <v>0.56779999999999997</v>
      </c>
      <c r="M83" s="1226">
        <v>0.56779999999999997</v>
      </c>
    </row>
    <row r="84" spans="1:13">
      <c r="A84" s="1223">
        <v>8.1999999999999993</v>
      </c>
      <c r="B84" s="1226">
        <v>0.85970000000000002</v>
      </c>
      <c r="C84" s="1226">
        <v>0.85970000000000002</v>
      </c>
      <c r="D84" s="1226">
        <v>0.747</v>
      </c>
      <c r="E84" s="1226">
        <v>0.747</v>
      </c>
      <c r="F84" s="1226">
        <v>0.747</v>
      </c>
      <c r="G84" s="1226">
        <v>0.747</v>
      </c>
      <c r="H84" s="1226">
        <v>0.747</v>
      </c>
      <c r="I84" s="1226">
        <v>0.56589999999999996</v>
      </c>
      <c r="J84" s="1226">
        <v>0.56589999999999996</v>
      </c>
      <c r="K84" s="1226">
        <v>0.56589999999999996</v>
      </c>
      <c r="L84" s="1226">
        <v>0.56589999999999996</v>
      </c>
      <c r="M84" s="1226">
        <v>0.56589999999999996</v>
      </c>
    </row>
    <row r="85" spans="1:13">
      <c r="A85" s="1223">
        <v>8.3000000000000007</v>
      </c>
      <c r="B85" s="1226">
        <v>0.85840000000000005</v>
      </c>
      <c r="C85" s="1226">
        <v>0.85840000000000005</v>
      </c>
      <c r="D85" s="1226">
        <v>0.74560000000000004</v>
      </c>
      <c r="E85" s="1226">
        <v>0.74560000000000004</v>
      </c>
      <c r="F85" s="1226">
        <v>0.74560000000000004</v>
      </c>
      <c r="G85" s="1226">
        <v>0.74560000000000004</v>
      </c>
      <c r="H85" s="1226">
        <v>0.74560000000000004</v>
      </c>
      <c r="I85" s="1226">
        <v>0.56389999999999996</v>
      </c>
      <c r="J85" s="1226">
        <v>0.56389999999999996</v>
      </c>
      <c r="K85" s="1226">
        <v>0.56389999999999996</v>
      </c>
      <c r="L85" s="1226">
        <v>0.56389999999999996</v>
      </c>
      <c r="M85" s="1226">
        <v>0.56389999999999996</v>
      </c>
    </row>
    <row r="86" spans="1:13">
      <c r="A86" s="1223">
        <v>8.4</v>
      </c>
      <c r="B86" s="1226">
        <v>0.85709999999999997</v>
      </c>
      <c r="C86" s="1226">
        <v>0.85709999999999997</v>
      </c>
      <c r="D86" s="1226">
        <v>0.74419999999999997</v>
      </c>
      <c r="E86" s="1226">
        <v>0.74419999999999997</v>
      </c>
      <c r="F86" s="1226">
        <v>0.74419999999999997</v>
      </c>
      <c r="G86" s="1226">
        <v>0.74419999999999997</v>
      </c>
      <c r="H86" s="1226">
        <v>0.74419999999999997</v>
      </c>
      <c r="I86" s="1226">
        <v>0.56189999999999996</v>
      </c>
      <c r="J86" s="1226">
        <v>0.56189999999999996</v>
      </c>
      <c r="K86" s="1226">
        <v>0.56189999999999996</v>
      </c>
      <c r="L86" s="1226">
        <v>0.56189999999999996</v>
      </c>
      <c r="M86" s="1226">
        <v>0.56189999999999996</v>
      </c>
    </row>
    <row r="87" spans="1:13">
      <c r="A87" s="1223">
        <v>8.5</v>
      </c>
      <c r="B87" s="1226">
        <v>0.85580000000000001</v>
      </c>
      <c r="C87" s="1226">
        <v>0.85580000000000001</v>
      </c>
      <c r="D87" s="1226">
        <v>0.74270000000000003</v>
      </c>
      <c r="E87" s="1226">
        <v>0.74270000000000003</v>
      </c>
      <c r="F87" s="1226">
        <v>0.74270000000000003</v>
      </c>
      <c r="G87" s="1226">
        <v>0.74270000000000003</v>
      </c>
      <c r="H87" s="1226">
        <v>0.74270000000000003</v>
      </c>
      <c r="I87" s="1226">
        <v>0.55989999999999995</v>
      </c>
      <c r="J87" s="1226">
        <v>0.55989999999999995</v>
      </c>
      <c r="K87" s="1226">
        <v>0.55989999999999995</v>
      </c>
      <c r="L87" s="1226">
        <v>0.55989999999999995</v>
      </c>
      <c r="M87" s="1226">
        <v>0.55989999999999995</v>
      </c>
    </row>
    <row r="88" spans="1:13">
      <c r="A88" s="1223">
        <v>8.6</v>
      </c>
      <c r="B88" s="1226">
        <v>0.85450000000000004</v>
      </c>
      <c r="C88" s="1226">
        <v>0.85450000000000004</v>
      </c>
      <c r="D88" s="1226">
        <v>0.74129999999999996</v>
      </c>
      <c r="E88" s="1226">
        <v>0.74129999999999996</v>
      </c>
      <c r="F88" s="1226">
        <v>0.74129999999999996</v>
      </c>
      <c r="G88" s="1226">
        <v>0.74129999999999996</v>
      </c>
      <c r="H88" s="1226">
        <v>0.74129999999999996</v>
      </c>
      <c r="I88" s="1226">
        <v>0.55800000000000005</v>
      </c>
      <c r="J88" s="1226">
        <v>0.55800000000000005</v>
      </c>
      <c r="K88" s="1226">
        <v>0.55800000000000005</v>
      </c>
      <c r="L88" s="1226">
        <v>0.55800000000000005</v>
      </c>
      <c r="M88" s="1226">
        <v>0.55800000000000005</v>
      </c>
    </row>
    <row r="89" spans="1:13">
      <c r="A89" s="1223">
        <v>8.6999999999999993</v>
      </c>
      <c r="B89" s="1226">
        <v>0.85329999999999995</v>
      </c>
      <c r="C89" s="1226">
        <v>0.85329999999999995</v>
      </c>
      <c r="D89" s="1226">
        <v>0.7399</v>
      </c>
      <c r="E89" s="1226">
        <v>0.7399</v>
      </c>
      <c r="F89" s="1226">
        <v>0.7399</v>
      </c>
      <c r="G89" s="1226">
        <v>0.7399</v>
      </c>
      <c r="H89" s="1226">
        <v>0.7399</v>
      </c>
      <c r="I89" s="1226">
        <v>0.55600000000000005</v>
      </c>
      <c r="J89" s="1226">
        <v>0.55600000000000005</v>
      </c>
      <c r="K89" s="1226">
        <v>0.55600000000000005</v>
      </c>
      <c r="L89" s="1226">
        <v>0.55600000000000005</v>
      </c>
      <c r="M89" s="1226">
        <v>0.55600000000000005</v>
      </c>
    </row>
    <row r="90" spans="1:13">
      <c r="A90" s="1223">
        <v>8.8000000000000007</v>
      </c>
      <c r="B90" s="1226">
        <v>0.85209999999999997</v>
      </c>
      <c r="C90" s="1226">
        <v>0.85209999999999997</v>
      </c>
      <c r="D90" s="1226">
        <v>0.73850000000000005</v>
      </c>
      <c r="E90" s="1226">
        <v>0.73850000000000005</v>
      </c>
      <c r="F90" s="1226">
        <v>0.73850000000000005</v>
      </c>
      <c r="G90" s="1226">
        <v>0.73850000000000005</v>
      </c>
      <c r="H90" s="1226">
        <v>0.73850000000000005</v>
      </c>
      <c r="I90" s="1226">
        <v>0.55420000000000003</v>
      </c>
      <c r="J90" s="1226">
        <v>0.55420000000000003</v>
      </c>
      <c r="K90" s="1226">
        <v>0.55420000000000003</v>
      </c>
      <c r="L90" s="1226">
        <v>0.55420000000000003</v>
      </c>
      <c r="M90" s="1226">
        <v>0.55420000000000003</v>
      </c>
    </row>
    <row r="91" spans="1:13">
      <c r="A91" s="1223">
        <v>8.9</v>
      </c>
      <c r="B91" s="1226">
        <v>0.85099999999999998</v>
      </c>
      <c r="C91" s="1226">
        <v>0.85099999999999998</v>
      </c>
      <c r="D91" s="1226">
        <v>0.73719999999999997</v>
      </c>
      <c r="E91" s="1226">
        <v>0.73719999999999997</v>
      </c>
      <c r="F91" s="1226">
        <v>0.73719999999999997</v>
      </c>
      <c r="G91" s="1226">
        <v>0.73719999999999997</v>
      </c>
      <c r="H91" s="1226">
        <v>0.73719999999999997</v>
      </c>
      <c r="I91" s="1226">
        <v>0.55230000000000001</v>
      </c>
      <c r="J91" s="1226">
        <v>0.55230000000000001</v>
      </c>
      <c r="K91" s="1226">
        <v>0.55230000000000001</v>
      </c>
      <c r="L91" s="1226">
        <v>0.55230000000000001</v>
      </c>
      <c r="M91" s="1226">
        <v>0.55230000000000001</v>
      </c>
    </row>
    <row r="92" spans="1:13">
      <c r="A92" s="1227">
        <v>9</v>
      </c>
      <c r="B92" s="1226">
        <v>0.8498</v>
      </c>
      <c r="C92" s="1226">
        <v>0.8498</v>
      </c>
      <c r="D92" s="1226">
        <v>0.7359</v>
      </c>
      <c r="E92" s="1226">
        <v>0.7359</v>
      </c>
      <c r="F92" s="1226">
        <v>0.7359</v>
      </c>
      <c r="G92" s="1226">
        <v>0.7359</v>
      </c>
      <c r="H92" s="1226">
        <v>0.7359</v>
      </c>
      <c r="I92" s="1226">
        <v>0.55049999999999999</v>
      </c>
      <c r="J92" s="1226">
        <v>0.55049999999999999</v>
      </c>
      <c r="K92" s="1226">
        <v>0.55049999999999999</v>
      </c>
      <c r="L92" s="1226">
        <v>0.55049999999999999</v>
      </c>
      <c r="M92" s="1226">
        <v>0.55049999999999999</v>
      </c>
    </row>
    <row r="93" spans="1:13">
      <c r="A93" s="1227">
        <v>9.1</v>
      </c>
      <c r="B93" s="1226">
        <v>0.84870000000000001</v>
      </c>
      <c r="C93" s="1226">
        <v>0.84870000000000001</v>
      </c>
      <c r="D93" s="1226">
        <v>0.73470000000000002</v>
      </c>
      <c r="E93" s="1226">
        <v>0.73470000000000002</v>
      </c>
      <c r="F93" s="1226">
        <v>0.73470000000000002</v>
      </c>
      <c r="G93" s="1226">
        <v>0.73470000000000002</v>
      </c>
      <c r="H93" s="1226">
        <v>0.73470000000000002</v>
      </c>
      <c r="I93" s="1226">
        <v>0.54879999999999995</v>
      </c>
      <c r="J93" s="1226">
        <v>0.54879999999999995</v>
      </c>
      <c r="K93" s="1226">
        <v>0.54879999999999995</v>
      </c>
      <c r="L93" s="1226">
        <v>0.54879999999999995</v>
      </c>
      <c r="M93" s="1226">
        <v>0.54879999999999995</v>
      </c>
    </row>
    <row r="94" spans="1:13">
      <c r="A94" s="1227">
        <v>9.1999999999999993</v>
      </c>
      <c r="B94" s="1226">
        <v>0.84770000000000001</v>
      </c>
      <c r="C94" s="1226">
        <v>0.84770000000000001</v>
      </c>
      <c r="D94" s="1226">
        <v>0.73350000000000004</v>
      </c>
      <c r="E94" s="1226">
        <v>0.73350000000000004</v>
      </c>
      <c r="F94" s="1226">
        <v>0.73350000000000004</v>
      </c>
      <c r="G94" s="1226">
        <v>0.73350000000000004</v>
      </c>
      <c r="H94" s="1226">
        <v>0.73350000000000004</v>
      </c>
      <c r="I94" s="1226">
        <v>0.54710000000000003</v>
      </c>
      <c r="J94" s="1226">
        <v>0.54710000000000003</v>
      </c>
      <c r="K94" s="1226">
        <v>0.54710000000000003</v>
      </c>
      <c r="L94" s="1226">
        <v>0.54710000000000003</v>
      </c>
      <c r="M94" s="1226">
        <v>0.54710000000000003</v>
      </c>
    </row>
    <row r="95" spans="1:13">
      <c r="A95" s="1227">
        <v>9.3000000000000007</v>
      </c>
      <c r="B95" s="1226">
        <v>0.84660000000000002</v>
      </c>
      <c r="C95" s="1226">
        <v>0.84660000000000002</v>
      </c>
      <c r="D95" s="1226">
        <v>0.73229999999999995</v>
      </c>
      <c r="E95" s="1226">
        <v>0.73229999999999995</v>
      </c>
      <c r="F95" s="1226">
        <v>0.73229999999999995</v>
      </c>
      <c r="G95" s="1226">
        <v>0.73229999999999995</v>
      </c>
      <c r="H95" s="1226">
        <v>0.73229999999999995</v>
      </c>
      <c r="I95" s="1226">
        <v>0.5454</v>
      </c>
      <c r="J95" s="1226">
        <v>0.5454</v>
      </c>
      <c r="K95" s="1226">
        <v>0.5454</v>
      </c>
      <c r="L95" s="1226">
        <v>0.5454</v>
      </c>
      <c r="M95" s="1226">
        <v>0.5454</v>
      </c>
    </row>
    <row r="96" spans="1:13">
      <c r="A96" s="1227">
        <v>9.4</v>
      </c>
      <c r="B96" s="1226">
        <v>0.84550000000000003</v>
      </c>
      <c r="C96" s="1226">
        <v>0.84550000000000003</v>
      </c>
      <c r="D96" s="1226">
        <v>0.73109999999999997</v>
      </c>
      <c r="E96" s="1226">
        <v>0.73109999999999997</v>
      </c>
      <c r="F96" s="1226">
        <v>0.73109999999999997</v>
      </c>
      <c r="G96" s="1226">
        <v>0.73109999999999997</v>
      </c>
      <c r="H96" s="1226">
        <v>0.73109999999999997</v>
      </c>
      <c r="I96" s="1226">
        <v>0.54369999999999996</v>
      </c>
      <c r="J96" s="1226">
        <v>0.54369999999999996</v>
      </c>
      <c r="K96" s="1226">
        <v>0.54369999999999996</v>
      </c>
      <c r="L96" s="1226">
        <v>0.54369999999999996</v>
      </c>
      <c r="M96" s="1226">
        <v>0.54369999999999996</v>
      </c>
    </row>
    <row r="97" spans="1:14">
      <c r="A97" s="1227">
        <v>9.5</v>
      </c>
      <c r="B97" s="1226">
        <v>0.84450000000000003</v>
      </c>
      <c r="C97" s="1226">
        <v>0.84450000000000003</v>
      </c>
      <c r="D97" s="1226">
        <v>0.72989999999999999</v>
      </c>
      <c r="E97" s="1226">
        <v>0.72989999999999999</v>
      </c>
      <c r="F97" s="1226">
        <v>0.72989999999999999</v>
      </c>
      <c r="G97" s="1226">
        <v>0.72989999999999999</v>
      </c>
      <c r="H97" s="1226">
        <v>0.72989999999999999</v>
      </c>
      <c r="I97" s="1226">
        <v>0.54200000000000004</v>
      </c>
      <c r="J97" s="1226">
        <v>0.54200000000000004</v>
      </c>
      <c r="K97" s="1226">
        <v>0.54200000000000004</v>
      </c>
      <c r="L97" s="1226">
        <v>0.54200000000000004</v>
      </c>
      <c r="M97" s="1226">
        <v>0.54200000000000004</v>
      </c>
    </row>
    <row r="98" spans="1:14">
      <c r="A98" s="1227">
        <v>9.6</v>
      </c>
      <c r="B98" s="1226">
        <v>0.84340000000000004</v>
      </c>
      <c r="C98" s="1226">
        <v>0.84340000000000004</v>
      </c>
      <c r="D98" s="1226">
        <v>0.72870000000000001</v>
      </c>
      <c r="E98" s="1226">
        <v>0.72870000000000001</v>
      </c>
      <c r="F98" s="1226">
        <v>0.72870000000000001</v>
      </c>
      <c r="G98" s="1226">
        <v>0.72870000000000001</v>
      </c>
      <c r="H98" s="1226">
        <v>0.72870000000000001</v>
      </c>
      <c r="I98" s="1226">
        <v>0.5403</v>
      </c>
      <c r="J98" s="1226">
        <v>0.5403</v>
      </c>
      <c r="K98" s="1226">
        <v>0.5403</v>
      </c>
      <c r="L98" s="1226">
        <v>0.5403</v>
      </c>
      <c r="M98" s="1226">
        <v>0.5403</v>
      </c>
    </row>
    <row r="99" spans="1:14">
      <c r="A99" s="1227">
        <v>9.6999999999999993</v>
      </c>
      <c r="B99" s="1226">
        <v>0.84230000000000005</v>
      </c>
      <c r="C99" s="1226">
        <v>0.84230000000000005</v>
      </c>
      <c r="D99" s="1226">
        <v>0.72750000000000004</v>
      </c>
      <c r="E99" s="1226">
        <v>0.72750000000000004</v>
      </c>
      <c r="F99" s="1226">
        <v>0.72750000000000004</v>
      </c>
      <c r="G99" s="1226">
        <v>0.72750000000000004</v>
      </c>
      <c r="H99" s="1226">
        <v>0.72750000000000004</v>
      </c>
      <c r="I99" s="1226">
        <v>0.53859999999999997</v>
      </c>
      <c r="J99" s="1226">
        <v>0.53859999999999997</v>
      </c>
      <c r="K99" s="1226">
        <v>0.53859999999999997</v>
      </c>
      <c r="L99" s="1226">
        <v>0.53859999999999997</v>
      </c>
      <c r="M99" s="1226">
        <v>0.53859999999999997</v>
      </c>
    </row>
    <row r="100" spans="1:14">
      <c r="A100" s="1227">
        <v>9.8000000000000007</v>
      </c>
      <c r="B100" s="1226">
        <v>0.84140000000000004</v>
      </c>
      <c r="C100" s="1226">
        <v>0.84140000000000004</v>
      </c>
      <c r="D100" s="1226">
        <v>0.72629999999999995</v>
      </c>
      <c r="E100" s="1226">
        <v>0.72629999999999995</v>
      </c>
      <c r="F100" s="1226">
        <v>0.72629999999999995</v>
      </c>
      <c r="G100" s="1226">
        <v>0.72629999999999995</v>
      </c>
      <c r="H100" s="1226">
        <v>0.72629999999999995</v>
      </c>
      <c r="I100" s="1226">
        <v>0.53710000000000002</v>
      </c>
      <c r="J100" s="1226">
        <v>0.53710000000000002</v>
      </c>
      <c r="K100" s="1226">
        <v>0.53710000000000002</v>
      </c>
      <c r="L100" s="1226">
        <v>0.53710000000000002</v>
      </c>
      <c r="M100" s="1226">
        <v>0.53710000000000002</v>
      </c>
    </row>
    <row r="101" spans="1:14">
      <c r="A101" s="1227">
        <v>9.9</v>
      </c>
      <c r="B101" s="1226">
        <v>0.84050000000000002</v>
      </c>
      <c r="C101" s="1226">
        <v>0.84050000000000002</v>
      </c>
      <c r="D101" s="1226">
        <v>0.72519999999999996</v>
      </c>
      <c r="E101" s="1226">
        <v>0.72519999999999996</v>
      </c>
      <c r="F101" s="1226">
        <v>0.72519999999999996</v>
      </c>
      <c r="G101" s="1226">
        <v>0.72519999999999996</v>
      </c>
      <c r="H101" s="1226">
        <v>0.72519999999999996</v>
      </c>
      <c r="I101" s="1226">
        <v>0.53549999999999998</v>
      </c>
      <c r="J101" s="1226">
        <v>0.53549999999999998</v>
      </c>
      <c r="K101" s="1226">
        <v>0.53549999999999998</v>
      </c>
      <c r="L101" s="1226">
        <v>0.53549999999999998</v>
      </c>
      <c r="M101" s="1226">
        <v>0.53549999999999998</v>
      </c>
    </row>
    <row r="102" spans="1:14">
      <c r="A102" s="1227">
        <v>10</v>
      </c>
      <c r="B102" s="1226">
        <v>0.83950000000000002</v>
      </c>
      <c r="C102" s="1226">
        <v>0.83950000000000002</v>
      </c>
      <c r="D102" s="1226">
        <v>0.72409999999999997</v>
      </c>
      <c r="E102" s="1226">
        <v>0.72409999999999997</v>
      </c>
      <c r="F102" s="1226">
        <v>0.72409999999999997</v>
      </c>
      <c r="G102" s="1226">
        <v>0.72409999999999997</v>
      </c>
      <c r="H102" s="1226">
        <v>0.72409999999999997</v>
      </c>
      <c r="I102" s="1226">
        <v>0.53400000000000003</v>
      </c>
      <c r="J102" s="1226">
        <v>0.53400000000000003</v>
      </c>
      <c r="K102" s="1226">
        <v>0.53400000000000003</v>
      </c>
      <c r="L102" s="1226">
        <v>0.53400000000000003</v>
      </c>
      <c r="M102" s="1226">
        <v>0.53400000000000003</v>
      </c>
    </row>
    <row r="103" spans="1:14" ht="14.25">
      <c r="A103" s="1221" t="s">
        <v>1834</v>
      </c>
      <c r="B103" s="1222"/>
      <c r="C103" s="1222"/>
      <c r="D103" s="1222"/>
      <c r="E103" s="1222"/>
      <c r="F103" s="1222"/>
      <c r="G103" s="1222"/>
      <c r="H103" s="1222"/>
      <c r="I103" s="1222"/>
      <c r="J103" s="1222"/>
      <c r="K103" s="1222"/>
      <c r="L103" s="1222"/>
      <c r="M103" s="1222"/>
      <c r="N103" s="1222"/>
    </row>
    <row r="104" spans="1:14" ht="14.25">
      <c r="A104" s="1223" t="s">
        <v>105</v>
      </c>
      <c r="B104" s="1224" t="s">
        <v>240</v>
      </c>
      <c r="C104" s="1224" t="s">
        <v>253</v>
      </c>
      <c r="D104" s="1224" t="s">
        <v>265</v>
      </c>
      <c r="E104" s="1224" t="s">
        <v>275</v>
      </c>
      <c r="F104" s="1224" t="s">
        <v>284</v>
      </c>
      <c r="G104" s="1224" t="s">
        <v>292</v>
      </c>
      <c r="H104" s="1225" t="s">
        <v>297</v>
      </c>
      <c r="I104" s="1225" t="s">
        <v>302</v>
      </c>
      <c r="J104" s="1228" t="s">
        <v>305</v>
      </c>
      <c r="K104" s="1228" t="s">
        <v>308</v>
      </c>
      <c r="L104" s="1228" t="s">
        <v>311</v>
      </c>
      <c r="M104" s="1228" t="s">
        <v>314</v>
      </c>
      <c r="N104" s="1222">
        <f>SUMPRODUCT((A105:A204=ROUNDDOWN(基准地价!G3,1))*(B104:M104=基准地价!G2)*(B105:M204))</f>
        <v>0.92730000000000001</v>
      </c>
    </row>
    <row r="105" spans="1:14">
      <c r="A105" s="1223">
        <v>0.1</v>
      </c>
      <c r="B105" s="1226">
        <v>13.733000000000001</v>
      </c>
      <c r="C105" s="1226">
        <v>13.733000000000001</v>
      </c>
      <c r="D105" s="1226">
        <v>12.787000000000001</v>
      </c>
      <c r="E105" s="1226">
        <v>12.787000000000001</v>
      </c>
      <c r="F105" s="1226">
        <v>12.787000000000001</v>
      </c>
      <c r="G105" s="1226">
        <v>12.787000000000001</v>
      </c>
      <c r="H105" s="1226">
        <v>12.787000000000001</v>
      </c>
      <c r="I105" s="1226">
        <v>12.384</v>
      </c>
      <c r="J105" s="1226">
        <v>12.384</v>
      </c>
      <c r="K105" s="1226">
        <v>12.384</v>
      </c>
      <c r="L105" s="1226">
        <v>12.384</v>
      </c>
      <c r="M105" s="1226">
        <v>12.384</v>
      </c>
    </row>
    <row r="106" spans="1:14">
      <c r="A106" s="1223">
        <v>0.2</v>
      </c>
      <c r="B106" s="1226">
        <v>6.8665000000000003</v>
      </c>
      <c r="C106" s="1226">
        <v>6.8665000000000003</v>
      </c>
      <c r="D106" s="1226">
        <v>6.3935000000000004</v>
      </c>
      <c r="E106" s="1226">
        <v>6.3935000000000004</v>
      </c>
      <c r="F106" s="1226">
        <v>6.3935000000000004</v>
      </c>
      <c r="G106" s="1226">
        <v>6.3935000000000004</v>
      </c>
      <c r="H106" s="1226">
        <v>6.3935000000000004</v>
      </c>
      <c r="I106" s="1226">
        <v>6.1920000000000002</v>
      </c>
      <c r="J106" s="1226">
        <v>6.1920000000000002</v>
      </c>
      <c r="K106" s="1226">
        <v>6.1920000000000002</v>
      </c>
      <c r="L106" s="1226">
        <v>6.1920000000000002</v>
      </c>
      <c r="M106" s="1226">
        <v>6.1920000000000002</v>
      </c>
    </row>
    <row r="107" spans="1:14">
      <c r="A107" s="1223">
        <v>0.3</v>
      </c>
      <c r="B107" s="1226">
        <v>4.5777000000000001</v>
      </c>
      <c r="C107" s="1226">
        <v>4.5777000000000001</v>
      </c>
      <c r="D107" s="1226">
        <v>4.2622999999999998</v>
      </c>
      <c r="E107" s="1226">
        <v>4.2622999999999998</v>
      </c>
      <c r="F107" s="1226">
        <v>4.2622999999999998</v>
      </c>
      <c r="G107" s="1226">
        <v>4.2622999999999998</v>
      </c>
      <c r="H107" s="1226">
        <v>4.2622999999999998</v>
      </c>
      <c r="I107" s="1226">
        <v>4.1280000000000001</v>
      </c>
      <c r="J107" s="1226">
        <v>4.1280000000000001</v>
      </c>
      <c r="K107" s="1226">
        <v>4.1280000000000001</v>
      </c>
      <c r="L107" s="1226">
        <v>4.1280000000000001</v>
      </c>
      <c r="M107" s="1226">
        <v>4.1280000000000001</v>
      </c>
    </row>
    <row r="108" spans="1:14">
      <c r="A108" s="1223">
        <v>0.4</v>
      </c>
      <c r="B108" s="1226">
        <v>3.4333</v>
      </c>
      <c r="C108" s="1226">
        <v>3.4333</v>
      </c>
      <c r="D108" s="1226">
        <v>3.1968000000000001</v>
      </c>
      <c r="E108" s="1226">
        <v>3.1968000000000001</v>
      </c>
      <c r="F108" s="1226">
        <v>3.1968000000000001</v>
      </c>
      <c r="G108" s="1226">
        <v>3.1968000000000001</v>
      </c>
      <c r="H108" s="1226">
        <v>3.1968000000000001</v>
      </c>
      <c r="I108" s="1226">
        <v>3.0960000000000001</v>
      </c>
      <c r="J108" s="1226">
        <v>3.0960000000000001</v>
      </c>
      <c r="K108" s="1226">
        <v>3.0960000000000001</v>
      </c>
      <c r="L108" s="1226">
        <v>3.0960000000000001</v>
      </c>
      <c r="M108" s="1226">
        <v>3.0960000000000001</v>
      </c>
    </row>
    <row r="109" spans="1:14">
      <c r="A109" s="1223">
        <v>0.5</v>
      </c>
      <c r="B109" s="1226">
        <v>2.7465999999999999</v>
      </c>
      <c r="C109" s="1226">
        <v>2.7465999999999999</v>
      </c>
      <c r="D109" s="1226">
        <v>2.5573999999999999</v>
      </c>
      <c r="E109" s="1226">
        <v>2.5573999999999999</v>
      </c>
      <c r="F109" s="1226">
        <v>2.5573999999999999</v>
      </c>
      <c r="G109" s="1226">
        <v>2.5573999999999999</v>
      </c>
      <c r="H109" s="1226">
        <v>2.5573999999999999</v>
      </c>
      <c r="I109" s="1226">
        <v>2.4767999999999999</v>
      </c>
      <c r="J109" s="1226">
        <v>2.4767999999999999</v>
      </c>
      <c r="K109" s="1226">
        <v>2.4767999999999999</v>
      </c>
      <c r="L109" s="1226">
        <v>2.4767999999999999</v>
      </c>
      <c r="M109" s="1226">
        <v>2.4767999999999999</v>
      </c>
    </row>
    <row r="110" spans="1:14">
      <c r="A110" s="1223">
        <v>0.6</v>
      </c>
      <c r="B110" s="1226">
        <v>2.2888000000000002</v>
      </c>
      <c r="C110" s="1226">
        <v>2.2888000000000002</v>
      </c>
      <c r="D110" s="1226">
        <v>2.1312000000000002</v>
      </c>
      <c r="E110" s="1226">
        <v>2.1312000000000002</v>
      </c>
      <c r="F110" s="1226">
        <v>2.1312000000000002</v>
      </c>
      <c r="G110" s="1226">
        <v>2.1312000000000002</v>
      </c>
      <c r="H110" s="1226">
        <v>2.1312000000000002</v>
      </c>
      <c r="I110" s="1226">
        <v>2.0640000000000001</v>
      </c>
      <c r="J110" s="1226">
        <v>2.0640000000000001</v>
      </c>
      <c r="K110" s="1226">
        <v>2.0640000000000001</v>
      </c>
      <c r="L110" s="1226">
        <v>2.0640000000000001</v>
      </c>
      <c r="M110" s="1226">
        <v>2.0640000000000001</v>
      </c>
    </row>
    <row r="111" spans="1:14">
      <c r="A111" s="1223">
        <v>0.7</v>
      </c>
      <c r="B111" s="1226">
        <v>1.9619</v>
      </c>
      <c r="C111" s="1226">
        <v>1.9619</v>
      </c>
      <c r="D111" s="1226">
        <v>1.8267</v>
      </c>
      <c r="E111" s="1226">
        <v>1.8267</v>
      </c>
      <c r="F111" s="1226">
        <v>1.8267</v>
      </c>
      <c r="G111" s="1226">
        <v>1.8267</v>
      </c>
      <c r="H111" s="1226">
        <v>1.8267</v>
      </c>
      <c r="I111" s="1226">
        <v>1.7690999999999999</v>
      </c>
      <c r="J111" s="1226">
        <v>1.7690999999999999</v>
      </c>
      <c r="K111" s="1226">
        <v>1.7690999999999999</v>
      </c>
      <c r="L111" s="1226">
        <v>1.7690999999999999</v>
      </c>
      <c r="M111" s="1226">
        <v>1.7690999999999999</v>
      </c>
    </row>
    <row r="112" spans="1:14">
      <c r="A112" s="1223">
        <v>0.8</v>
      </c>
      <c r="B112" s="1226">
        <v>1.7165999999999999</v>
      </c>
      <c r="C112" s="1226">
        <v>1.7165999999999999</v>
      </c>
      <c r="D112" s="1226">
        <v>1.5984</v>
      </c>
      <c r="E112" s="1226">
        <v>1.5984</v>
      </c>
      <c r="F112" s="1226">
        <v>1.5984</v>
      </c>
      <c r="G112" s="1226">
        <v>1.5984</v>
      </c>
      <c r="H112" s="1226">
        <v>1.5984</v>
      </c>
      <c r="I112" s="1226">
        <v>1.548</v>
      </c>
      <c r="J112" s="1226">
        <v>1.548</v>
      </c>
      <c r="K112" s="1226">
        <v>1.548</v>
      </c>
      <c r="L112" s="1226">
        <v>1.548</v>
      </c>
      <c r="M112" s="1226">
        <v>1.548</v>
      </c>
    </row>
    <row r="113" spans="1:13">
      <c r="A113" s="1223">
        <v>0.9</v>
      </c>
      <c r="B113" s="1226">
        <v>1.5259</v>
      </c>
      <c r="C113" s="1226">
        <v>1.5259</v>
      </c>
      <c r="D113" s="1226">
        <v>1.4208000000000001</v>
      </c>
      <c r="E113" s="1226">
        <v>1.4208000000000001</v>
      </c>
      <c r="F113" s="1226">
        <v>1.4208000000000001</v>
      </c>
      <c r="G113" s="1226">
        <v>1.4208000000000001</v>
      </c>
      <c r="H113" s="1226">
        <v>1.4208000000000001</v>
      </c>
      <c r="I113" s="1226">
        <v>1.3759999999999999</v>
      </c>
      <c r="J113" s="1226">
        <v>1.3759999999999999</v>
      </c>
      <c r="K113" s="1226">
        <v>1.3759999999999999</v>
      </c>
      <c r="L113" s="1226">
        <v>1.3759999999999999</v>
      </c>
      <c r="M113" s="1226">
        <v>1.3759999999999999</v>
      </c>
    </row>
    <row r="114" spans="1:13">
      <c r="A114" s="1223">
        <v>1</v>
      </c>
      <c r="B114" s="1226">
        <v>1.3733</v>
      </c>
      <c r="C114" s="1226">
        <v>1.3733</v>
      </c>
      <c r="D114" s="1226">
        <v>1.2786999999999999</v>
      </c>
      <c r="E114" s="1226">
        <v>1.2786999999999999</v>
      </c>
      <c r="F114" s="1226">
        <v>1.2786999999999999</v>
      </c>
      <c r="G114" s="1226">
        <v>1.2786999999999999</v>
      </c>
      <c r="H114" s="1226">
        <v>1.2786999999999999</v>
      </c>
      <c r="I114" s="1226">
        <v>1.2383999999999999</v>
      </c>
      <c r="J114" s="1226">
        <v>1.2383999999999999</v>
      </c>
      <c r="K114" s="1226">
        <v>1.2383999999999999</v>
      </c>
      <c r="L114" s="1226">
        <v>1.2383999999999999</v>
      </c>
      <c r="M114" s="1226">
        <v>1.2383999999999999</v>
      </c>
    </row>
    <row r="115" spans="1:13">
      <c r="A115" s="1223">
        <v>1.1000000000000001</v>
      </c>
      <c r="B115" s="1226">
        <v>1.3489</v>
      </c>
      <c r="C115" s="1226">
        <v>1.3489</v>
      </c>
      <c r="D115" s="1226">
        <v>1.2542</v>
      </c>
      <c r="E115" s="1226">
        <v>1.2542</v>
      </c>
      <c r="F115" s="1226">
        <v>1.2542</v>
      </c>
      <c r="G115" s="1226">
        <v>1.2542</v>
      </c>
      <c r="H115" s="1226">
        <v>1.2542</v>
      </c>
      <c r="I115" s="1226">
        <v>1.2050000000000001</v>
      </c>
      <c r="J115" s="1226">
        <v>1.2050000000000001</v>
      </c>
      <c r="K115" s="1226">
        <v>1.2050000000000001</v>
      </c>
      <c r="L115" s="1226">
        <v>1.2050000000000001</v>
      </c>
      <c r="M115" s="1226">
        <v>1.2050000000000001</v>
      </c>
    </row>
    <row r="116" spans="1:13">
      <c r="A116" s="1223">
        <v>1.2</v>
      </c>
      <c r="B116" s="1226">
        <v>1.3255999999999999</v>
      </c>
      <c r="C116" s="1226">
        <v>1.3255999999999999</v>
      </c>
      <c r="D116" s="1226">
        <v>1.2305999999999999</v>
      </c>
      <c r="E116" s="1226">
        <v>1.2305999999999999</v>
      </c>
      <c r="F116" s="1226">
        <v>1.2305999999999999</v>
      </c>
      <c r="G116" s="1226">
        <v>1.2305999999999999</v>
      </c>
      <c r="H116" s="1226">
        <v>1.2305999999999999</v>
      </c>
      <c r="I116" s="1226">
        <v>1.1741999999999999</v>
      </c>
      <c r="J116" s="1226">
        <v>1.1741999999999999</v>
      </c>
      <c r="K116" s="1226">
        <v>1.1741999999999999</v>
      </c>
      <c r="L116" s="1226">
        <v>1.1741999999999999</v>
      </c>
      <c r="M116" s="1226">
        <v>1.1741999999999999</v>
      </c>
    </row>
    <row r="117" spans="1:13">
      <c r="A117" s="1223">
        <v>1.3</v>
      </c>
      <c r="B117" s="1226">
        <v>1.3032999999999999</v>
      </c>
      <c r="C117" s="1226">
        <v>1.3032999999999999</v>
      </c>
      <c r="D117" s="1226">
        <v>1.2079</v>
      </c>
      <c r="E117" s="1226">
        <v>1.2079</v>
      </c>
      <c r="F117" s="1226">
        <v>1.2079</v>
      </c>
      <c r="G117" s="1226">
        <v>1.2079</v>
      </c>
      <c r="H117" s="1226">
        <v>1.2079</v>
      </c>
      <c r="I117" s="1226">
        <v>1.1459999999999999</v>
      </c>
      <c r="J117" s="1226">
        <v>1.1459999999999999</v>
      </c>
      <c r="K117" s="1226">
        <v>1.1459999999999999</v>
      </c>
      <c r="L117" s="1226">
        <v>1.1459999999999999</v>
      </c>
      <c r="M117" s="1226">
        <v>1.1459999999999999</v>
      </c>
    </row>
    <row r="118" spans="1:13">
      <c r="A118" s="1223">
        <v>1.4</v>
      </c>
      <c r="B118" s="1226">
        <v>1.282</v>
      </c>
      <c r="C118" s="1226">
        <v>1.282</v>
      </c>
      <c r="D118" s="1226">
        <v>1.1861999999999999</v>
      </c>
      <c r="E118" s="1226">
        <v>1.1861999999999999</v>
      </c>
      <c r="F118" s="1226">
        <v>1.1861999999999999</v>
      </c>
      <c r="G118" s="1226">
        <v>1.1861999999999999</v>
      </c>
      <c r="H118" s="1226">
        <v>1.1861999999999999</v>
      </c>
      <c r="I118" s="1226">
        <v>1.1200000000000001</v>
      </c>
      <c r="J118" s="1226">
        <v>1.1200000000000001</v>
      </c>
      <c r="K118" s="1226">
        <v>1.1200000000000001</v>
      </c>
      <c r="L118" s="1226">
        <v>1.1200000000000001</v>
      </c>
      <c r="M118" s="1226">
        <v>1.1200000000000001</v>
      </c>
    </row>
    <row r="119" spans="1:13">
      <c r="A119" s="1223">
        <v>1.5</v>
      </c>
      <c r="B119" s="1226">
        <v>1.2617</v>
      </c>
      <c r="C119" s="1226">
        <v>1.2617</v>
      </c>
      <c r="D119" s="1226">
        <v>1.1653</v>
      </c>
      <c r="E119" s="1226">
        <v>1.1653</v>
      </c>
      <c r="F119" s="1226">
        <v>1.1653</v>
      </c>
      <c r="G119" s="1226">
        <v>1.1653</v>
      </c>
      <c r="H119" s="1226">
        <v>1.1653</v>
      </c>
      <c r="I119" s="1226">
        <v>1.0961000000000001</v>
      </c>
      <c r="J119" s="1226">
        <v>1.0961000000000001</v>
      </c>
      <c r="K119" s="1226">
        <v>1.0961000000000001</v>
      </c>
      <c r="L119" s="1226">
        <v>1.0961000000000001</v>
      </c>
      <c r="M119" s="1226">
        <v>1.0961000000000001</v>
      </c>
    </row>
    <row r="120" spans="1:13">
      <c r="A120" s="1223">
        <v>1.6</v>
      </c>
      <c r="B120" s="1226">
        <v>1.2423</v>
      </c>
      <c r="C120" s="1226">
        <v>1.2423</v>
      </c>
      <c r="D120" s="1226">
        <v>1.1453</v>
      </c>
      <c r="E120" s="1226">
        <v>1.1453</v>
      </c>
      <c r="F120" s="1226">
        <v>1.1453</v>
      </c>
      <c r="G120" s="1226">
        <v>1.1453</v>
      </c>
      <c r="H120" s="1226">
        <v>1.1453</v>
      </c>
      <c r="I120" s="1226">
        <v>1.0740000000000001</v>
      </c>
      <c r="J120" s="1226">
        <v>1.0740000000000001</v>
      </c>
      <c r="K120" s="1226">
        <v>1.0740000000000001</v>
      </c>
      <c r="L120" s="1226">
        <v>1.0740000000000001</v>
      </c>
      <c r="M120" s="1226">
        <v>1.0740000000000001</v>
      </c>
    </row>
    <row r="121" spans="1:13">
      <c r="A121" s="1223">
        <v>1.7</v>
      </c>
      <c r="B121" s="1226">
        <v>1.2237</v>
      </c>
      <c r="C121" s="1226">
        <v>1.2237</v>
      </c>
      <c r="D121" s="1226">
        <v>1.1261000000000001</v>
      </c>
      <c r="E121" s="1226">
        <v>1.1261000000000001</v>
      </c>
      <c r="F121" s="1226">
        <v>1.1261000000000001</v>
      </c>
      <c r="G121" s="1226">
        <v>1.1261000000000001</v>
      </c>
      <c r="H121" s="1226">
        <v>1.1261000000000001</v>
      </c>
      <c r="I121" s="1226">
        <v>1.0535000000000001</v>
      </c>
      <c r="J121" s="1226">
        <v>1.0535000000000001</v>
      </c>
      <c r="K121" s="1226">
        <v>1.0535000000000001</v>
      </c>
      <c r="L121" s="1226">
        <v>1.0535000000000001</v>
      </c>
      <c r="M121" s="1226">
        <v>1.0535000000000001</v>
      </c>
    </row>
    <row r="122" spans="1:13">
      <c r="A122" s="1223">
        <v>1.8</v>
      </c>
      <c r="B122" s="1226">
        <v>1.206</v>
      </c>
      <c r="C122" s="1226">
        <v>1.206</v>
      </c>
      <c r="D122" s="1226">
        <v>1.1076999999999999</v>
      </c>
      <c r="E122" s="1226">
        <v>1.1076999999999999</v>
      </c>
      <c r="F122" s="1226">
        <v>1.1076999999999999</v>
      </c>
      <c r="G122" s="1226">
        <v>1.1076999999999999</v>
      </c>
      <c r="H122" s="1226">
        <v>1.1076999999999999</v>
      </c>
      <c r="I122" s="1226">
        <v>1.0345</v>
      </c>
      <c r="J122" s="1226">
        <v>1.0345</v>
      </c>
      <c r="K122" s="1226">
        <v>1.0345</v>
      </c>
      <c r="L122" s="1226">
        <v>1.0345</v>
      </c>
      <c r="M122" s="1226">
        <v>1.0345</v>
      </c>
    </row>
    <row r="123" spans="1:13">
      <c r="A123" s="1223">
        <v>1.9</v>
      </c>
      <c r="B123" s="1226">
        <v>1.1891</v>
      </c>
      <c r="C123" s="1226">
        <v>1.1891</v>
      </c>
      <c r="D123" s="1226">
        <v>1.0901000000000001</v>
      </c>
      <c r="E123" s="1226">
        <v>1.0901000000000001</v>
      </c>
      <c r="F123" s="1226">
        <v>1.0901000000000001</v>
      </c>
      <c r="G123" s="1226">
        <v>1.0901000000000001</v>
      </c>
      <c r="H123" s="1226">
        <v>1.0901000000000001</v>
      </c>
      <c r="I123" s="1226">
        <v>1.0166999999999999</v>
      </c>
      <c r="J123" s="1226">
        <v>1.0166999999999999</v>
      </c>
      <c r="K123" s="1226">
        <v>1.0166999999999999</v>
      </c>
      <c r="L123" s="1226">
        <v>1.0166999999999999</v>
      </c>
      <c r="M123" s="1226">
        <v>1.0166999999999999</v>
      </c>
    </row>
    <row r="124" spans="1:13">
      <c r="A124" s="1223">
        <v>2</v>
      </c>
      <c r="B124" s="1226">
        <v>1.1729000000000001</v>
      </c>
      <c r="C124" s="1226">
        <v>1.1729000000000001</v>
      </c>
      <c r="D124" s="1226">
        <v>1.0732999999999999</v>
      </c>
      <c r="E124" s="1226">
        <v>1.0732999999999999</v>
      </c>
      <c r="F124" s="1226">
        <v>1.0732999999999999</v>
      </c>
      <c r="G124" s="1226">
        <v>1.0732999999999999</v>
      </c>
      <c r="H124" s="1226">
        <v>1.0732999999999999</v>
      </c>
      <c r="I124" s="1226">
        <v>1</v>
      </c>
      <c r="J124" s="1226">
        <v>1</v>
      </c>
      <c r="K124" s="1226">
        <v>1</v>
      </c>
      <c r="L124" s="1226">
        <v>1</v>
      </c>
      <c r="M124" s="1226">
        <v>1</v>
      </c>
    </row>
    <row r="125" spans="1:13">
      <c r="A125" s="1227">
        <v>2.1</v>
      </c>
      <c r="B125" s="1226">
        <v>1.1574</v>
      </c>
      <c r="C125" s="1226">
        <v>1.1574</v>
      </c>
      <c r="D125" s="1226">
        <v>1.0571999999999999</v>
      </c>
      <c r="E125" s="1226">
        <v>1.0571999999999999</v>
      </c>
      <c r="F125" s="1226">
        <v>1.0571999999999999</v>
      </c>
      <c r="G125" s="1226">
        <v>1.0571999999999999</v>
      </c>
      <c r="H125" s="1226">
        <v>1.0571999999999999</v>
      </c>
      <c r="I125" s="1226">
        <v>0.98409999999999997</v>
      </c>
      <c r="J125" s="1226">
        <v>0.98409999999999997</v>
      </c>
      <c r="K125" s="1226">
        <v>0.98409999999999997</v>
      </c>
      <c r="L125" s="1226">
        <v>0.98409999999999997</v>
      </c>
      <c r="M125" s="1226">
        <v>0.98409999999999997</v>
      </c>
    </row>
    <row r="126" spans="1:13">
      <c r="A126" s="1227">
        <v>2.2000000000000002</v>
      </c>
      <c r="B126" s="1226">
        <v>1.1426000000000001</v>
      </c>
      <c r="C126" s="1226">
        <v>1.1426000000000001</v>
      </c>
      <c r="D126" s="1226">
        <v>1.0419</v>
      </c>
      <c r="E126" s="1226">
        <v>1.0419</v>
      </c>
      <c r="F126" s="1226">
        <v>1.0419</v>
      </c>
      <c r="G126" s="1226">
        <v>1.0419</v>
      </c>
      <c r="H126" s="1226">
        <v>1.0419</v>
      </c>
      <c r="I126" s="1226">
        <v>0.96889999999999998</v>
      </c>
      <c r="J126" s="1226">
        <v>0.96889999999999998</v>
      </c>
      <c r="K126" s="1226">
        <v>0.96889999999999998</v>
      </c>
      <c r="L126" s="1226">
        <v>0.96889999999999998</v>
      </c>
      <c r="M126" s="1226">
        <v>0.96889999999999998</v>
      </c>
    </row>
    <row r="127" spans="1:13">
      <c r="A127" s="1227">
        <v>2.2999999999999998</v>
      </c>
      <c r="B127" s="1226">
        <v>1.1285000000000001</v>
      </c>
      <c r="C127" s="1226">
        <v>1.1285000000000001</v>
      </c>
      <c r="D127" s="1226">
        <v>1.0271999999999999</v>
      </c>
      <c r="E127" s="1226">
        <v>1.0271999999999999</v>
      </c>
      <c r="F127" s="1226">
        <v>1.0271999999999999</v>
      </c>
      <c r="G127" s="1226">
        <v>1.0271999999999999</v>
      </c>
      <c r="H127" s="1226">
        <v>1.0271999999999999</v>
      </c>
      <c r="I127" s="1226">
        <v>0.95440000000000003</v>
      </c>
      <c r="J127" s="1226">
        <v>0.95440000000000003</v>
      </c>
      <c r="K127" s="1226">
        <v>0.95440000000000003</v>
      </c>
      <c r="L127" s="1226">
        <v>0.95440000000000003</v>
      </c>
      <c r="M127" s="1226">
        <v>0.95440000000000003</v>
      </c>
    </row>
    <row r="128" spans="1:13">
      <c r="A128" s="1227">
        <v>2.4</v>
      </c>
      <c r="B128" s="1226">
        <v>1.1149</v>
      </c>
      <c r="C128" s="1226">
        <v>1.1149</v>
      </c>
      <c r="D128" s="1226">
        <v>1.0133000000000001</v>
      </c>
      <c r="E128" s="1226">
        <v>1.0133000000000001</v>
      </c>
      <c r="F128" s="1226">
        <v>1.0133000000000001</v>
      </c>
      <c r="G128" s="1226">
        <v>1.0133000000000001</v>
      </c>
      <c r="H128" s="1226">
        <v>1.0133000000000001</v>
      </c>
      <c r="I128" s="1226">
        <v>0.9405</v>
      </c>
      <c r="J128" s="1226">
        <v>0.9405</v>
      </c>
      <c r="K128" s="1226">
        <v>0.9405</v>
      </c>
      <c r="L128" s="1226">
        <v>0.9405</v>
      </c>
      <c r="M128" s="1226">
        <v>0.9405</v>
      </c>
    </row>
    <row r="129" spans="1:13">
      <c r="A129" s="1227">
        <v>2.5</v>
      </c>
      <c r="B129" s="1226">
        <v>1.1020000000000001</v>
      </c>
      <c r="C129" s="1226">
        <v>1.1020000000000001</v>
      </c>
      <c r="D129" s="1226">
        <v>1</v>
      </c>
      <c r="E129" s="1226">
        <v>1</v>
      </c>
      <c r="F129" s="1226">
        <v>1</v>
      </c>
      <c r="G129" s="1226">
        <v>1</v>
      </c>
      <c r="H129" s="1226">
        <v>1</v>
      </c>
      <c r="I129" s="1226">
        <v>0.92730000000000001</v>
      </c>
      <c r="J129" s="1226">
        <v>0.92730000000000001</v>
      </c>
      <c r="K129" s="1226">
        <v>0.92730000000000001</v>
      </c>
      <c r="L129" s="1226">
        <v>0.92730000000000001</v>
      </c>
      <c r="M129" s="1226">
        <v>0.92730000000000001</v>
      </c>
    </row>
    <row r="130" spans="1:13">
      <c r="A130" s="1227">
        <v>2.6</v>
      </c>
      <c r="B130" s="1226">
        <v>1.0895999999999999</v>
      </c>
      <c r="C130" s="1226">
        <v>1.0895999999999999</v>
      </c>
      <c r="D130" s="1226">
        <v>0.98740000000000006</v>
      </c>
      <c r="E130" s="1226">
        <v>0.98740000000000006</v>
      </c>
      <c r="F130" s="1226">
        <v>0.98740000000000006</v>
      </c>
      <c r="G130" s="1226">
        <v>0.98740000000000006</v>
      </c>
      <c r="H130" s="1226">
        <v>0.98740000000000006</v>
      </c>
      <c r="I130" s="1226">
        <v>0.91469999999999996</v>
      </c>
      <c r="J130" s="1226">
        <v>0.91469999999999996</v>
      </c>
      <c r="K130" s="1226">
        <v>0.91469999999999996</v>
      </c>
      <c r="L130" s="1226">
        <v>0.91469999999999996</v>
      </c>
      <c r="M130" s="1226">
        <v>0.91469999999999996</v>
      </c>
    </row>
    <row r="131" spans="1:13">
      <c r="A131" s="1227">
        <v>2.7</v>
      </c>
      <c r="B131" s="1226">
        <v>1.0778000000000001</v>
      </c>
      <c r="C131" s="1226">
        <v>1.0778000000000001</v>
      </c>
      <c r="D131" s="1226">
        <v>0.97540000000000004</v>
      </c>
      <c r="E131" s="1226">
        <v>0.97540000000000004</v>
      </c>
      <c r="F131" s="1226">
        <v>0.97540000000000004</v>
      </c>
      <c r="G131" s="1226">
        <v>0.97540000000000004</v>
      </c>
      <c r="H131" s="1226">
        <v>0.97540000000000004</v>
      </c>
      <c r="I131" s="1226">
        <v>0.90269999999999995</v>
      </c>
      <c r="J131" s="1226">
        <v>0.90269999999999995</v>
      </c>
      <c r="K131" s="1226">
        <v>0.90269999999999995</v>
      </c>
      <c r="L131" s="1226">
        <v>0.90269999999999995</v>
      </c>
      <c r="M131" s="1226">
        <v>0.90269999999999995</v>
      </c>
    </row>
    <row r="132" spans="1:13">
      <c r="A132" s="1227">
        <v>2.8</v>
      </c>
      <c r="B132" s="1226">
        <v>1.0665</v>
      </c>
      <c r="C132" s="1226">
        <v>1.0665</v>
      </c>
      <c r="D132" s="1226">
        <v>0.96399999999999997</v>
      </c>
      <c r="E132" s="1226">
        <v>0.96399999999999997</v>
      </c>
      <c r="F132" s="1226">
        <v>0.96399999999999997</v>
      </c>
      <c r="G132" s="1226">
        <v>0.96399999999999997</v>
      </c>
      <c r="H132" s="1226">
        <v>0.96399999999999997</v>
      </c>
      <c r="I132" s="1226">
        <v>0.89119999999999999</v>
      </c>
      <c r="J132" s="1226">
        <v>0.89119999999999999</v>
      </c>
      <c r="K132" s="1226">
        <v>0.89119999999999999</v>
      </c>
      <c r="L132" s="1226">
        <v>0.89119999999999999</v>
      </c>
      <c r="M132" s="1226">
        <v>0.89119999999999999</v>
      </c>
    </row>
    <row r="133" spans="1:13">
      <c r="A133" s="1227">
        <v>2.9</v>
      </c>
      <c r="B133" s="1226">
        <v>1.0556000000000001</v>
      </c>
      <c r="C133" s="1226">
        <v>1.0556000000000001</v>
      </c>
      <c r="D133" s="1226">
        <v>0.95330000000000004</v>
      </c>
      <c r="E133" s="1226">
        <v>0.95330000000000004</v>
      </c>
      <c r="F133" s="1226">
        <v>0.95330000000000004</v>
      </c>
      <c r="G133" s="1226">
        <v>0.95330000000000004</v>
      </c>
      <c r="H133" s="1226">
        <v>0.95330000000000004</v>
      </c>
      <c r="I133" s="1226">
        <v>0.88019999999999998</v>
      </c>
      <c r="J133" s="1226">
        <v>0.88019999999999998</v>
      </c>
      <c r="K133" s="1226">
        <v>0.88019999999999998</v>
      </c>
      <c r="L133" s="1226">
        <v>0.88019999999999998</v>
      </c>
      <c r="M133" s="1226">
        <v>0.88019999999999998</v>
      </c>
    </row>
    <row r="134" spans="1:13">
      <c r="A134" s="1227">
        <v>3</v>
      </c>
      <c r="B134" s="1226">
        <v>1.0452999999999999</v>
      </c>
      <c r="C134" s="1226">
        <v>1.0452999999999999</v>
      </c>
      <c r="D134" s="1226">
        <v>0.94299999999999995</v>
      </c>
      <c r="E134" s="1226">
        <v>0.94299999999999995</v>
      </c>
      <c r="F134" s="1226">
        <v>0.94299999999999995</v>
      </c>
      <c r="G134" s="1226">
        <v>0.94299999999999995</v>
      </c>
      <c r="H134" s="1226">
        <v>0.94299999999999995</v>
      </c>
      <c r="I134" s="1226">
        <v>0.86970000000000003</v>
      </c>
      <c r="J134" s="1226">
        <v>0.86970000000000003</v>
      </c>
      <c r="K134" s="1226">
        <v>0.86970000000000003</v>
      </c>
      <c r="L134" s="1226">
        <v>0.86970000000000003</v>
      </c>
      <c r="M134" s="1226">
        <v>0.86970000000000003</v>
      </c>
    </row>
    <row r="135" spans="1:13">
      <c r="A135" s="1227">
        <v>3.1</v>
      </c>
      <c r="B135" s="1226">
        <v>1.0354000000000001</v>
      </c>
      <c r="C135" s="1226">
        <v>1.0354000000000001</v>
      </c>
      <c r="D135" s="1226">
        <v>0.93330000000000002</v>
      </c>
      <c r="E135" s="1226">
        <v>0.93330000000000002</v>
      </c>
      <c r="F135" s="1226">
        <v>0.93330000000000002</v>
      </c>
      <c r="G135" s="1226">
        <v>0.93330000000000002</v>
      </c>
      <c r="H135" s="1226">
        <v>0.93330000000000002</v>
      </c>
      <c r="I135" s="1226">
        <v>0.85970000000000002</v>
      </c>
      <c r="J135" s="1226">
        <v>0.85970000000000002</v>
      </c>
      <c r="K135" s="1226">
        <v>0.85970000000000002</v>
      </c>
      <c r="L135" s="1226">
        <v>0.85970000000000002</v>
      </c>
      <c r="M135" s="1226">
        <v>0.85970000000000002</v>
      </c>
    </row>
    <row r="136" spans="1:13">
      <c r="A136" s="1227">
        <v>3.2</v>
      </c>
      <c r="B136" s="1226">
        <v>1.0259</v>
      </c>
      <c r="C136" s="1226">
        <v>1.0259</v>
      </c>
      <c r="D136" s="1226">
        <v>0.92410000000000003</v>
      </c>
      <c r="E136" s="1226">
        <v>0.92410000000000003</v>
      </c>
      <c r="F136" s="1226">
        <v>0.92410000000000003</v>
      </c>
      <c r="G136" s="1226">
        <v>0.92410000000000003</v>
      </c>
      <c r="H136" s="1226">
        <v>0.92410000000000003</v>
      </c>
      <c r="I136" s="1226">
        <v>0.85019999999999996</v>
      </c>
      <c r="J136" s="1226">
        <v>0.85019999999999996</v>
      </c>
      <c r="K136" s="1226">
        <v>0.85019999999999996</v>
      </c>
      <c r="L136" s="1226">
        <v>0.85019999999999996</v>
      </c>
      <c r="M136" s="1226">
        <v>0.85019999999999996</v>
      </c>
    </row>
    <row r="137" spans="1:13">
      <c r="A137" s="1227">
        <v>3.3</v>
      </c>
      <c r="B137" s="1226">
        <v>1.0168999999999999</v>
      </c>
      <c r="C137" s="1226">
        <v>1.0168999999999999</v>
      </c>
      <c r="D137" s="1226">
        <v>0.91539999999999999</v>
      </c>
      <c r="E137" s="1226">
        <v>0.91539999999999999</v>
      </c>
      <c r="F137" s="1226">
        <v>0.91539999999999999</v>
      </c>
      <c r="G137" s="1226">
        <v>0.91539999999999999</v>
      </c>
      <c r="H137" s="1226">
        <v>0.91539999999999999</v>
      </c>
      <c r="I137" s="1226">
        <v>0.84109999999999996</v>
      </c>
      <c r="J137" s="1226">
        <v>0.84109999999999996</v>
      </c>
      <c r="K137" s="1226">
        <v>0.84109999999999996</v>
      </c>
      <c r="L137" s="1226">
        <v>0.84109999999999996</v>
      </c>
      <c r="M137" s="1226">
        <v>0.84109999999999996</v>
      </c>
    </row>
    <row r="138" spans="1:13">
      <c r="A138" s="1227">
        <v>3.4</v>
      </c>
      <c r="B138" s="1226">
        <v>1.0082</v>
      </c>
      <c r="C138" s="1226">
        <v>1.0082</v>
      </c>
      <c r="D138" s="1226">
        <v>0.90710000000000002</v>
      </c>
      <c r="E138" s="1226">
        <v>0.90710000000000002</v>
      </c>
      <c r="F138" s="1226">
        <v>0.90710000000000002</v>
      </c>
      <c r="G138" s="1226">
        <v>0.90710000000000002</v>
      </c>
      <c r="H138" s="1226">
        <v>0.90710000000000002</v>
      </c>
      <c r="I138" s="1226">
        <v>0.83240000000000003</v>
      </c>
      <c r="J138" s="1226">
        <v>0.83240000000000003</v>
      </c>
      <c r="K138" s="1226">
        <v>0.83240000000000003</v>
      </c>
      <c r="L138" s="1226">
        <v>0.83240000000000003</v>
      </c>
      <c r="M138" s="1226">
        <v>0.83240000000000003</v>
      </c>
    </row>
    <row r="139" spans="1:13">
      <c r="A139" s="1227">
        <v>3.5</v>
      </c>
      <c r="B139" s="1226">
        <v>1</v>
      </c>
      <c r="C139" s="1226">
        <v>1</v>
      </c>
      <c r="D139" s="1226">
        <v>0.89929999999999999</v>
      </c>
      <c r="E139" s="1226">
        <v>0.89929999999999999</v>
      </c>
      <c r="F139" s="1226">
        <v>0.89929999999999999</v>
      </c>
      <c r="G139" s="1226">
        <v>0.89929999999999999</v>
      </c>
      <c r="H139" s="1226">
        <v>0.89929999999999999</v>
      </c>
      <c r="I139" s="1226">
        <v>0.82410000000000005</v>
      </c>
      <c r="J139" s="1226">
        <v>0.82410000000000005</v>
      </c>
      <c r="K139" s="1226">
        <v>0.82410000000000005</v>
      </c>
      <c r="L139" s="1226">
        <v>0.82410000000000005</v>
      </c>
      <c r="M139" s="1226">
        <v>0.82410000000000005</v>
      </c>
    </row>
    <row r="140" spans="1:13">
      <c r="A140" s="1227">
        <v>3.6</v>
      </c>
      <c r="B140" s="1226">
        <v>0.99219999999999997</v>
      </c>
      <c r="C140" s="1226">
        <v>0.99219999999999997</v>
      </c>
      <c r="D140" s="1226">
        <v>0.89190000000000003</v>
      </c>
      <c r="E140" s="1226">
        <v>0.89190000000000003</v>
      </c>
      <c r="F140" s="1226">
        <v>0.89190000000000003</v>
      </c>
      <c r="G140" s="1226">
        <v>0.89190000000000003</v>
      </c>
      <c r="H140" s="1226">
        <v>0.89190000000000003</v>
      </c>
      <c r="I140" s="1226">
        <v>0.81620000000000004</v>
      </c>
      <c r="J140" s="1226">
        <v>0.81620000000000004</v>
      </c>
      <c r="K140" s="1226">
        <v>0.81620000000000004</v>
      </c>
      <c r="L140" s="1226">
        <v>0.81620000000000004</v>
      </c>
      <c r="M140" s="1226">
        <v>0.81620000000000004</v>
      </c>
    </row>
    <row r="141" spans="1:13">
      <c r="A141" s="1227">
        <v>3.7</v>
      </c>
      <c r="B141" s="1226">
        <v>0.98480000000000001</v>
      </c>
      <c r="C141" s="1226">
        <v>0.98480000000000001</v>
      </c>
      <c r="D141" s="1226">
        <v>0.88480000000000003</v>
      </c>
      <c r="E141" s="1226">
        <v>0.88480000000000003</v>
      </c>
      <c r="F141" s="1226">
        <v>0.88480000000000003</v>
      </c>
      <c r="G141" s="1226">
        <v>0.88480000000000003</v>
      </c>
      <c r="H141" s="1226">
        <v>0.88480000000000003</v>
      </c>
      <c r="I141" s="1226">
        <v>0.80869999999999997</v>
      </c>
      <c r="J141" s="1226">
        <v>0.80869999999999997</v>
      </c>
      <c r="K141" s="1226">
        <v>0.80869999999999997</v>
      </c>
      <c r="L141" s="1226">
        <v>0.80869999999999997</v>
      </c>
      <c r="M141" s="1226">
        <v>0.80869999999999997</v>
      </c>
    </row>
    <row r="142" spans="1:13">
      <c r="A142" s="1227">
        <v>3.8</v>
      </c>
      <c r="B142" s="1226">
        <v>0.9778</v>
      </c>
      <c r="C142" s="1226">
        <v>0.9778</v>
      </c>
      <c r="D142" s="1226">
        <v>0.87809999999999999</v>
      </c>
      <c r="E142" s="1226">
        <v>0.87809999999999999</v>
      </c>
      <c r="F142" s="1226">
        <v>0.87809999999999999</v>
      </c>
      <c r="G142" s="1226">
        <v>0.87809999999999999</v>
      </c>
      <c r="H142" s="1226">
        <v>0.87809999999999999</v>
      </c>
      <c r="I142" s="1226">
        <v>0.80159999999999998</v>
      </c>
      <c r="J142" s="1226">
        <v>0.80159999999999998</v>
      </c>
      <c r="K142" s="1226">
        <v>0.80159999999999998</v>
      </c>
      <c r="L142" s="1226">
        <v>0.80159999999999998</v>
      </c>
      <c r="M142" s="1226">
        <v>0.80159999999999998</v>
      </c>
    </row>
    <row r="143" spans="1:13">
      <c r="A143" s="1227">
        <v>3.9</v>
      </c>
      <c r="B143" s="1226">
        <v>0.97119999999999995</v>
      </c>
      <c r="C143" s="1226">
        <v>0.97119999999999995</v>
      </c>
      <c r="D143" s="1226">
        <v>0.87180000000000002</v>
      </c>
      <c r="E143" s="1226">
        <v>0.87180000000000002</v>
      </c>
      <c r="F143" s="1226">
        <v>0.87180000000000002</v>
      </c>
      <c r="G143" s="1226">
        <v>0.87180000000000002</v>
      </c>
      <c r="H143" s="1226">
        <v>0.87180000000000002</v>
      </c>
      <c r="I143" s="1226">
        <v>0.79479999999999995</v>
      </c>
      <c r="J143" s="1226">
        <v>0.79479999999999995</v>
      </c>
      <c r="K143" s="1226">
        <v>0.79479999999999995</v>
      </c>
      <c r="L143" s="1226">
        <v>0.79479999999999995</v>
      </c>
      <c r="M143" s="1226">
        <v>0.79479999999999995</v>
      </c>
    </row>
    <row r="144" spans="1:13">
      <c r="A144" s="1227">
        <v>4</v>
      </c>
      <c r="B144" s="1226">
        <v>0.96499999999999997</v>
      </c>
      <c r="C144" s="1226">
        <v>0.96499999999999997</v>
      </c>
      <c r="D144" s="1226">
        <v>0.86580000000000001</v>
      </c>
      <c r="E144" s="1226">
        <v>0.86580000000000001</v>
      </c>
      <c r="F144" s="1226">
        <v>0.86580000000000001</v>
      </c>
      <c r="G144" s="1226">
        <v>0.86580000000000001</v>
      </c>
      <c r="H144" s="1226">
        <v>0.86580000000000001</v>
      </c>
      <c r="I144" s="1226">
        <v>0.7883</v>
      </c>
      <c r="J144" s="1226">
        <v>0.7883</v>
      </c>
      <c r="K144" s="1226">
        <v>0.7883</v>
      </c>
      <c r="L144" s="1226">
        <v>0.7883</v>
      </c>
      <c r="M144" s="1226">
        <v>0.7883</v>
      </c>
    </row>
    <row r="145" spans="1:13">
      <c r="A145" s="1227">
        <v>4.0999999999999996</v>
      </c>
      <c r="B145" s="1226">
        <v>0.95909999999999995</v>
      </c>
      <c r="C145" s="1226">
        <v>0.95909999999999995</v>
      </c>
      <c r="D145" s="1226">
        <v>0.86009999999999998</v>
      </c>
      <c r="E145" s="1226">
        <v>0.86009999999999998</v>
      </c>
      <c r="F145" s="1226">
        <v>0.86009999999999998</v>
      </c>
      <c r="G145" s="1226">
        <v>0.86009999999999998</v>
      </c>
      <c r="H145" s="1226">
        <v>0.86009999999999998</v>
      </c>
      <c r="I145" s="1226">
        <v>0.78200000000000003</v>
      </c>
      <c r="J145" s="1226">
        <v>0.78200000000000003</v>
      </c>
      <c r="K145" s="1226">
        <v>0.78200000000000003</v>
      </c>
      <c r="L145" s="1226">
        <v>0.78200000000000003</v>
      </c>
      <c r="M145" s="1226">
        <v>0.78200000000000003</v>
      </c>
    </row>
    <row r="146" spans="1:13">
      <c r="A146" s="1227">
        <v>4.2</v>
      </c>
      <c r="B146" s="1226">
        <v>0.95350000000000001</v>
      </c>
      <c r="C146" s="1226">
        <v>0.95350000000000001</v>
      </c>
      <c r="D146" s="1226">
        <v>0.85470000000000002</v>
      </c>
      <c r="E146" s="1226">
        <v>0.85470000000000002</v>
      </c>
      <c r="F146" s="1226">
        <v>0.85470000000000002</v>
      </c>
      <c r="G146" s="1226">
        <v>0.85470000000000002</v>
      </c>
      <c r="H146" s="1226">
        <v>0.85470000000000002</v>
      </c>
      <c r="I146" s="1226">
        <v>0.77600000000000002</v>
      </c>
      <c r="J146" s="1226">
        <v>0.77600000000000002</v>
      </c>
      <c r="K146" s="1226">
        <v>0.77600000000000002</v>
      </c>
      <c r="L146" s="1226">
        <v>0.77600000000000002</v>
      </c>
      <c r="M146" s="1226">
        <v>0.77600000000000002</v>
      </c>
    </row>
    <row r="147" spans="1:13">
      <c r="A147" s="1227">
        <v>4.3</v>
      </c>
      <c r="B147" s="1226">
        <v>0.94820000000000004</v>
      </c>
      <c r="C147" s="1226">
        <v>0.94820000000000004</v>
      </c>
      <c r="D147" s="1226">
        <v>0.84960000000000002</v>
      </c>
      <c r="E147" s="1226">
        <v>0.84960000000000002</v>
      </c>
      <c r="F147" s="1226">
        <v>0.84960000000000002</v>
      </c>
      <c r="G147" s="1226">
        <v>0.84960000000000002</v>
      </c>
      <c r="H147" s="1226">
        <v>0.84960000000000002</v>
      </c>
      <c r="I147" s="1226">
        <v>0.77029999999999998</v>
      </c>
      <c r="J147" s="1226">
        <v>0.77029999999999998</v>
      </c>
      <c r="K147" s="1226">
        <v>0.77029999999999998</v>
      </c>
      <c r="L147" s="1226">
        <v>0.77029999999999998</v>
      </c>
      <c r="M147" s="1226">
        <v>0.77029999999999998</v>
      </c>
    </row>
    <row r="148" spans="1:13">
      <c r="A148" s="1227">
        <v>4.4000000000000004</v>
      </c>
      <c r="B148" s="1226">
        <v>0.94320000000000004</v>
      </c>
      <c r="C148" s="1226">
        <v>0.94320000000000004</v>
      </c>
      <c r="D148" s="1226">
        <v>0.8448</v>
      </c>
      <c r="E148" s="1226">
        <v>0.8448</v>
      </c>
      <c r="F148" s="1226">
        <v>0.8448</v>
      </c>
      <c r="G148" s="1226">
        <v>0.8448</v>
      </c>
      <c r="H148" s="1226">
        <v>0.8448</v>
      </c>
      <c r="I148" s="1226">
        <v>0.76490000000000002</v>
      </c>
      <c r="J148" s="1226">
        <v>0.76490000000000002</v>
      </c>
      <c r="K148" s="1226">
        <v>0.76490000000000002</v>
      </c>
      <c r="L148" s="1226">
        <v>0.76490000000000002</v>
      </c>
      <c r="M148" s="1226">
        <v>0.76490000000000002</v>
      </c>
    </row>
    <row r="149" spans="1:13">
      <c r="A149" s="1227">
        <v>4.5</v>
      </c>
      <c r="B149" s="1226">
        <v>0.9385</v>
      </c>
      <c r="C149" s="1226">
        <v>0.9385</v>
      </c>
      <c r="D149" s="1226">
        <v>0.84019999999999995</v>
      </c>
      <c r="E149" s="1226">
        <v>0.84019999999999995</v>
      </c>
      <c r="F149" s="1226">
        <v>0.84019999999999995</v>
      </c>
      <c r="G149" s="1226">
        <v>0.84019999999999995</v>
      </c>
      <c r="H149" s="1226">
        <v>0.84019999999999995</v>
      </c>
      <c r="I149" s="1226">
        <v>0.75970000000000004</v>
      </c>
      <c r="J149" s="1226">
        <v>0.75970000000000004</v>
      </c>
      <c r="K149" s="1226">
        <v>0.75970000000000004</v>
      </c>
      <c r="L149" s="1226">
        <v>0.75970000000000004</v>
      </c>
      <c r="M149" s="1226">
        <v>0.75970000000000004</v>
      </c>
    </row>
    <row r="150" spans="1:13">
      <c r="A150" s="1227">
        <v>4.5999999999999996</v>
      </c>
      <c r="B150" s="1226">
        <v>0.93410000000000004</v>
      </c>
      <c r="C150" s="1226">
        <v>0.93410000000000004</v>
      </c>
      <c r="D150" s="1226">
        <v>0.83579999999999999</v>
      </c>
      <c r="E150" s="1226">
        <v>0.83579999999999999</v>
      </c>
      <c r="F150" s="1226">
        <v>0.83579999999999999</v>
      </c>
      <c r="G150" s="1226">
        <v>0.83579999999999999</v>
      </c>
      <c r="H150" s="1226">
        <v>0.83579999999999999</v>
      </c>
      <c r="I150" s="1226">
        <v>0.75470000000000004</v>
      </c>
      <c r="J150" s="1226">
        <v>0.75470000000000004</v>
      </c>
      <c r="K150" s="1226">
        <v>0.75470000000000004</v>
      </c>
      <c r="L150" s="1226">
        <v>0.75470000000000004</v>
      </c>
      <c r="M150" s="1226">
        <v>0.75470000000000004</v>
      </c>
    </row>
    <row r="151" spans="1:13">
      <c r="A151" s="1227">
        <v>4.7</v>
      </c>
      <c r="B151" s="1226">
        <v>0.92989999999999995</v>
      </c>
      <c r="C151" s="1226">
        <v>0.92989999999999995</v>
      </c>
      <c r="D151" s="1226">
        <v>0.83160000000000001</v>
      </c>
      <c r="E151" s="1226">
        <v>0.83160000000000001</v>
      </c>
      <c r="F151" s="1226">
        <v>0.83160000000000001</v>
      </c>
      <c r="G151" s="1226">
        <v>0.83160000000000001</v>
      </c>
      <c r="H151" s="1226">
        <v>0.83160000000000001</v>
      </c>
      <c r="I151" s="1226">
        <v>0.74990000000000001</v>
      </c>
      <c r="J151" s="1226">
        <v>0.74990000000000001</v>
      </c>
      <c r="K151" s="1226">
        <v>0.74990000000000001</v>
      </c>
      <c r="L151" s="1226">
        <v>0.74990000000000001</v>
      </c>
      <c r="M151" s="1226">
        <v>0.74990000000000001</v>
      </c>
    </row>
    <row r="152" spans="1:13">
      <c r="A152" s="1227">
        <v>4.8</v>
      </c>
      <c r="B152" s="1226">
        <v>0.92589999999999995</v>
      </c>
      <c r="C152" s="1226">
        <v>0.92589999999999995</v>
      </c>
      <c r="D152" s="1226">
        <v>0.82769999999999999</v>
      </c>
      <c r="E152" s="1226">
        <v>0.82769999999999999</v>
      </c>
      <c r="F152" s="1226">
        <v>0.82769999999999999</v>
      </c>
      <c r="G152" s="1226">
        <v>0.82769999999999999</v>
      </c>
      <c r="H152" s="1226">
        <v>0.82769999999999999</v>
      </c>
      <c r="I152" s="1226">
        <v>0.74529999999999996</v>
      </c>
      <c r="J152" s="1226">
        <v>0.74529999999999996</v>
      </c>
      <c r="K152" s="1226">
        <v>0.74529999999999996</v>
      </c>
      <c r="L152" s="1226">
        <v>0.74529999999999996</v>
      </c>
      <c r="M152" s="1226">
        <v>0.74529999999999996</v>
      </c>
    </row>
    <row r="153" spans="1:13">
      <c r="A153" s="1227">
        <v>4.9000000000000004</v>
      </c>
      <c r="B153" s="1226">
        <v>0.92210000000000003</v>
      </c>
      <c r="C153" s="1226">
        <v>0.92210000000000003</v>
      </c>
      <c r="D153" s="1226">
        <v>0.82389999999999997</v>
      </c>
      <c r="E153" s="1226">
        <v>0.82389999999999997</v>
      </c>
      <c r="F153" s="1226">
        <v>0.82389999999999997</v>
      </c>
      <c r="G153" s="1226">
        <v>0.82389999999999997</v>
      </c>
      <c r="H153" s="1226">
        <v>0.82389999999999997</v>
      </c>
      <c r="I153" s="1226">
        <v>0.7409</v>
      </c>
      <c r="J153" s="1226">
        <v>0.7409</v>
      </c>
      <c r="K153" s="1226">
        <v>0.7409</v>
      </c>
      <c r="L153" s="1226">
        <v>0.7409</v>
      </c>
      <c r="M153" s="1226">
        <v>0.7409</v>
      </c>
    </row>
    <row r="154" spans="1:13">
      <c r="A154" s="1227">
        <v>5</v>
      </c>
      <c r="B154" s="1226">
        <v>0.91849999999999998</v>
      </c>
      <c r="C154" s="1226">
        <v>0.91849999999999998</v>
      </c>
      <c r="D154" s="1226">
        <v>0.82030000000000003</v>
      </c>
      <c r="E154" s="1226">
        <v>0.82030000000000003</v>
      </c>
      <c r="F154" s="1226">
        <v>0.82030000000000003</v>
      </c>
      <c r="G154" s="1226">
        <v>0.82030000000000003</v>
      </c>
      <c r="H154" s="1226">
        <v>0.82030000000000003</v>
      </c>
      <c r="I154" s="1226">
        <v>0.73670000000000002</v>
      </c>
      <c r="J154" s="1226">
        <v>0.73670000000000002</v>
      </c>
      <c r="K154" s="1226">
        <v>0.73670000000000002</v>
      </c>
      <c r="L154" s="1226">
        <v>0.73670000000000002</v>
      </c>
      <c r="M154" s="1226">
        <v>0.73670000000000002</v>
      </c>
    </row>
    <row r="155" spans="1:13">
      <c r="A155" s="1223">
        <v>5.0999999999999996</v>
      </c>
      <c r="B155" s="1226">
        <v>0.91510000000000002</v>
      </c>
      <c r="C155" s="1226">
        <v>0.91510000000000002</v>
      </c>
      <c r="D155" s="1226">
        <v>0.81689999999999996</v>
      </c>
      <c r="E155" s="1226">
        <v>0.81689999999999996</v>
      </c>
      <c r="F155" s="1226">
        <v>0.81689999999999996</v>
      </c>
      <c r="G155" s="1226">
        <v>0.81689999999999996</v>
      </c>
      <c r="H155" s="1226">
        <v>0.81689999999999996</v>
      </c>
      <c r="I155" s="1226">
        <v>0.73270000000000002</v>
      </c>
      <c r="J155" s="1226">
        <v>0.73270000000000002</v>
      </c>
      <c r="K155" s="1226">
        <v>0.73270000000000002</v>
      </c>
      <c r="L155" s="1226">
        <v>0.73270000000000002</v>
      </c>
      <c r="M155" s="1226">
        <v>0.73270000000000002</v>
      </c>
    </row>
    <row r="156" spans="1:13">
      <c r="A156" s="1223">
        <v>5.2</v>
      </c>
      <c r="B156" s="1226">
        <v>0.91190000000000004</v>
      </c>
      <c r="C156" s="1226">
        <v>0.91190000000000004</v>
      </c>
      <c r="D156" s="1226">
        <v>0.81359999999999999</v>
      </c>
      <c r="E156" s="1226">
        <v>0.81359999999999999</v>
      </c>
      <c r="F156" s="1226">
        <v>0.81359999999999999</v>
      </c>
      <c r="G156" s="1226">
        <v>0.81359999999999999</v>
      </c>
      <c r="H156" s="1226">
        <v>0.81359999999999999</v>
      </c>
      <c r="I156" s="1226">
        <v>0.72889999999999999</v>
      </c>
      <c r="J156" s="1226">
        <v>0.72889999999999999</v>
      </c>
      <c r="K156" s="1226">
        <v>0.72889999999999999</v>
      </c>
      <c r="L156" s="1226">
        <v>0.72889999999999999</v>
      </c>
      <c r="M156" s="1226">
        <v>0.72889999999999999</v>
      </c>
    </row>
    <row r="157" spans="1:13">
      <c r="A157" s="1223">
        <v>5.3</v>
      </c>
      <c r="B157" s="1226">
        <v>0.90880000000000005</v>
      </c>
      <c r="C157" s="1226">
        <v>0.90880000000000005</v>
      </c>
      <c r="D157" s="1226">
        <v>0.8105</v>
      </c>
      <c r="E157" s="1226">
        <v>0.8105</v>
      </c>
      <c r="F157" s="1226">
        <v>0.8105</v>
      </c>
      <c r="G157" s="1226">
        <v>0.8105</v>
      </c>
      <c r="H157" s="1226">
        <v>0.8105</v>
      </c>
      <c r="I157" s="1226">
        <v>0.72529999999999994</v>
      </c>
      <c r="J157" s="1226">
        <v>0.72529999999999994</v>
      </c>
      <c r="K157" s="1226">
        <v>0.72529999999999994</v>
      </c>
      <c r="L157" s="1226">
        <v>0.72529999999999994</v>
      </c>
      <c r="M157" s="1226">
        <v>0.72529999999999994</v>
      </c>
    </row>
    <row r="158" spans="1:13">
      <c r="A158" s="1223">
        <v>5.4</v>
      </c>
      <c r="B158" s="1226">
        <v>0.90580000000000005</v>
      </c>
      <c r="C158" s="1226">
        <v>0.90580000000000005</v>
      </c>
      <c r="D158" s="1226">
        <v>0.8075</v>
      </c>
      <c r="E158" s="1226">
        <v>0.8075</v>
      </c>
      <c r="F158" s="1226">
        <v>0.8075</v>
      </c>
      <c r="G158" s="1226">
        <v>0.8075</v>
      </c>
      <c r="H158" s="1226">
        <v>0.8075</v>
      </c>
      <c r="I158" s="1226">
        <v>0.7218</v>
      </c>
      <c r="J158" s="1226">
        <v>0.7218</v>
      </c>
      <c r="K158" s="1226">
        <v>0.7218</v>
      </c>
      <c r="L158" s="1226">
        <v>0.7218</v>
      </c>
      <c r="M158" s="1226">
        <v>0.7218</v>
      </c>
    </row>
    <row r="159" spans="1:13">
      <c r="A159" s="1223">
        <v>5.5</v>
      </c>
      <c r="B159" s="1226">
        <v>0.90290000000000004</v>
      </c>
      <c r="C159" s="1226">
        <v>0.90290000000000004</v>
      </c>
      <c r="D159" s="1226">
        <v>0.80469999999999997</v>
      </c>
      <c r="E159" s="1226">
        <v>0.80469999999999997</v>
      </c>
      <c r="F159" s="1226">
        <v>0.80469999999999997</v>
      </c>
      <c r="G159" s="1226">
        <v>0.80469999999999997</v>
      </c>
      <c r="H159" s="1226">
        <v>0.80469999999999997</v>
      </c>
      <c r="I159" s="1226">
        <v>0.71840000000000004</v>
      </c>
      <c r="J159" s="1226">
        <v>0.71840000000000004</v>
      </c>
      <c r="K159" s="1226">
        <v>0.71840000000000004</v>
      </c>
      <c r="L159" s="1226">
        <v>0.71840000000000004</v>
      </c>
      <c r="M159" s="1226">
        <v>0.71840000000000004</v>
      </c>
    </row>
    <row r="160" spans="1:13">
      <c r="A160" s="1223">
        <v>5.6</v>
      </c>
      <c r="B160" s="1226">
        <v>0.90010000000000001</v>
      </c>
      <c r="C160" s="1226">
        <v>0.90010000000000001</v>
      </c>
      <c r="D160" s="1226">
        <v>0.80200000000000005</v>
      </c>
      <c r="E160" s="1226">
        <v>0.80200000000000005</v>
      </c>
      <c r="F160" s="1226">
        <v>0.80200000000000005</v>
      </c>
      <c r="G160" s="1226">
        <v>0.80200000000000005</v>
      </c>
      <c r="H160" s="1226">
        <v>0.80200000000000005</v>
      </c>
      <c r="I160" s="1226">
        <v>0.71509999999999996</v>
      </c>
      <c r="J160" s="1226">
        <v>0.71509999999999996</v>
      </c>
      <c r="K160" s="1226">
        <v>0.71509999999999996</v>
      </c>
      <c r="L160" s="1226">
        <v>0.71509999999999996</v>
      </c>
      <c r="M160" s="1226">
        <v>0.71509999999999996</v>
      </c>
    </row>
    <row r="161" spans="1:13">
      <c r="A161" s="1227">
        <v>5.7</v>
      </c>
      <c r="B161" s="1226">
        <v>0.89749999999999996</v>
      </c>
      <c r="C161" s="1226">
        <v>0.89749999999999996</v>
      </c>
      <c r="D161" s="1226">
        <v>0.79930000000000001</v>
      </c>
      <c r="E161" s="1226">
        <v>0.79930000000000001</v>
      </c>
      <c r="F161" s="1226">
        <v>0.79930000000000001</v>
      </c>
      <c r="G161" s="1226">
        <v>0.79930000000000001</v>
      </c>
      <c r="H161" s="1226">
        <v>0.79930000000000001</v>
      </c>
      <c r="I161" s="1226">
        <v>0.71189999999999998</v>
      </c>
      <c r="J161" s="1226">
        <v>0.71189999999999998</v>
      </c>
      <c r="K161" s="1226">
        <v>0.71189999999999998</v>
      </c>
      <c r="L161" s="1226">
        <v>0.71189999999999998</v>
      </c>
      <c r="M161" s="1226">
        <v>0.71189999999999998</v>
      </c>
    </row>
    <row r="162" spans="1:13">
      <c r="A162" s="1223">
        <v>5.8</v>
      </c>
      <c r="B162" s="1226">
        <v>0.89500000000000002</v>
      </c>
      <c r="C162" s="1226">
        <v>0.89500000000000002</v>
      </c>
      <c r="D162" s="1226">
        <v>0.79679999999999995</v>
      </c>
      <c r="E162" s="1226">
        <v>0.79679999999999995</v>
      </c>
      <c r="F162" s="1226">
        <v>0.79679999999999995</v>
      </c>
      <c r="G162" s="1226">
        <v>0.79679999999999995</v>
      </c>
      <c r="H162" s="1226">
        <v>0.79679999999999995</v>
      </c>
      <c r="I162" s="1226">
        <v>0.70879999999999999</v>
      </c>
      <c r="J162" s="1226">
        <v>0.70879999999999999</v>
      </c>
      <c r="K162" s="1226">
        <v>0.70879999999999999</v>
      </c>
      <c r="L162" s="1226">
        <v>0.70879999999999999</v>
      </c>
      <c r="M162" s="1226">
        <v>0.70879999999999999</v>
      </c>
    </row>
    <row r="163" spans="1:13">
      <c r="A163" s="1223">
        <v>5.9</v>
      </c>
      <c r="B163" s="1226">
        <v>0.89259999999999995</v>
      </c>
      <c r="C163" s="1226">
        <v>0.89259999999999995</v>
      </c>
      <c r="D163" s="1226">
        <v>0.7944</v>
      </c>
      <c r="E163" s="1226">
        <v>0.7944</v>
      </c>
      <c r="F163" s="1226">
        <v>0.7944</v>
      </c>
      <c r="G163" s="1226">
        <v>0.7944</v>
      </c>
      <c r="H163" s="1226">
        <v>0.7944</v>
      </c>
      <c r="I163" s="1226">
        <v>0.70579999999999998</v>
      </c>
      <c r="J163" s="1226">
        <v>0.70579999999999998</v>
      </c>
      <c r="K163" s="1226">
        <v>0.70579999999999998</v>
      </c>
      <c r="L163" s="1226">
        <v>0.70579999999999998</v>
      </c>
      <c r="M163" s="1226">
        <v>0.70579999999999998</v>
      </c>
    </row>
    <row r="164" spans="1:13">
      <c r="A164" s="1223">
        <v>6</v>
      </c>
      <c r="B164" s="1226">
        <v>0.89029999999999998</v>
      </c>
      <c r="C164" s="1226">
        <v>0.89029999999999998</v>
      </c>
      <c r="D164" s="1226">
        <v>0.79200000000000004</v>
      </c>
      <c r="E164" s="1226">
        <v>0.79200000000000004</v>
      </c>
      <c r="F164" s="1226">
        <v>0.79200000000000004</v>
      </c>
      <c r="G164" s="1226">
        <v>0.79200000000000004</v>
      </c>
      <c r="H164" s="1226">
        <v>0.79200000000000004</v>
      </c>
      <c r="I164" s="1226">
        <v>0.70289999999999997</v>
      </c>
      <c r="J164" s="1226">
        <v>0.70289999999999997</v>
      </c>
      <c r="K164" s="1226">
        <v>0.70289999999999997</v>
      </c>
      <c r="L164" s="1226">
        <v>0.70289999999999997</v>
      </c>
      <c r="M164" s="1226">
        <v>0.70289999999999997</v>
      </c>
    </row>
    <row r="165" spans="1:13">
      <c r="A165" s="1223">
        <v>6.1</v>
      </c>
      <c r="B165" s="1226">
        <v>0.8881</v>
      </c>
      <c r="C165" s="1226">
        <v>0.8881</v>
      </c>
      <c r="D165" s="1226">
        <v>0.78979999999999995</v>
      </c>
      <c r="E165" s="1226">
        <v>0.78979999999999995</v>
      </c>
      <c r="F165" s="1226">
        <v>0.78979999999999995</v>
      </c>
      <c r="G165" s="1226">
        <v>0.78979999999999995</v>
      </c>
      <c r="H165" s="1226">
        <v>0.78979999999999995</v>
      </c>
      <c r="I165" s="1226">
        <v>0.70009999999999994</v>
      </c>
      <c r="J165" s="1226">
        <v>0.70009999999999994</v>
      </c>
      <c r="K165" s="1226">
        <v>0.70009999999999994</v>
      </c>
      <c r="L165" s="1226">
        <v>0.70009999999999994</v>
      </c>
      <c r="M165" s="1226">
        <v>0.70009999999999994</v>
      </c>
    </row>
    <row r="166" spans="1:13">
      <c r="A166" s="1223">
        <v>6.2</v>
      </c>
      <c r="B166" s="1226">
        <v>0.88600000000000001</v>
      </c>
      <c r="C166" s="1226">
        <v>0.88600000000000001</v>
      </c>
      <c r="D166" s="1226">
        <v>0.78759999999999997</v>
      </c>
      <c r="E166" s="1226">
        <v>0.78759999999999997</v>
      </c>
      <c r="F166" s="1226">
        <v>0.78759999999999997</v>
      </c>
      <c r="G166" s="1226">
        <v>0.78759999999999997</v>
      </c>
      <c r="H166" s="1226">
        <v>0.78759999999999997</v>
      </c>
      <c r="I166" s="1226">
        <v>0.69740000000000002</v>
      </c>
      <c r="J166" s="1226">
        <v>0.69740000000000002</v>
      </c>
      <c r="K166" s="1226">
        <v>0.69740000000000002</v>
      </c>
      <c r="L166" s="1226">
        <v>0.69740000000000002</v>
      </c>
      <c r="M166" s="1226">
        <v>0.69740000000000002</v>
      </c>
    </row>
    <row r="167" spans="1:13">
      <c r="A167" s="1223">
        <v>6.3</v>
      </c>
      <c r="B167" s="1226">
        <v>0.88390000000000002</v>
      </c>
      <c r="C167" s="1226">
        <v>0.88390000000000002</v>
      </c>
      <c r="D167" s="1226">
        <v>0.78549999999999998</v>
      </c>
      <c r="E167" s="1226">
        <v>0.78549999999999998</v>
      </c>
      <c r="F167" s="1226">
        <v>0.78549999999999998</v>
      </c>
      <c r="G167" s="1226">
        <v>0.78549999999999998</v>
      </c>
      <c r="H167" s="1226">
        <v>0.78549999999999998</v>
      </c>
      <c r="I167" s="1226">
        <v>0.69479999999999997</v>
      </c>
      <c r="J167" s="1226">
        <v>0.69479999999999997</v>
      </c>
      <c r="K167" s="1226">
        <v>0.69479999999999997</v>
      </c>
      <c r="L167" s="1226">
        <v>0.69479999999999997</v>
      </c>
      <c r="M167" s="1226">
        <v>0.69479999999999997</v>
      </c>
    </row>
    <row r="168" spans="1:13">
      <c r="A168" s="1223">
        <v>6.4</v>
      </c>
      <c r="B168" s="1226">
        <v>0.88190000000000002</v>
      </c>
      <c r="C168" s="1226">
        <v>0.88190000000000002</v>
      </c>
      <c r="D168" s="1226">
        <v>0.78339999999999999</v>
      </c>
      <c r="E168" s="1226">
        <v>0.78339999999999999</v>
      </c>
      <c r="F168" s="1226">
        <v>0.78339999999999999</v>
      </c>
      <c r="G168" s="1226">
        <v>0.78339999999999999</v>
      </c>
      <c r="H168" s="1226">
        <v>0.78339999999999999</v>
      </c>
      <c r="I168" s="1226">
        <v>0.69230000000000003</v>
      </c>
      <c r="J168" s="1226">
        <v>0.69230000000000003</v>
      </c>
      <c r="K168" s="1226">
        <v>0.69230000000000003</v>
      </c>
      <c r="L168" s="1226">
        <v>0.69230000000000003</v>
      </c>
      <c r="M168" s="1226">
        <v>0.69230000000000003</v>
      </c>
    </row>
    <row r="169" spans="1:13">
      <c r="A169" s="1223">
        <v>6.5</v>
      </c>
      <c r="B169" s="1226">
        <v>0.88</v>
      </c>
      <c r="C169" s="1226">
        <v>0.88</v>
      </c>
      <c r="D169" s="1226">
        <v>0.78139999999999998</v>
      </c>
      <c r="E169" s="1226">
        <v>0.78139999999999998</v>
      </c>
      <c r="F169" s="1226">
        <v>0.78139999999999998</v>
      </c>
      <c r="G169" s="1226">
        <v>0.78139999999999998</v>
      </c>
      <c r="H169" s="1226">
        <v>0.78139999999999998</v>
      </c>
      <c r="I169" s="1226">
        <v>0.68989999999999996</v>
      </c>
      <c r="J169" s="1226">
        <v>0.68989999999999996</v>
      </c>
      <c r="K169" s="1226">
        <v>0.68989999999999996</v>
      </c>
      <c r="L169" s="1226">
        <v>0.68989999999999996</v>
      </c>
      <c r="M169" s="1226">
        <v>0.68989999999999996</v>
      </c>
    </row>
    <row r="170" spans="1:13">
      <c r="A170" s="1223">
        <v>6.6</v>
      </c>
      <c r="B170" s="1226">
        <v>0.87809999999999999</v>
      </c>
      <c r="C170" s="1226">
        <v>0.87809999999999999</v>
      </c>
      <c r="D170" s="1226">
        <v>0.77949999999999997</v>
      </c>
      <c r="E170" s="1226">
        <v>0.77949999999999997</v>
      </c>
      <c r="F170" s="1226">
        <v>0.77949999999999997</v>
      </c>
      <c r="G170" s="1226">
        <v>0.77949999999999997</v>
      </c>
      <c r="H170" s="1226">
        <v>0.77949999999999997</v>
      </c>
      <c r="I170" s="1226">
        <v>0.68759999999999999</v>
      </c>
      <c r="J170" s="1226">
        <v>0.68759999999999999</v>
      </c>
      <c r="K170" s="1226">
        <v>0.68759999999999999</v>
      </c>
      <c r="L170" s="1226">
        <v>0.68759999999999999</v>
      </c>
      <c r="M170" s="1226">
        <v>0.68759999999999999</v>
      </c>
    </row>
    <row r="171" spans="1:13">
      <c r="A171" s="1223">
        <v>6.7</v>
      </c>
      <c r="B171" s="1226">
        <v>0.87629999999999997</v>
      </c>
      <c r="C171" s="1226">
        <v>0.87629999999999997</v>
      </c>
      <c r="D171" s="1226">
        <v>0.77759999999999996</v>
      </c>
      <c r="E171" s="1226">
        <v>0.77759999999999996</v>
      </c>
      <c r="F171" s="1226">
        <v>0.77759999999999996</v>
      </c>
      <c r="G171" s="1226">
        <v>0.77759999999999996</v>
      </c>
      <c r="H171" s="1226">
        <v>0.77759999999999996</v>
      </c>
      <c r="I171" s="1226">
        <v>0.68530000000000002</v>
      </c>
      <c r="J171" s="1226">
        <v>0.68530000000000002</v>
      </c>
      <c r="K171" s="1226">
        <v>0.68530000000000002</v>
      </c>
      <c r="L171" s="1226">
        <v>0.68530000000000002</v>
      </c>
      <c r="M171" s="1226">
        <v>0.68530000000000002</v>
      </c>
    </row>
    <row r="172" spans="1:13">
      <c r="A172" s="1223">
        <v>6.8</v>
      </c>
      <c r="B172" s="1226">
        <v>0.87450000000000006</v>
      </c>
      <c r="C172" s="1226">
        <v>0.87450000000000006</v>
      </c>
      <c r="D172" s="1226">
        <v>0.77569999999999995</v>
      </c>
      <c r="E172" s="1226">
        <v>0.77569999999999995</v>
      </c>
      <c r="F172" s="1226">
        <v>0.77569999999999995</v>
      </c>
      <c r="G172" s="1226">
        <v>0.77569999999999995</v>
      </c>
      <c r="H172" s="1226">
        <v>0.77569999999999995</v>
      </c>
      <c r="I172" s="1226">
        <v>0.68310000000000004</v>
      </c>
      <c r="J172" s="1226">
        <v>0.68310000000000004</v>
      </c>
      <c r="K172" s="1226">
        <v>0.68310000000000004</v>
      </c>
      <c r="L172" s="1226">
        <v>0.68310000000000004</v>
      </c>
      <c r="M172" s="1226">
        <v>0.68310000000000004</v>
      </c>
    </row>
    <row r="173" spans="1:13">
      <c r="A173" s="1223">
        <v>6.9</v>
      </c>
      <c r="B173" s="1226">
        <v>0.87280000000000002</v>
      </c>
      <c r="C173" s="1226">
        <v>0.87280000000000002</v>
      </c>
      <c r="D173" s="1226">
        <v>0.77390000000000003</v>
      </c>
      <c r="E173" s="1226">
        <v>0.77390000000000003</v>
      </c>
      <c r="F173" s="1226">
        <v>0.77390000000000003</v>
      </c>
      <c r="G173" s="1226">
        <v>0.77390000000000003</v>
      </c>
      <c r="H173" s="1226">
        <v>0.77390000000000003</v>
      </c>
      <c r="I173" s="1226">
        <v>0.68089999999999995</v>
      </c>
      <c r="J173" s="1226">
        <v>0.68089999999999995</v>
      </c>
      <c r="K173" s="1226">
        <v>0.68089999999999995</v>
      </c>
      <c r="L173" s="1226">
        <v>0.68089999999999995</v>
      </c>
      <c r="M173" s="1226">
        <v>0.68089999999999995</v>
      </c>
    </row>
    <row r="174" spans="1:13">
      <c r="A174" s="1223">
        <v>7</v>
      </c>
      <c r="B174" s="1226">
        <v>0.87109999999999999</v>
      </c>
      <c r="C174" s="1226">
        <v>0.87109999999999999</v>
      </c>
      <c r="D174" s="1226">
        <v>0.77210000000000001</v>
      </c>
      <c r="E174" s="1226">
        <v>0.77210000000000001</v>
      </c>
      <c r="F174" s="1226">
        <v>0.77210000000000001</v>
      </c>
      <c r="G174" s="1226">
        <v>0.77210000000000001</v>
      </c>
      <c r="H174" s="1226">
        <v>0.77210000000000001</v>
      </c>
      <c r="I174" s="1226">
        <v>0.67879999999999996</v>
      </c>
      <c r="J174" s="1226">
        <v>0.67879999999999996</v>
      </c>
      <c r="K174" s="1226">
        <v>0.67879999999999996</v>
      </c>
      <c r="L174" s="1226">
        <v>0.67879999999999996</v>
      </c>
      <c r="M174" s="1226">
        <v>0.67879999999999996</v>
      </c>
    </row>
    <row r="175" spans="1:13">
      <c r="A175" s="1223">
        <v>7.1</v>
      </c>
      <c r="B175" s="1226">
        <v>0.86939999999999995</v>
      </c>
      <c r="C175" s="1226">
        <v>0.86939999999999995</v>
      </c>
      <c r="D175" s="1226">
        <v>0.77039999999999997</v>
      </c>
      <c r="E175" s="1226">
        <v>0.77039999999999997</v>
      </c>
      <c r="F175" s="1226">
        <v>0.77039999999999997</v>
      </c>
      <c r="G175" s="1226">
        <v>0.77039999999999997</v>
      </c>
      <c r="H175" s="1226">
        <v>0.77039999999999997</v>
      </c>
      <c r="I175" s="1226">
        <v>0.67669999999999997</v>
      </c>
      <c r="J175" s="1226">
        <v>0.67669999999999997</v>
      </c>
      <c r="K175" s="1226">
        <v>0.67669999999999997</v>
      </c>
      <c r="L175" s="1226">
        <v>0.67669999999999997</v>
      </c>
      <c r="M175" s="1226">
        <v>0.67669999999999997</v>
      </c>
    </row>
    <row r="176" spans="1:13">
      <c r="A176" s="1223">
        <v>7.2</v>
      </c>
      <c r="B176" s="1226">
        <v>0.86770000000000003</v>
      </c>
      <c r="C176" s="1226">
        <v>0.86770000000000003</v>
      </c>
      <c r="D176" s="1226">
        <v>0.76870000000000005</v>
      </c>
      <c r="E176" s="1226">
        <v>0.76870000000000005</v>
      </c>
      <c r="F176" s="1226">
        <v>0.76870000000000005</v>
      </c>
      <c r="G176" s="1226">
        <v>0.76870000000000005</v>
      </c>
      <c r="H176" s="1226">
        <v>0.76870000000000005</v>
      </c>
      <c r="I176" s="1226">
        <v>0.67469999999999997</v>
      </c>
      <c r="J176" s="1226">
        <v>0.67469999999999997</v>
      </c>
      <c r="K176" s="1226">
        <v>0.67469999999999997</v>
      </c>
      <c r="L176" s="1226">
        <v>0.67469999999999997</v>
      </c>
      <c r="M176" s="1226">
        <v>0.67469999999999997</v>
      </c>
    </row>
    <row r="177" spans="1:13">
      <c r="A177" s="1223">
        <v>7.3</v>
      </c>
      <c r="B177" s="1226">
        <v>0.86609999999999998</v>
      </c>
      <c r="C177" s="1226">
        <v>0.86609999999999998</v>
      </c>
      <c r="D177" s="1226">
        <v>0.76700000000000002</v>
      </c>
      <c r="E177" s="1226">
        <v>0.76700000000000002</v>
      </c>
      <c r="F177" s="1226">
        <v>0.76700000000000002</v>
      </c>
      <c r="G177" s="1226">
        <v>0.76700000000000002</v>
      </c>
      <c r="H177" s="1226">
        <v>0.76700000000000002</v>
      </c>
      <c r="I177" s="1226">
        <v>0.67269999999999996</v>
      </c>
      <c r="J177" s="1226">
        <v>0.67269999999999996</v>
      </c>
      <c r="K177" s="1226">
        <v>0.67269999999999996</v>
      </c>
      <c r="L177" s="1226">
        <v>0.67269999999999996</v>
      </c>
      <c r="M177" s="1226">
        <v>0.67269999999999996</v>
      </c>
    </row>
    <row r="178" spans="1:13">
      <c r="A178" s="1223">
        <v>7.4</v>
      </c>
      <c r="B178" s="1226">
        <v>0.86450000000000005</v>
      </c>
      <c r="C178" s="1226">
        <v>0.86450000000000005</v>
      </c>
      <c r="D178" s="1226">
        <v>0.76529999999999998</v>
      </c>
      <c r="E178" s="1226">
        <v>0.76529999999999998</v>
      </c>
      <c r="F178" s="1226">
        <v>0.76529999999999998</v>
      </c>
      <c r="G178" s="1226">
        <v>0.76529999999999998</v>
      </c>
      <c r="H178" s="1226">
        <v>0.76529999999999998</v>
      </c>
      <c r="I178" s="1226">
        <v>0.67079999999999995</v>
      </c>
      <c r="J178" s="1226">
        <v>0.67079999999999995</v>
      </c>
      <c r="K178" s="1226">
        <v>0.67079999999999995</v>
      </c>
      <c r="L178" s="1226">
        <v>0.67079999999999995</v>
      </c>
      <c r="M178" s="1226">
        <v>0.67079999999999995</v>
      </c>
    </row>
    <row r="179" spans="1:13">
      <c r="A179" s="1223">
        <v>7.5</v>
      </c>
      <c r="B179" s="1226">
        <v>0.86299999999999999</v>
      </c>
      <c r="C179" s="1226">
        <v>0.86299999999999999</v>
      </c>
      <c r="D179" s="1226">
        <v>0.76359999999999995</v>
      </c>
      <c r="E179" s="1226">
        <v>0.76359999999999995</v>
      </c>
      <c r="F179" s="1226">
        <v>0.76359999999999995</v>
      </c>
      <c r="G179" s="1226">
        <v>0.76359999999999995</v>
      </c>
      <c r="H179" s="1226">
        <v>0.76359999999999995</v>
      </c>
      <c r="I179" s="1226">
        <v>0.66890000000000005</v>
      </c>
      <c r="J179" s="1226">
        <v>0.66890000000000005</v>
      </c>
      <c r="K179" s="1226">
        <v>0.66890000000000005</v>
      </c>
      <c r="L179" s="1226">
        <v>0.66890000000000005</v>
      </c>
      <c r="M179" s="1226">
        <v>0.66890000000000005</v>
      </c>
    </row>
    <row r="180" spans="1:13">
      <c r="A180" s="1223">
        <v>7.6</v>
      </c>
      <c r="B180" s="1226">
        <v>0.86150000000000004</v>
      </c>
      <c r="C180" s="1226">
        <v>0.86150000000000004</v>
      </c>
      <c r="D180" s="1226">
        <v>0.76200000000000001</v>
      </c>
      <c r="E180" s="1226">
        <v>0.76200000000000001</v>
      </c>
      <c r="F180" s="1226">
        <v>0.76200000000000001</v>
      </c>
      <c r="G180" s="1226">
        <v>0.76200000000000001</v>
      </c>
      <c r="H180" s="1226">
        <v>0.76200000000000001</v>
      </c>
      <c r="I180" s="1226">
        <v>0.66700000000000004</v>
      </c>
      <c r="J180" s="1226">
        <v>0.66700000000000004</v>
      </c>
      <c r="K180" s="1226">
        <v>0.66700000000000004</v>
      </c>
      <c r="L180" s="1226">
        <v>0.66700000000000004</v>
      </c>
      <c r="M180" s="1226">
        <v>0.66700000000000004</v>
      </c>
    </row>
    <row r="181" spans="1:13">
      <c r="A181" s="1223">
        <v>7.7</v>
      </c>
      <c r="B181" s="1226">
        <v>0.86</v>
      </c>
      <c r="C181" s="1226">
        <v>0.86</v>
      </c>
      <c r="D181" s="1226">
        <v>0.76039999999999996</v>
      </c>
      <c r="E181" s="1226">
        <v>0.76039999999999996</v>
      </c>
      <c r="F181" s="1226">
        <v>0.76039999999999996</v>
      </c>
      <c r="G181" s="1226">
        <v>0.76039999999999996</v>
      </c>
      <c r="H181" s="1226">
        <v>0.76039999999999996</v>
      </c>
      <c r="I181" s="1226">
        <v>0.66510000000000002</v>
      </c>
      <c r="J181" s="1226">
        <v>0.66510000000000002</v>
      </c>
      <c r="K181" s="1226">
        <v>0.66510000000000002</v>
      </c>
      <c r="L181" s="1226">
        <v>0.66510000000000002</v>
      </c>
      <c r="M181" s="1226">
        <v>0.66510000000000002</v>
      </c>
    </row>
    <row r="182" spans="1:13">
      <c r="A182" s="1223">
        <v>7.8</v>
      </c>
      <c r="B182" s="1226">
        <v>0.85850000000000004</v>
      </c>
      <c r="C182" s="1226">
        <v>0.85850000000000004</v>
      </c>
      <c r="D182" s="1226">
        <v>0.75880000000000003</v>
      </c>
      <c r="E182" s="1226">
        <v>0.75880000000000003</v>
      </c>
      <c r="F182" s="1226">
        <v>0.75880000000000003</v>
      </c>
      <c r="G182" s="1226">
        <v>0.75880000000000003</v>
      </c>
      <c r="H182" s="1226">
        <v>0.75880000000000003</v>
      </c>
      <c r="I182" s="1226">
        <v>0.6633</v>
      </c>
      <c r="J182" s="1226">
        <v>0.6633</v>
      </c>
      <c r="K182" s="1226">
        <v>0.6633</v>
      </c>
      <c r="L182" s="1226">
        <v>0.6633</v>
      </c>
      <c r="M182" s="1226">
        <v>0.6633</v>
      </c>
    </row>
    <row r="183" spans="1:13">
      <c r="A183" s="1223">
        <v>7.9</v>
      </c>
      <c r="B183" s="1226">
        <v>0.85699999999999998</v>
      </c>
      <c r="C183" s="1226">
        <v>0.85699999999999998</v>
      </c>
      <c r="D183" s="1226">
        <v>0.75719999999999998</v>
      </c>
      <c r="E183" s="1226">
        <v>0.75719999999999998</v>
      </c>
      <c r="F183" s="1226">
        <v>0.75719999999999998</v>
      </c>
      <c r="G183" s="1226">
        <v>0.75719999999999998</v>
      </c>
      <c r="H183" s="1226">
        <v>0.75719999999999998</v>
      </c>
      <c r="I183" s="1226">
        <v>0.66149999999999998</v>
      </c>
      <c r="J183" s="1226">
        <v>0.66149999999999998</v>
      </c>
      <c r="K183" s="1226">
        <v>0.66149999999999998</v>
      </c>
      <c r="L183" s="1226">
        <v>0.66149999999999998</v>
      </c>
      <c r="M183" s="1226">
        <v>0.66149999999999998</v>
      </c>
    </row>
    <row r="184" spans="1:13">
      <c r="A184" s="1223">
        <v>8</v>
      </c>
      <c r="B184" s="1226">
        <v>0.85550000000000004</v>
      </c>
      <c r="C184" s="1226">
        <v>0.85550000000000004</v>
      </c>
      <c r="D184" s="1226">
        <v>0.75570000000000004</v>
      </c>
      <c r="E184" s="1226">
        <v>0.75570000000000004</v>
      </c>
      <c r="F184" s="1226">
        <v>0.75570000000000004</v>
      </c>
      <c r="G184" s="1226">
        <v>0.75570000000000004</v>
      </c>
      <c r="H184" s="1226">
        <v>0.75570000000000004</v>
      </c>
      <c r="I184" s="1226">
        <v>0.65969999999999995</v>
      </c>
      <c r="J184" s="1226">
        <v>0.65969999999999995</v>
      </c>
      <c r="K184" s="1226">
        <v>0.65969999999999995</v>
      </c>
      <c r="L184" s="1226">
        <v>0.65969999999999995</v>
      </c>
      <c r="M184" s="1226">
        <v>0.65969999999999995</v>
      </c>
    </row>
    <row r="185" spans="1:13">
      <c r="A185" s="1223">
        <v>8.1</v>
      </c>
      <c r="B185" s="1226">
        <v>0.85399999999999998</v>
      </c>
      <c r="C185" s="1226">
        <v>0.85399999999999998</v>
      </c>
      <c r="D185" s="1226">
        <v>0.75419999999999998</v>
      </c>
      <c r="E185" s="1226">
        <v>0.75419999999999998</v>
      </c>
      <c r="F185" s="1226">
        <v>0.75419999999999998</v>
      </c>
      <c r="G185" s="1226">
        <v>0.75419999999999998</v>
      </c>
      <c r="H185" s="1226">
        <v>0.75419999999999998</v>
      </c>
      <c r="I185" s="1226">
        <v>0.65800000000000003</v>
      </c>
      <c r="J185" s="1226">
        <v>0.65800000000000003</v>
      </c>
      <c r="K185" s="1226">
        <v>0.65800000000000003</v>
      </c>
      <c r="L185" s="1226">
        <v>0.65800000000000003</v>
      </c>
      <c r="M185" s="1226">
        <v>0.65800000000000003</v>
      </c>
    </row>
    <row r="186" spans="1:13">
      <c r="A186" s="1223">
        <v>8.1999999999999993</v>
      </c>
      <c r="B186" s="1226">
        <v>0.85250000000000004</v>
      </c>
      <c r="C186" s="1226">
        <v>0.85250000000000004</v>
      </c>
      <c r="D186" s="1226">
        <v>0.75270000000000004</v>
      </c>
      <c r="E186" s="1226">
        <v>0.75270000000000004</v>
      </c>
      <c r="F186" s="1226">
        <v>0.75270000000000004</v>
      </c>
      <c r="G186" s="1226">
        <v>0.75270000000000004</v>
      </c>
      <c r="H186" s="1226">
        <v>0.75270000000000004</v>
      </c>
      <c r="I186" s="1226">
        <v>0.65629999999999999</v>
      </c>
      <c r="J186" s="1226">
        <v>0.65629999999999999</v>
      </c>
      <c r="K186" s="1226">
        <v>0.65629999999999999</v>
      </c>
      <c r="L186" s="1226">
        <v>0.65629999999999999</v>
      </c>
      <c r="M186" s="1226">
        <v>0.65629999999999999</v>
      </c>
    </row>
    <row r="187" spans="1:13">
      <c r="A187" s="1223">
        <v>8.3000000000000007</v>
      </c>
      <c r="B187" s="1226">
        <v>0.85109999999999997</v>
      </c>
      <c r="C187" s="1226">
        <v>0.85109999999999997</v>
      </c>
      <c r="D187" s="1226">
        <v>0.75119999999999998</v>
      </c>
      <c r="E187" s="1226">
        <v>0.75119999999999998</v>
      </c>
      <c r="F187" s="1226">
        <v>0.75119999999999998</v>
      </c>
      <c r="G187" s="1226">
        <v>0.75119999999999998</v>
      </c>
      <c r="H187" s="1226">
        <v>0.75119999999999998</v>
      </c>
      <c r="I187" s="1226">
        <v>0.65459999999999996</v>
      </c>
      <c r="J187" s="1226">
        <v>0.65459999999999996</v>
      </c>
      <c r="K187" s="1226">
        <v>0.65459999999999996</v>
      </c>
      <c r="L187" s="1226">
        <v>0.65459999999999996</v>
      </c>
      <c r="M187" s="1226">
        <v>0.65459999999999996</v>
      </c>
    </row>
    <row r="188" spans="1:13">
      <c r="A188" s="1223">
        <v>8.4</v>
      </c>
      <c r="B188" s="1226">
        <v>0.84970000000000001</v>
      </c>
      <c r="C188" s="1226">
        <v>0.84970000000000001</v>
      </c>
      <c r="D188" s="1226">
        <v>0.74970000000000003</v>
      </c>
      <c r="E188" s="1226">
        <v>0.74970000000000003</v>
      </c>
      <c r="F188" s="1226">
        <v>0.74970000000000003</v>
      </c>
      <c r="G188" s="1226">
        <v>0.74970000000000003</v>
      </c>
      <c r="H188" s="1226">
        <v>0.74970000000000003</v>
      </c>
      <c r="I188" s="1226">
        <v>0.65300000000000002</v>
      </c>
      <c r="J188" s="1226">
        <v>0.65300000000000002</v>
      </c>
      <c r="K188" s="1226">
        <v>0.65300000000000002</v>
      </c>
      <c r="L188" s="1226">
        <v>0.65300000000000002</v>
      </c>
      <c r="M188" s="1226">
        <v>0.65300000000000002</v>
      </c>
    </row>
    <row r="189" spans="1:13">
      <c r="A189" s="1223">
        <v>8.5</v>
      </c>
      <c r="B189" s="1226">
        <v>0.84830000000000005</v>
      </c>
      <c r="C189" s="1226">
        <v>0.84830000000000005</v>
      </c>
      <c r="D189" s="1226">
        <v>0.74819999999999998</v>
      </c>
      <c r="E189" s="1226">
        <v>0.74819999999999998</v>
      </c>
      <c r="F189" s="1226">
        <v>0.74819999999999998</v>
      </c>
      <c r="G189" s="1226">
        <v>0.74819999999999998</v>
      </c>
      <c r="H189" s="1226">
        <v>0.74819999999999998</v>
      </c>
      <c r="I189" s="1226">
        <v>0.65139999999999998</v>
      </c>
      <c r="J189" s="1226">
        <v>0.65139999999999998</v>
      </c>
      <c r="K189" s="1226">
        <v>0.65139999999999998</v>
      </c>
      <c r="L189" s="1226">
        <v>0.65139999999999998</v>
      </c>
      <c r="M189" s="1226">
        <v>0.65139999999999998</v>
      </c>
    </row>
    <row r="190" spans="1:13">
      <c r="A190" s="1223">
        <v>8.6</v>
      </c>
      <c r="B190" s="1226">
        <v>0.84689999999999999</v>
      </c>
      <c r="C190" s="1226">
        <v>0.84689999999999999</v>
      </c>
      <c r="D190" s="1226">
        <v>0.74670000000000003</v>
      </c>
      <c r="E190" s="1226">
        <v>0.74670000000000003</v>
      </c>
      <c r="F190" s="1226">
        <v>0.74670000000000003</v>
      </c>
      <c r="G190" s="1226">
        <v>0.74670000000000003</v>
      </c>
      <c r="H190" s="1226">
        <v>0.74670000000000003</v>
      </c>
      <c r="I190" s="1226">
        <v>0.64980000000000004</v>
      </c>
      <c r="J190" s="1226">
        <v>0.64980000000000004</v>
      </c>
      <c r="K190" s="1226">
        <v>0.64980000000000004</v>
      </c>
      <c r="L190" s="1226">
        <v>0.64980000000000004</v>
      </c>
      <c r="M190" s="1226">
        <v>0.64980000000000004</v>
      </c>
    </row>
    <row r="191" spans="1:13">
      <c r="A191" s="1223">
        <v>8.6999999999999993</v>
      </c>
      <c r="B191" s="1226">
        <v>0.84550000000000003</v>
      </c>
      <c r="C191" s="1226">
        <v>0.84550000000000003</v>
      </c>
      <c r="D191" s="1226">
        <v>0.74519999999999997</v>
      </c>
      <c r="E191" s="1226">
        <v>0.74519999999999997</v>
      </c>
      <c r="F191" s="1226">
        <v>0.74519999999999997</v>
      </c>
      <c r="G191" s="1226">
        <v>0.74519999999999997</v>
      </c>
      <c r="H191" s="1226">
        <v>0.74519999999999997</v>
      </c>
      <c r="I191" s="1226">
        <v>0.6482</v>
      </c>
      <c r="J191" s="1226">
        <v>0.6482</v>
      </c>
      <c r="K191" s="1226">
        <v>0.6482</v>
      </c>
      <c r="L191" s="1226">
        <v>0.6482</v>
      </c>
      <c r="M191" s="1226">
        <v>0.6482</v>
      </c>
    </row>
    <row r="192" spans="1:13">
      <c r="A192" s="1223">
        <v>8.8000000000000007</v>
      </c>
      <c r="B192" s="1226">
        <v>0.84409999999999996</v>
      </c>
      <c r="C192" s="1226">
        <v>0.84409999999999996</v>
      </c>
      <c r="D192" s="1226">
        <v>0.74370000000000003</v>
      </c>
      <c r="E192" s="1226">
        <v>0.74370000000000003</v>
      </c>
      <c r="F192" s="1226">
        <v>0.74370000000000003</v>
      </c>
      <c r="G192" s="1226">
        <v>0.74370000000000003</v>
      </c>
      <c r="H192" s="1226">
        <v>0.74370000000000003</v>
      </c>
      <c r="I192" s="1226">
        <v>0.64659999999999995</v>
      </c>
      <c r="J192" s="1226">
        <v>0.64659999999999995</v>
      </c>
      <c r="K192" s="1226">
        <v>0.64659999999999995</v>
      </c>
      <c r="L192" s="1226">
        <v>0.64659999999999995</v>
      </c>
      <c r="M192" s="1226">
        <v>0.64659999999999995</v>
      </c>
    </row>
    <row r="193" spans="1:13">
      <c r="A193" s="1223">
        <v>8.9</v>
      </c>
      <c r="B193" s="1226">
        <v>0.84279999999999999</v>
      </c>
      <c r="C193" s="1226">
        <v>0.84279999999999999</v>
      </c>
      <c r="D193" s="1226">
        <v>0.74219999999999997</v>
      </c>
      <c r="E193" s="1226">
        <v>0.74219999999999997</v>
      </c>
      <c r="F193" s="1226">
        <v>0.74219999999999997</v>
      </c>
      <c r="G193" s="1226">
        <v>0.74219999999999997</v>
      </c>
      <c r="H193" s="1226">
        <v>0.74219999999999997</v>
      </c>
      <c r="I193" s="1226">
        <v>0.64500000000000002</v>
      </c>
      <c r="J193" s="1226">
        <v>0.64500000000000002</v>
      </c>
      <c r="K193" s="1226">
        <v>0.64500000000000002</v>
      </c>
      <c r="L193" s="1226">
        <v>0.64500000000000002</v>
      </c>
      <c r="M193" s="1226">
        <v>0.64500000000000002</v>
      </c>
    </row>
    <row r="194" spans="1:13">
      <c r="A194" s="1227">
        <v>9</v>
      </c>
      <c r="B194" s="1226">
        <v>0.84150000000000003</v>
      </c>
      <c r="C194" s="1226">
        <v>0.84150000000000003</v>
      </c>
      <c r="D194" s="1226">
        <v>0.74070000000000003</v>
      </c>
      <c r="E194" s="1226">
        <v>0.74070000000000003</v>
      </c>
      <c r="F194" s="1226">
        <v>0.74070000000000003</v>
      </c>
      <c r="G194" s="1226">
        <v>0.74070000000000003</v>
      </c>
      <c r="H194" s="1226">
        <v>0.74070000000000003</v>
      </c>
      <c r="I194" s="1226">
        <v>0.64349999999999996</v>
      </c>
      <c r="J194" s="1226">
        <v>0.64349999999999996</v>
      </c>
      <c r="K194" s="1226">
        <v>0.64349999999999996</v>
      </c>
      <c r="L194" s="1226">
        <v>0.64349999999999996</v>
      </c>
      <c r="M194" s="1226">
        <v>0.64349999999999996</v>
      </c>
    </row>
    <row r="195" spans="1:13">
      <c r="A195" s="1227">
        <v>9.1</v>
      </c>
      <c r="B195" s="1226">
        <v>0.84019999999999995</v>
      </c>
      <c r="C195" s="1226">
        <v>0.84019999999999995</v>
      </c>
      <c r="D195" s="1226">
        <v>0.73919999999999997</v>
      </c>
      <c r="E195" s="1226">
        <v>0.73919999999999997</v>
      </c>
      <c r="F195" s="1226">
        <v>0.73919999999999997</v>
      </c>
      <c r="G195" s="1226">
        <v>0.73919999999999997</v>
      </c>
      <c r="H195" s="1226">
        <v>0.73919999999999997</v>
      </c>
      <c r="I195" s="1226">
        <v>0.64200000000000002</v>
      </c>
      <c r="J195" s="1226">
        <v>0.64200000000000002</v>
      </c>
      <c r="K195" s="1226">
        <v>0.64200000000000002</v>
      </c>
      <c r="L195" s="1226">
        <v>0.64200000000000002</v>
      </c>
      <c r="M195" s="1226">
        <v>0.64200000000000002</v>
      </c>
    </row>
    <row r="196" spans="1:13">
      <c r="A196" s="1227">
        <v>9.1999999999999993</v>
      </c>
      <c r="B196" s="1226">
        <v>0.83889999999999998</v>
      </c>
      <c r="C196" s="1226">
        <v>0.83889999999999998</v>
      </c>
      <c r="D196" s="1226">
        <v>0.73770000000000002</v>
      </c>
      <c r="E196" s="1226">
        <v>0.73770000000000002</v>
      </c>
      <c r="F196" s="1226">
        <v>0.73770000000000002</v>
      </c>
      <c r="G196" s="1226">
        <v>0.73770000000000002</v>
      </c>
      <c r="H196" s="1226">
        <v>0.73770000000000002</v>
      </c>
      <c r="I196" s="1226">
        <v>0.64059999999999995</v>
      </c>
      <c r="J196" s="1226">
        <v>0.64059999999999995</v>
      </c>
      <c r="K196" s="1226">
        <v>0.64059999999999995</v>
      </c>
      <c r="L196" s="1226">
        <v>0.64059999999999995</v>
      </c>
      <c r="M196" s="1226">
        <v>0.64059999999999995</v>
      </c>
    </row>
    <row r="197" spans="1:13">
      <c r="A197" s="1227">
        <v>9.3000000000000007</v>
      </c>
      <c r="B197" s="1226">
        <v>0.83760000000000001</v>
      </c>
      <c r="C197" s="1226">
        <v>0.83760000000000001</v>
      </c>
      <c r="D197" s="1226">
        <v>0.73629999999999995</v>
      </c>
      <c r="E197" s="1226">
        <v>0.73629999999999995</v>
      </c>
      <c r="F197" s="1226">
        <v>0.73629999999999995</v>
      </c>
      <c r="G197" s="1226">
        <v>0.73629999999999995</v>
      </c>
      <c r="H197" s="1226">
        <v>0.73629999999999995</v>
      </c>
      <c r="I197" s="1226">
        <v>0.63919999999999999</v>
      </c>
      <c r="J197" s="1226">
        <v>0.63919999999999999</v>
      </c>
      <c r="K197" s="1226">
        <v>0.63919999999999999</v>
      </c>
      <c r="L197" s="1226">
        <v>0.63919999999999999</v>
      </c>
      <c r="M197" s="1226">
        <v>0.63919999999999999</v>
      </c>
    </row>
    <row r="198" spans="1:13">
      <c r="A198" s="1227">
        <v>9.4</v>
      </c>
      <c r="B198" s="1226">
        <v>0.83630000000000004</v>
      </c>
      <c r="C198" s="1226">
        <v>0.83630000000000004</v>
      </c>
      <c r="D198" s="1226">
        <v>0.7349</v>
      </c>
      <c r="E198" s="1226">
        <v>0.7349</v>
      </c>
      <c r="F198" s="1226">
        <v>0.7349</v>
      </c>
      <c r="G198" s="1226">
        <v>0.7349</v>
      </c>
      <c r="H198" s="1226">
        <v>0.7349</v>
      </c>
      <c r="I198" s="1226">
        <v>0.63780000000000003</v>
      </c>
      <c r="J198" s="1226">
        <v>0.63780000000000003</v>
      </c>
      <c r="K198" s="1226">
        <v>0.63780000000000003</v>
      </c>
      <c r="L198" s="1226">
        <v>0.63780000000000003</v>
      </c>
      <c r="M198" s="1226">
        <v>0.63780000000000003</v>
      </c>
    </row>
    <row r="199" spans="1:13">
      <c r="A199" s="1227">
        <v>9.5</v>
      </c>
      <c r="B199" s="1226">
        <v>0.83499999999999996</v>
      </c>
      <c r="C199" s="1226">
        <v>0.83499999999999996</v>
      </c>
      <c r="D199" s="1226">
        <v>0.73350000000000004</v>
      </c>
      <c r="E199" s="1226">
        <v>0.73350000000000004</v>
      </c>
      <c r="F199" s="1226">
        <v>0.73350000000000004</v>
      </c>
      <c r="G199" s="1226">
        <v>0.73350000000000004</v>
      </c>
      <c r="H199" s="1226">
        <v>0.73350000000000004</v>
      </c>
      <c r="I199" s="1226">
        <v>0.63639999999999997</v>
      </c>
      <c r="J199" s="1226">
        <v>0.63639999999999997</v>
      </c>
      <c r="K199" s="1226">
        <v>0.63639999999999997</v>
      </c>
      <c r="L199" s="1226">
        <v>0.63639999999999997</v>
      </c>
      <c r="M199" s="1226">
        <v>0.63639999999999997</v>
      </c>
    </row>
    <row r="200" spans="1:13">
      <c r="A200" s="1227">
        <v>9.6</v>
      </c>
      <c r="B200" s="1226">
        <v>0.83379999999999999</v>
      </c>
      <c r="C200" s="1226">
        <v>0.83379999999999999</v>
      </c>
      <c r="D200" s="1226">
        <v>0.73209999999999997</v>
      </c>
      <c r="E200" s="1226">
        <v>0.73209999999999997</v>
      </c>
      <c r="F200" s="1226">
        <v>0.73209999999999997</v>
      </c>
      <c r="G200" s="1226">
        <v>0.73209999999999997</v>
      </c>
      <c r="H200" s="1226">
        <v>0.73209999999999997</v>
      </c>
      <c r="I200" s="1226">
        <v>0.63500000000000001</v>
      </c>
      <c r="J200" s="1226">
        <v>0.63500000000000001</v>
      </c>
      <c r="K200" s="1226">
        <v>0.63500000000000001</v>
      </c>
      <c r="L200" s="1226">
        <v>0.63500000000000001</v>
      </c>
      <c r="M200" s="1226">
        <v>0.63500000000000001</v>
      </c>
    </row>
    <row r="201" spans="1:13">
      <c r="A201" s="1227">
        <v>9.6999999999999993</v>
      </c>
      <c r="B201" s="1226">
        <v>0.83260000000000001</v>
      </c>
      <c r="C201" s="1226">
        <v>0.83260000000000001</v>
      </c>
      <c r="D201" s="1226">
        <v>0.73070000000000002</v>
      </c>
      <c r="E201" s="1226">
        <v>0.73070000000000002</v>
      </c>
      <c r="F201" s="1226">
        <v>0.73070000000000002</v>
      </c>
      <c r="G201" s="1226">
        <v>0.73070000000000002</v>
      </c>
      <c r="H201" s="1226">
        <v>0.73070000000000002</v>
      </c>
      <c r="I201" s="1226">
        <v>0.63360000000000005</v>
      </c>
      <c r="J201" s="1226">
        <v>0.63360000000000005</v>
      </c>
      <c r="K201" s="1226">
        <v>0.63360000000000005</v>
      </c>
      <c r="L201" s="1226">
        <v>0.63360000000000005</v>
      </c>
      <c r="M201" s="1226">
        <v>0.63360000000000005</v>
      </c>
    </row>
    <row r="202" spans="1:13">
      <c r="A202" s="1227">
        <v>9.8000000000000007</v>
      </c>
      <c r="B202" s="1226">
        <v>0.83140000000000003</v>
      </c>
      <c r="C202" s="1226">
        <v>0.83140000000000003</v>
      </c>
      <c r="D202" s="1226">
        <v>0.72929999999999995</v>
      </c>
      <c r="E202" s="1226">
        <v>0.72929999999999995</v>
      </c>
      <c r="F202" s="1226">
        <v>0.72929999999999995</v>
      </c>
      <c r="G202" s="1226">
        <v>0.72929999999999995</v>
      </c>
      <c r="H202" s="1226">
        <v>0.72929999999999995</v>
      </c>
      <c r="I202" s="1226">
        <v>0.63219999999999998</v>
      </c>
      <c r="J202" s="1226">
        <v>0.63219999999999998</v>
      </c>
      <c r="K202" s="1226">
        <v>0.63219999999999998</v>
      </c>
      <c r="L202" s="1226">
        <v>0.63219999999999998</v>
      </c>
      <c r="M202" s="1226">
        <v>0.63219999999999998</v>
      </c>
    </row>
    <row r="203" spans="1:13">
      <c r="A203" s="1227">
        <v>9.9</v>
      </c>
      <c r="B203" s="1226">
        <v>0.83020000000000005</v>
      </c>
      <c r="C203" s="1226">
        <v>0.83020000000000005</v>
      </c>
      <c r="D203" s="1226">
        <v>0.72799999999999998</v>
      </c>
      <c r="E203" s="1226">
        <v>0.72799999999999998</v>
      </c>
      <c r="F203" s="1226">
        <v>0.72799999999999998</v>
      </c>
      <c r="G203" s="1226">
        <v>0.72799999999999998</v>
      </c>
      <c r="H203" s="1226">
        <v>0.72799999999999998</v>
      </c>
      <c r="I203" s="1226">
        <v>0.63080000000000003</v>
      </c>
      <c r="J203" s="1226">
        <v>0.63080000000000003</v>
      </c>
      <c r="K203" s="1226">
        <v>0.63080000000000003</v>
      </c>
      <c r="L203" s="1226">
        <v>0.63080000000000003</v>
      </c>
      <c r="M203" s="1226">
        <v>0.63080000000000003</v>
      </c>
    </row>
    <row r="204" spans="1:13">
      <c r="A204" s="1227">
        <v>10</v>
      </c>
      <c r="B204" s="1226">
        <v>0.82899999999999996</v>
      </c>
      <c r="C204" s="1226">
        <v>0.82899999999999996</v>
      </c>
      <c r="D204" s="1226">
        <v>0.72670000000000001</v>
      </c>
      <c r="E204" s="1226">
        <v>0.72670000000000001</v>
      </c>
      <c r="F204" s="1226">
        <v>0.72670000000000001</v>
      </c>
      <c r="G204" s="1226">
        <v>0.72670000000000001</v>
      </c>
      <c r="H204" s="1226">
        <v>0.72670000000000001</v>
      </c>
      <c r="I204" s="1226">
        <v>0.62939999999999996</v>
      </c>
      <c r="J204" s="1226">
        <v>0.62939999999999996</v>
      </c>
      <c r="K204" s="1226">
        <v>0.62939999999999996</v>
      </c>
      <c r="L204" s="1226">
        <v>0.62939999999999996</v>
      </c>
      <c r="M204" s="1226">
        <v>0.62939999999999996</v>
      </c>
    </row>
    <row r="205" spans="1:13" ht="14.25">
      <c r="A205" s="1221" t="s">
        <v>1835</v>
      </c>
      <c r="B205" s="1222"/>
      <c r="C205" s="1222"/>
      <c r="D205" s="1222"/>
      <c r="E205" s="1222"/>
      <c r="F205" s="1222"/>
      <c r="G205" s="1222"/>
      <c r="H205" s="1222"/>
      <c r="I205" s="1222"/>
      <c r="J205" s="1222"/>
      <c r="K205" s="1222"/>
      <c r="L205" s="1222"/>
      <c r="M205" s="1222"/>
    </row>
    <row r="206" spans="1:13">
      <c r="A206" s="1223" t="s">
        <v>105</v>
      </c>
      <c r="B206" s="1224" t="s">
        <v>240</v>
      </c>
      <c r="C206" s="1224" t="s">
        <v>253</v>
      </c>
      <c r="D206" s="1224" t="s">
        <v>265</v>
      </c>
      <c r="E206" s="1224" t="s">
        <v>275</v>
      </c>
      <c r="F206" s="1224" t="s">
        <v>284</v>
      </c>
      <c r="G206" s="1224" t="s">
        <v>292</v>
      </c>
      <c r="H206" s="1225" t="s">
        <v>297</v>
      </c>
      <c r="I206" s="1225" t="s">
        <v>302</v>
      </c>
      <c r="J206" s="1228" t="s">
        <v>305</v>
      </c>
      <c r="K206" s="1228" t="s">
        <v>308</v>
      </c>
      <c r="L206" s="1228" t="s">
        <v>311</v>
      </c>
      <c r="M206" s="1228" t="s">
        <v>314</v>
      </c>
    </row>
    <row r="207" spans="1:13">
      <c r="A207" s="1223">
        <v>0.1</v>
      </c>
      <c r="B207" s="1226">
        <v>12.172000000000001</v>
      </c>
      <c r="C207" s="1226">
        <v>12.172000000000001</v>
      </c>
      <c r="D207" s="1226">
        <v>12.375999999999999</v>
      </c>
      <c r="E207" s="1226">
        <v>12.375999999999999</v>
      </c>
      <c r="F207" s="1226">
        <v>12.375999999999999</v>
      </c>
      <c r="G207" s="1226">
        <v>12.375999999999999</v>
      </c>
      <c r="H207" s="1226">
        <v>12.375999999999999</v>
      </c>
      <c r="I207" s="1226">
        <v>11.071999999999999</v>
      </c>
      <c r="J207" s="1226">
        <v>11.071999999999999</v>
      </c>
      <c r="K207" s="1226">
        <v>11.071999999999999</v>
      </c>
      <c r="L207" s="1226">
        <v>11.071999999999999</v>
      </c>
      <c r="M207" s="1226">
        <v>11.071999999999999</v>
      </c>
    </row>
    <row r="208" spans="1:13">
      <c r="A208" s="1223">
        <v>0.2</v>
      </c>
      <c r="B208" s="1226">
        <v>6.0860000000000003</v>
      </c>
      <c r="C208" s="1226">
        <v>6.0860000000000003</v>
      </c>
      <c r="D208" s="1226">
        <v>6.1879999999999997</v>
      </c>
      <c r="E208" s="1226">
        <v>6.1879999999999997</v>
      </c>
      <c r="F208" s="1226">
        <v>6.1879999999999997</v>
      </c>
      <c r="G208" s="1226">
        <v>6.1879999999999997</v>
      </c>
      <c r="H208" s="1226">
        <v>6.1879999999999997</v>
      </c>
      <c r="I208" s="1226">
        <v>5.5359999999999996</v>
      </c>
      <c r="J208" s="1226">
        <v>5.5359999999999996</v>
      </c>
      <c r="K208" s="1226">
        <v>5.5359999999999996</v>
      </c>
      <c r="L208" s="1226">
        <v>5.5359999999999996</v>
      </c>
      <c r="M208" s="1226">
        <v>5.5359999999999996</v>
      </c>
    </row>
    <row r="209" spans="1:13">
      <c r="A209" s="1223">
        <v>0.3</v>
      </c>
      <c r="B209" s="1226">
        <v>4.0572999999999997</v>
      </c>
      <c r="C209" s="1226">
        <v>4.0572999999999997</v>
      </c>
      <c r="D209" s="1226">
        <v>4.1253000000000002</v>
      </c>
      <c r="E209" s="1226">
        <v>4.1253000000000002</v>
      </c>
      <c r="F209" s="1226">
        <v>4.1253000000000002</v>
      </c>
      <c r="G209" s="1226">
        <v>4.1253000000000002</v>
      </c>
      <c r="H209" s="1226">
        <v>4.1253000000000002</v>
      </c>
      <c r="I209" s="1226">
        <v>3.6907000000000001</v>
      </c>
      <c r="J209" s="1226">
        <v>3.6907000000000001</v>
      </c>
      <c r="K209" s="1226">
        <v>3.6907000000000001</v>
      </c>
      <c r="L209" s="1226">
        <v>3.6907000000000001</v>
      </c>
      <c r="M209" s="1226">
        <v>3.6907000000000001</v>
      </c>
    </row>
    <row r="210" spans="1:13">
      <c r="A210" s="1223">
        <v>0.4</v>
      </c>
      <c r="B210" s="1226">
        <v>3.0430000000000001</v>
      </c>
      <c r="C210" s="1226">
        <v>3.0430000000000001</v>
      </c>
      <c r="D210" s="1226">
        <v>3.0939999999999999</v>
      </c>
      <c r="E210" s="1226">
        <v>3.0939999999999999</v>
      </c>
      <c r="F210" s="1226">
        <v>3.0939999999999999</v>
      </c>
      <c r="G210" s="1226">
        <v>3.0939999999999999</v>
      </c>
      <c r="H210" s="1226">
        <v>3.0939999999999999</v>
      </c>
      <c r="I210" s="1226">
        <v>2.7679999999999998</v>
      </c>
      <c r="J210" s="1226">
        <v>2.7679999999999998</v>
      </c>
      <c r="K210" s="1226">
        <v>2.7679999999999998</v>
      </c>
      <c r="L210" s="1226">
        <v>2.7679999999999998</v>
      </c>
      <c r="M210" s="1226">
        <v>2.7679999999999998</v>
      </c>
    </row>
    <row r="211" spans="1:13">
      <c r="A211" s="1223">
        <v>0.5</v>
      </c>
      <c r="B211" s="1226">
        <v>2.4344000000000001</v>
      </c>
      <c r="C211" s="1226">
        <v>2.4344000000000001</v>
      </c>
      <c r="D211" s="1226">
        <v>2.4752000000000001</v>
      </c>
      <c r="E211" s="1226">
        <v>2.4752000000000001</v>
      </c>
      <c r="F211" s="1226">
        <v>2.4752000000000001</v>
      </c>
      <c r="G211" s="1226">
        <v>2.4752000000000001</v>
      </c>
      <c r="H211" s="1226">
        <v>2.4752000000000001</v>
      </c>
      <c r="I211" s="1226">
        <v>2.2143999999999999</v>
      </c>
      <c r="J211" s="1226">
        <v>2.2143999999999999</v>
      </c>
      <c r="K211" s="1226">
        <v>2.2143999999999999</v>
      </c>
      <c r="L211" s="1226">
        <v>2.2143999999999999</v>
      </c>
      <c r="M211" s="1226">
        <v>2.2143999999999999</v>
      </c>
    </row>
    <row r="212" spans="1:13">
      <c r="A212" s="1223">
        <v>0.6</v>
      </c>
      <c r="B212" s="1226">
        <v>2.0287000000000002</v>
      </c>
      <c r="C212" s="1226">
        <v>2.0287000000000002</v>
      </c>
      <c r="D212" s="1226">
        <v>2.0627</v>
      </c>
      <c r="E212" s="1226">
        <v>2.0627</v>
      </c>
      <c r="F212" s="1226">
        <v>2.0627</v>
      </c>
      <c r="G212" s="1226">
        <v>2.0627</v>
      </c>
      <c r="H212" s="1226">
        <v>2.0627</v>
      </c>
      <c r="I212" s="1226">
        <v>1.8452999999999999</v>
      </c>
      <c r="J212" s="1226">
        <v>1.8452999999999999</v>
      </c>
      <c r="K212" s="1226">
        <v>1.8452999999999999</v>
      </c>
      <c r="L212" s="1226">
        <v>1.8452999999999999</v>
      </c>
      <c r="M212" s="1226">
        <v>1.8452999999999999</v>
      </c>
    </row>
    <row r="213" spans="1:13">
      <c r="A213" s="1223">
        <v>0.7</v>
      </c>
      <c r="B213" s="1226">
        <v>1.7388999999999999</v>
      </c>
      <c r="C213" s="1226">
        <v>1.7388999999999999</v>
      </c>
      <c r="D213" s="1226">
        <v>1.768</v>
      </c>
      <c r="E213" s="1226">
        <v>1.768</v>
      </c>
      <c r="F213" s="1226">
        <v>1.768</v>
      </c>
      <c r="G213" s="1226">
        <v>1.768</v>
      </c>
      <c r="H213" s="1226">
        <v>1.768</v>
      </c>
      <c r="I213" s="1226">
        <v>1.5817000000000001</v>
      </c>
      <c r="J213" s="1226">
        <v>1.5817000000000001</v>
      </c>
      <c r="K213" s="1226">
        <v>1.5817000000000001</v>
      </c>
      <c r="L213" s="1226">
        <v>1.5817000000000001</v>
      </c>
      <c r="M213" s="1226">
        <v>1.5817000000000001</v>
      </c>
    </row>
    <row r="214" spans="1:13">
      <c r="A214" s="1223">
        <v>0.8</v>
      </c>
      <c r="B214" s="1226">
        <v>1.5215000000000001</v>
      </c>
      <c r="C214" s="1226">
        <v>1.5215000000000001</v>
      </c>
      <c r="D214" s="1226">
        <v>1.5469999999999999</v>
      </c>
      <c r="E214" s="1226">
        <v>1.5469999999999999</v>
      </c>
      <c r="F214" s="1226">
        <v>1.5469999999999999</v>
      </c>
      <c r="G214" s="1226">
        <v>1.5469999999999999</v>
      </c>
      <c r="H214" s="1226">
        <v>1.5469999999999999</v>
      </c>
      <c r="I214" s="1226">
        <v>1.3839999999999999</v>
      </c>
      <c r="J214" s="1226">
        <v>1.3839999999999999</v>
      </c>
      <c r="K214" s="1226">
        <v>1.3839999999999999</v>
      </c>
      <c r="L214" s="1226">
        <v>1.3839999999999999</v>
      </c>
      <c r="M214" s="1226">
        <v>1.3839999999999999</v>
      </c>
    </row>
    <row r="215" spans="1:13">
      <c r="A215" s="1223">
        <v>0.9</v>
      </c>
      <c r="B215" s="1226">
        <v>1.3524</v>
      </c>
      <c r="C215" s="1226">
        <v>1.3524</v>
      </c>
      <c r="D215" s="1226">
        <v>1.3751</v>
      </c>
      <c r="E215" s="1226">
        <v>1.3751</v>
      </c>
      <c r="F215" s="1226">
        <v>1.3751</v>
      </c>
      <c r="G215" s="1226">
        <v>1.3751</v>
      </c>
      <c r="H215" s="1226">
        <v>1.3751</v>
      </c>
      <c r="I215" s="1226">
        <v>1.2302</v>
      </c>
      <c r="J215" s="1226">
        <v>1.2302</v>
      </c>
      <c r="K215" s="1226">
        <v>1.2302</v>
      </c>
      <c r="L215" s="1226">
        <v>1.2302</v>
      </c>
      <c r="M215" s="1226">
        <v>1.2302</v>
      </c>
    </row>
    <row r="216" spans="1:13">
      <c r="A216" s="1223">
        <v>1</v>
      </c>
      <c r="B216" s="1226">
        <v>1.2172000000000001</v>
      </c>
      <c r="C216" s="1226">
        <v>1.2172000000000001</v>
      </c>
      <c r="D216" s="1226">
        <v>1.2376</v>
      </c>
      <c r="E216" s="1226">
        <v>1.2376</v>
      </c>
      <c r="F216" s="1226">
        <v>1.2376</v>
      </c>
      <c r="G216" s="1226">
        <v>1.2376</v>
      </c>
      <c r="H216" s="1226">
        <v>1.2376</v>
      </c>
      <c r="I216" s="1226">
        <v>1.1072</v>
      </c>
      <c r="J216" s="1226">
        <v>1.1072</v>
      </c>
      <c r="K216" s="1226">
        <v>1.1072</v>
      </c>
      <c r="L216" s="1226">
        <v>1.1072</v>
      </c>
      <c r="M216" s="1226">
        <v>1.1072</v>
      </c>
    </row>
    <row r="217" spans="1:13">
      <c r="A217" s="1223">
        <v>1.1000000000000001</v>
      </c>
      <c r="B217" s="1226">
        <v>1.198</v>
      </c>
      <c r="C217" s="1226">
        <v>1.198</v>
      </c>
      <c r="D217" s="1226">
        <v>1.2156</v>
      </c>
      <c r="E217" s="1226">
        <v>1.2156</v>
      </c>
      <c r="F217" s="1226">
        <v>1.2156</v>
      </c>
      <c r="G217" s="1226">
        <v>1.2156</v>
      </c>
      <c r="H217" s="1226">
        <v>1.2156</v>
      </c>
      <c r="I217" s="1226">
        <v>1.0829</v>
      </c>
      <c r="J217" s="1226">
        <v>1.0829</v>
      </c>
      <c r="K217" s="1226">
        <v>1.0829</v>
      </c>
      <c r="L217" s="1226">
        <v>1.0829</v>
      </c>
      <c r="M217" s="1226">
        <v>1.0829</v>
      </c>
    </row>
    <row r="218" spans="1:13">
      <c r="A218" s="1223">
        <v>1.2</v>
      </c>
      <c r="B218" s="1226">
        <v>1.1795</v>
      </c>
      <c r="C218" s="1226">
        <v>1.1795</v>
      </c>
      <c r="D218" s="1226">
        <v>1.1947000000000001</v>
      </c>
      <c r="E218" s="1226">
        <v>1.1947000000000001</v>
      </c>
      <c r="F218" s="1226">
        <v>1.1947000000000001</v>
      </c>
      <c r="G218" s="1226">
        <v>1.1947000000000001</v>
      </c>
      <c r="H218" s="1226">
        <v>1.1947000000000001</v>
      </c>
      <c r="I218" s="1226">
        <v>1.0601</v>
      </c>
      <c r="J218" s="1226">
        <v>1.0601</v>
      </c>
      <c r="K218" s="1226">
        <v>1.0601</v>
      </c>
      <c r="L218" s="1226">
        <v>1.0601</v>
      </c>
      <c r="M218" s="1226">
        <v>1.0601</v>
      </c>
    </row>
    <row r="219" spans="1:13">
      <c r="A219" s="1223">
        <v>1.3</v>
      </c>
      <c r="B219" s="1226">
        <v>1.1617999999999999</v>
      </c>
      <c r="C219" s="1226">
        <v>1.1617999999999999</v>
      </c>
      <c r="D219" s="1226">
        <v>1.1748000000000001</v>
      </c>
      <c r="E219" s="1226">
        <v>1.1748000000000001</v>
      </c>
      <c r="F219" s="1226">
        <v>1.1748000000000001</v>
      </c>
      <c r="G219" s="1226">
        <v>1.1748000000000001</v>
      </c>
      <c r="H219" s="1226">
        <v>1.1748000000000001</v>
      </c>
      <c r="I219" s="1226">
        <v>1.0387999999999999</v>
      </c>
      <c r="J219" s="1226">
        <v>1.0387999999999999</v>
      </c>
      <c r="K219" s="1226">
        <v>1.0387999999999999</v>
      </c>
      <c r="L219" s="1226">
        <v>1.0387999999999999</v>
      </c>
      <c r="M219" s="1226">
        <v>1.0387999999999999</v>
      </c>
    </row>
    <row r="220" spans="1:13">
      <c r="A220" s="1223">
        <v>1.4</v>
      </c>
      <c r="B220" s="1226">
        <v>1.1448</v>
      </c>
      <c r="C220" s="1226">
        <v>1.1448</v>
      </c>
      <c r="D220" s="1226">
        <v>1.1557999999999999</v>
      </c>
      <c r="E220" s="1226">
        <v>1.1557999999999999</v>
      </c>
      <c r="F220" s="1226">
        <v>1.1557999999999999</v>
      </c>
      <c r="G220" s="1226">
        <v>1.1557999999999999</v>
      </c>
      <c r="H220" s="1226">
        <v>1.1557999999999999</v>
      </c>
      <c r="I220" s="1226">
        <v>1.0187999999999999</v>
      </c>
      <c r="J220" s="1226">
        <v>1.0187999999999999</v>
      </c>
      <c r="K220" s="1226">
        <v>1.0187999999999999</v>
      </c>
      <c r="L220" s="1226">
        <v>1.0187999999999999</v>
      </c>
      <c r="M220" s="1226">
        <v>1.0187999999999999</v>
      </c>
    </row>
    <row r="221" spans="1:13">
      <c r="A221" s="1223">
        <v>1.5</v>
      </c>
      <c r="B221" s="1226">
        <v>1.1285000000000001</v>
      </c>
      <c r="C221" s="1226">
        <v>1.1285000000000001</v>
      </c>
      <c r="D221" s="1226">
        <v>1.1377999999999999</v>
      </c>
      <c r="E221" s="1226">
        <v>1.1377999999999999</v>
      </c>
      <c r="F221" s="1226">
        <v>1.1377999999999999</v>
      </c>
      <c r="G221" s="1226">
        <v>1.1377999999999999</v>
      </c>
      <c r="H221" s="1226">
        <v>1.1377999999999999</v>
      </c>
      <c r="I221" s="1226">
        <v>1</v>
      </c>
      <c r="J221" s="1226">
        <v>1</v>
      </c>
      <c r="K221" s="1226">
        <v>1</v>
      </c>
      <c r="L221" s="1226">
        <v>1</v>
      </c>
      <c r="M221" s="1226">
        <v>1</v>
      </c>
    </row>
    <row r="222" spans="1:13">
      <c r="A222" s="1223">
        <v>1.6</v>
      </c>
      <c r="B222" s="1226">
        <v>1.1129</v>
      </c>
      <c r="C222" s="1226">
        <v>1.1129</v>
      </c>
      <c r="D222" s="1226">
        <v>1.1206</v>
      </c>
      <c r="E222" s="1226">
        <v>1.1206</v>
      </c>
      <c r="F222" s="1226">
        <v>1.1206</v>
      </c>
      <c r="G222" s="1226">
        <v>1.1206</v>
      </c>
      <c r="H222" s="1226">
        <v>1.1206</v>
      </c>
      <c r="I222" s="1226">
        <v>0.98240000000000005</v>
      </c>
      <c r="J222" s="1226">
        <v>0.98240000000000005</v>
      </c>
      <c r="K222" s="1226">
        <v>0.98240000000000005</v>
      </c>
      <c r="L222" s="1226">
        <v>0.98240000000000005</v>
      </c>
      <c r="M222" s="1226">
        <v>0.98240000000000005</v>
      </c>
    </row>
    <row r="223" spans="1:13">
      <c r="A223" s="1223">
        <v>1.7</v>
      </c>
      <c r="B223" s="1226">
        <v>1.0980000000000001</v>
      </c>
      <c r="C223" s="1226">
        <v>1.0980000000000001</v>
      </c>
      <c r="D223" s="1226">
        <v>1.1043000000000001</v>
      </c>
      <c r="E223" s="1226">
        <v>1.1043000000000001</v>
      </c>
      <c r="F223" s="1226">
        <v>1.1043000000000001</v>
      </c>
      <c r="G223" s="1226">
        <v>1.1043000000000001</v>
      </c>
      <c r="H223" s="1226">
        <v>1.1043000000000001</v>
      </c>
      <c r="I223" s="1226">
        <v>0.96579999999999999</v>
      </c>
      <c r="J223" s="1226">
        <v>0.96579999999999999</v>
      </c>
      <c r="K223" s="1226">
        <v>0.96579999999999999</v>
      </c>
      <c r="L223" s="1226">
        <v>0.96579999999999999</v>
      </c>
      <c r="M223" s="1226">
        <v>0.96579999999999999</v>
      </c>
    </row>
    <row r="224" spans="1:13">
      <c r="A224" s="1223">
        <v>1.8</v>
      </c>
      <c r="B224" s="1226">
        <v>1.0835999999999999</v>
      </c>
      <c r="C224" s="1226">
        <v>1.0835999999999999</v>
      </c>
      <c r="D224" s="1226">
        <v>1.0888</v>
      </c>
      <c r="E224" s="1226">
        <v>1.0888</v>
      </c>
      <c r="F224" s="1226">
        <v>1.0888</v>
      </c>
      <c r="G224" s="1226">
        <v>1.0888</v>
      </c>
      <c r="H224" s="1226">
        <v>1.0888</v>
      </c>
      <c r="I224" s="1226">
        <v>0.95030000000000003</v>
      </c>
      <c r="J224" s="1226">
        <v>0.95030000000000003</v>
      </c>
      <c r="K224" s="1226">
        <v>0.95030000000000003</v>
      </c>
      <c r="L224" s="1226">
        <v>0.95030000000000003</v>
      </c>
      <c r="M224" s="1226">
        <v>0.95030000000000003</v>
      </c>
    </row>
    <row r="225" spans="1:13">
      <c r="A225" s="1223">
        <v>1.9</v>
      </c>
      <c r="B225" s="1226">
        <v>1.0698000000000001</v>
      </c>
      <c r="C225" s="1226">
        <v>1.0698000000000001</v>
      </c>
      <c r="D225" s="1226">
        <v>1.0741000000000001</v>
      </c>
      <c r="E225" s="1226">
        <v>1.0741000000000001</v>
      </c>
      <c r="F225" s="1226">
        <v>1.0741000000000001</v>
      </c>
      <c r="G225" s="1226">
        <v>1.0741000000000001</v>
      </c>
      <c r="H225" s="1226">
        <v>1.0741000000000001</v>
      </c>
      <c r="I225" s="1226">
        <v>0.93610000000000004</v>
      </c>
      <c r="J225" s="1226">
        <v>0.93610000000000004</v>
      </c>
      <c r="K225" s="1226">
        <v>0.93610000000000004</v>
      </c>
      <c r="L225" s="1226">
        <v>0.93610000000000004</v>
      </c>
      <c r="M225" s="1226">
        <v>0.93610000000000004</v>
      </c>
    </row>
    <row r="226" spans="1:13">
      <c r="A226" s="1223">
        <v>2</v>
      </c>
      <c r="B226" s="1226">
        <v>1.0568</v>
      </c>
      <c r="C226" s="1226">
        <v>1.0568</v>
      </c>
      <c r="D226" s="1226">
        <v>1.0601</v>
      </c>
      <c r="E226" s="1226">
        <v>1.0601</v>
      </c>
      <c r="F226" s="1226">
        <v>1.0601</v>
      </c>
      <c r="G226" s="1226">
        <v>1.0601</v>
      </c>
      <c r="H226" s="1226">
        <v>1.0601</v>
      </c>
      <c r="I226" s="1226">
        <v>0.9224</v>
      </c>
      <c r="J226" s="1226">
        <v>0.9224</v>
      </c>
      <c r="K226" s="1226">
        <v>0.9224</v>
      </c>
      <c r="L226" s="1226">
        <v>0.9224</v>
      </c>
      <c r="M226" s="1226">
        <v>0.9224</v>
      </c>
    </row>
    <row r="227" spans="1:13">
      <c r="A227" s="1227">
        <v>2.1</v>
      </c>
      <c r="B227" s="1226">
        <v>1.0443</v>
      </c>
      <c r="C227" s="1226">
        <v>1.0443</v>
      </c>
      <c r="D227" s="1226">
        <v>1.0468</v>
      </c>
      <c r="E227" s="1226">
        <v>1.0468</v>
      </c>
      <c r="F227" s="1226">
        <v>1.0468</v>
      </c>
      <c r="G227" s="1226">
        <v>1.0468</v>
      </c>
      <c r="H227" s="1226">
        <v>1.0468</v>
      </c>
      <c r="I227" s="1226">
        <v>0.90959999999999996</v>
      </c>
      <c r="J227" s="1226">
        <v>0.90959999999999996</v>
      </c>
      <c r="K227" s="1226">
        <v>0.90959999999999996</v>
      </c>
      <c r="L227" s="1226">
        <v>0.90959999999999996</v>
      </c>
      <c r="M227" s="1226">
        <v>0.90959999999999996</v>
      </c>
    </row>
    <row r="228" spans="1:13">
      <c r="A228" s="1227">
        <v>2.2000000000000002</v>
      </c>
      <c r="B228" s="1226">
        <v>1.0325</v>
      </c>
      <c r="C228" s="1226">
        <v>1.0325</v>
      </c>
      <c r="D228" s="1226">
        <v>1.0342</v>
      </c>
      <c r="E228" s="1226">
        <v>1.0342</v>
      </c>
      <c r="F228" s="1226">
        <v>1.0342</v>
      </c>
      <c r="G228" s="1226">
        <v>1.0342</v>
      </c>
      <c r="H228" s="1226">
        <v>1.0342</v>
      </c>
      <c r="I228" s="1226">
        <v>0.89749999999999996</v>
      </c>
      <c r="J228" s="1226">
        <v>0.89749999999999996</v>
      </c>
      <c r="K228" s="1226">
        <v>0.89749999999999996</v>
      </c>
      <c r="L228" s="1226">
        <v>0.89749999999999996</v>
      </c>
      <c r="M228" s="1226">
        <v>0.89749999999999996</v>
      </c>
    </row>
    <row r="229" spans="1:13">
      <c r="A229" s="1227">
        <v>2.2999999999999998</v>
      </c>
      <c r="B229" s="1226">
        <v>1.0209999999999999</v>
      </c>
      <c r="C229" s="1226">
        <v>1.0209999999999999</v>
      </c>
      <c r="D229" s="1226">
        <v>1.0222</v>
      </c>
      <c r="E229" s="1226">
        <v>1.0222</v>
      </c>
      <c r="F229" s="1226">
        <v>1.0222</v>
      </c>
      <c r="G229" s="1226">
        <v>1.0222</v>
      </c>
      <c r="H229" s="1226">
        <v>1.0222</v>
      </c>
      <c r="I229" s="1226">
        <v>0.88619999999999999</v>
      </c>
      <c r="J229" s="1226">
        <v>0.88619999999999999</v>
      </c>
      <c r="K229" s="1226">
        <v>0.88619999999999999</v>
      </c>
      <c r="L229" s="1226">
        <v>0.88619999999999999</v>
      </c>
      <c r="M229" s="1226">
        <v>0.88619999999999999</v>
      </c>
    </row>
    <row r="230" spans="1:13">
      <c r="A230" s="1227">
        <v>2.4</v>
      </c>
      <c r="B230" s="1226">
        <v>1.0102</v>
      </c>
      <c r="C230" s="1226">
        <v>1.0102</v>
      </c>
      <c r="D230" s="1226">
        <v>1.0107999999999999</v>
      </c>
      <c r="E230" s="1226">
        <v>1.0107999999999999</v>
      </c>
      <c r="F230" s="1226">
        <v>1.0107999999999999</v>
      </c>
      <c r="G230" s="1226">
        <v>1.0107999999999999</v>
      </c>
      <c r="H230" s="1226">
        <v>1.0107999999999999</v>
      </c>
      <c r="I230" s="1226">
        <v>0.87529999999999997</v>
      </c>
      <c r="J230" s="1226">
        <v>0.87529999999999997</v>
      </c>
      <c r="K230" s="1226">
        <v>0.87529999999999997</v>
      </c>
      <c r="L230" s="1226">
        <v>0.87529999999999997</v>
      </c>
      <c r="M230" s="1226">
        <v>0.87529999999999997</v>
      </c>
    </row>
    <row r="231" spans="1:13">
      <c r="A231" s="1227">
        <v>2.5</v>
      </c>
      <c r="B231" s="1226">
        <v>1</v>
      </c>
      <c r="C231" s="1226">
        <v>1</v>
      </c>
      <c r="D231" s="1226">
        <v>1</v>
      </c>
      <c r="E231" s="1226">
        <v>1</v>
      </c>
      <c r="F231" s="1226">
        <v>1</v>
      </c>
      <c r="G231" s="1226">
        <v>1</v>
      </c>
      <c r="H231" s="1226">
        <v>1</v>
      </c>
      <c r="I231" s="1226">
        <v>0.86509999999999998</v>
      </c>
      <c r="J231" s="1226">
        <v>0.86509999999999998</v>
      </c>
      <c r="K231" s="1226">
        <v>0.86509999999999998</v>
      </c>
      <c r="L231" s="1226">
        <v>0.86509999999999998</v>
      </c>
      <c r="M231" s="1226">
        <v>0.86509999999999998</v>
      </c>
    </row>
    <row r="232" spans="1:13">
      <c r="A232" s="1227">
        <v>2.6</v>
      </c>
      <c r="B232" s="1226">
        <v>0.99029999999999996</v>
      </c>
      <c r="C232" s="1226">
        <v>0.99029999999999996</v>
      </c>
      <c r="D232" s="1226">
        <v>0.98970000000000002</v>
      </c>
      <c r="E232" s="1226">
        <v>0.98970000000000002</v>
      </c>
      <c r="F232" s="1226">
        <v>0.98970000000000002</v>
      </c>
      <c r="G232" s="1226">
        <v>0.98970000000000002</v>
      </c>
      <c r="H232" s="1226">
        <v>0.98970000000000002</v>
      </c>
      <c r="I232" s="1226">
        <v>0.85529999999999995</v>
      </c>
      <c r="J232" s="1226">
        <v>0.85529999999999995</v>
      </c>
      <c r="K232" s="1226">
        <v>0.85529999999999995</v>
      </c>
      <c r="L232" s="1226">
        <v>0.85529999999999995</v>
      </c>
      <c r="M232" s="1226">
        <v>0.85529999999999995</v>
      </c>
    </row>
    <row r="233" spans="1:13">
      <c r="A233" s="1227">
        <v>2.7</v>
      </c>
      <c r="B233" s="1226">
        <v>0.98109999999999997</v>
      </c>
      <c r="C233" s="1226">
        <v>0.98109999999999997</v>
      </c>
      <c r="D233" s="1226">
        <v>0.97989999999999999</v>
      </c>
      <c r="E233" s="1226">
        <v>0.97989999999999999</v>
      </c>
      <c r="F233" s="1226">
        <v>0.97989999999999999</v>
      </c>
      <c r="G233" s="1226">
        <v>0.97989999999999999</v>
      </c>
      <c r="H233" s="1226">
        <v>0.97989999999999999</v>
      </c>
      <c r="I233" s="1226">
        <v>0.84599999999999997</v>
      </c>
      <c r="J233" s="1226">
        <v>0.84599999999999997</v>
      </c>
      <c r="K233" s="1226">
        <v>0.84599999999999997</v>
      </c>
      <c r="L233" s="1226">
        <v>0.84599999999999997</v>
      </c>
      <c r="M233" s="1226">
        <v>0.84599999999999997</v>
      </c>
    </row>
    <row r="234" spans="1:13">
      <c r="A234" s="1227">
        <v>2.8</v>
      </c>
      <c r="B234" s="1226">
        <v>0.97240000000000004</v>
      </c>
      <c r="C234" s="1226">
        <v>0.97240000000000004</v>
      </c>
      <c r="D234" s="1226">
        <v>0.97060000000000002</v>
      </c>
      <c r="E234" s="1226">
        <v>0.97060000000000002</v>
      </c>
      <c r="F234" s="1226">
        <v>0.97060000000000002</v>
      </c>
      <c r="G234" s="1226">
        <v>0.97060000000000002</v>
      </c>
      <c r="H234" s="1226">
        <v>0.97060000000000002</v>
      </c>
      <c r="I234" s="1226">
        <v>0.83709999999999996</v>
      </c>
      <c r="J234" s="1226">
        <v>0.83709999999999996</v>
      </c>
      <c r="K234" s="1226">
        <v>0.83709999999999996</v>
      </c>
      <c r="L234" s="1226">
        <v>0.83709999999999996</v>
      </c>
      <c r="M234" s="1226">
        <v>0.83709999999999996</v>
      </c>
    </row>
    <row r="235" spans="1:13">
      <c r="A235" s="1227">
        <v>2.9</v>
      </c>
      <c r="B235" s="1226">
        <v>0.96419999999999995</v>
      </c>
      <c r="C235" s="1226">
        <v>0.96419999999999995</v>
      </c>
      <c r="D235" s="1226">
        <v>0.96179999999999999</v>
      </c>
      <c r="E235" s="1226">
        <v>0.96179999999999999</v>
      </c>
      <c r="F235" s="1226">
        <v>0.96179999999999999</v>
      </c>
      <c r="G235" s="1226">
        <v>0.96179999999999999</v>
      </c>
      <c r="H235" s="1226">
        <v>0.96179999999999999</v>
      </c>
      <c r="I235" s="1226">
        <v>0.82850000000000001</v>
      </c>
      <c r="J235" s="1226">
        <v>0.82850000000000001</v>
      </c>
      <c r="K235" s="1226">
        <v>0.82850000000000001</v>
      </c>
      <c r="L235" s="1226">
        <v>0.82850000000000001</v>
      </c>
      <c r="M235" s="1226">
        <v>0.82850000000000001</v>
      </c>
    </row>
    <row r="236" spans="1:13">
      <c r="A236" s="1227">
        <v>3</v>
      </c>
      <c r="B236" s="1226">
        <v>0.95640000000000003</v>
      </c>
      <c r="C236" s="1226">
        <v>0.95640000000000003</v>
      </c>
      <c r="D236" s="1226">
        <v>0.95340000000000003</v>
      </c>
      <c r="E236" s="1226">
        <v>0.95340000000000003</v>
      </c>
      <c r="F236" s="1226">
        <v>0.95340000000000003</v>
      </c>
      <c r="G236" s="1226">
        <v>0.95340000000000003</v>
      </c>
      <c r="H236" s="1226">
        <v>0.95340000000000003</v>
      </c>
      <c r="I236" s="1226">
        <v>0.82040000000000002</v>
      </c>
      <c r="J236" s="1226">
        <v>0.82040000000000002</v>
      </c>
      <c r="K236" s="1226">
        <v>0.82040000000000002</v>
      </c>
      <c r="L236" s="1226">
        <v>0.82040000000000002</v>
      </c>
      <c r="M236" s="1226">
        <v>0.82040000000000002</v>
      </c>
    </row>
    <row r="237" spans="1:13">
      <c r="A237" s="1227">
        <v>3.1</v>
      </c>
      <c r="B237" s="1226">
        <v>0.94899999999999995</v>
      </c>
      <c r="C237" s="1226">
        <v>0.94899999999999995</v>
      </c>
      <c r="D237" s="1226">
        <v>0.94550000000000001</v>
      </c>
      <c r="E237" s="1226">
        <v>0.94550000000000001</v>
      </c>
      <c r="F237" s="1226">
        <v>0.94550000000000001</v>
      </c>
      <c r="G237" s="1226">
        <v>0.94550000000000001</v>
      </c>
      <c r="H237" s="1226">
        <v>0.94550000000000001</v>
      </c>
      <c r="I237" s="1226">
        <v>0.81259999999999999</v>
      </c>
      <c r="J237" s="1226">
        <v>0.81259999999999999</v>
      </c>
      <c r="K237" s="1226">
        <v>0.81259999999999999</v>
      </c>
      <c r="L237" s="1226">
        <v>0.81259999999999999</v>
      </c>
      <c r="M237" s="1226">
        <v>0.81259999999999999</v>
      </c>
    </row>
    <row r="238" spans="1:13">
      <c r="A238" s="1227">
        <v>3.2</v>
      </c>
      <c r="B238" s="1226">
        <v>0.94199999999999995</v>
      </c>
      <c r="C238" s="1226">
        <v>0.94199999999999995</v>
      </c>
      <c r="D238" s="1226">
        <v>0.93789999999999996</v>
      </c>
      <c r="E238" s="1226">
        <v>0.93789999999999996</v>
      </c>
      <c r="F238" s="1226">
        <v>0.93789999999999996</v>
      </c>
      <c r="G238" s="1226">
        <v>0.93789999999999996</v>
      </c>
      <c r="H238" s="1226">
        <v>0.93789999999999996</v>
      </c>
      <c r="I238" s="1226">
        <v>0.80530000000000002</v>
      </c>
      <c r="J238" s="1226">
        <v>0.80530000000000002</v>
      </c>
      <c r="K238" s="1226">
        <v>0.80530000000000002</v>
      </c>
      <c r="L238" s="1226">
        <v>0.80530000000000002</v>
      </c>
      <c r="M238" s="1226">
        <v>0.80530000000000002</v>
      </c>
    </row>
    <row r="239" spans="1:13">
      <c r="A239" s="1227">
        <v>3.3</v>
      </c>
      <c r="B239" s="1226">
        <v>0.93540000000000001</v>
      </c>
      <c r="C239" s="1226">
        <v>0.93540000000000001</v>
      </c>
      <c r="D239" s="1226">
        <v>0.93069999999999997</v>
      </c>
      <c r="E239" s="1226">
        <v>0.93069999999999997</v>
      </c>
      <c r="F239" s="1226">
        <v>0.93069999999999997</v>
      </c>
      <c r="G239" s="1226">
        <v>0.93069999999999997</v>
      </c>
      <c r="H239" s="1226">
        <v>0.93069999999999997</v>
      </c>
      <c r="I239" s="1226">
        <v>0.79820000000000002</v>
      </c>
      <c r="J239" s="1226">
        <v>0.79820000000000002</v>
      </c>
      <c r="K239" s="1226">
        <v>0.79820000000000002</v>
      </c>
      <c r="L239" s="1226">
        <v>0.79820000000000002</v>
      </c>
      <c r="M239" s="1226">
        <v>0.79820000000000002</v>
      </c>
    </row>
    <row r="240" spans="1:13">
      <c r="A240" s="1227">
        <v>3.4</v>
      </c>
      <c r="B240" s="1226">
        <v>0.92920000000000003</v>
      </c>
      <c r="C240" s="1226">
        <v>0.92920000000000003</v>
      </c>
      <c r="D240" s="1226">
        <v>0.92390000000000005</v>
      </c>
      <c r="E240" s="1226">
        <v>0.92390000000000005</v>
      </c>
      <c r="F240" s="1226">
        <v>0.92390000000000005</v>
      </c>
      <c r="G240" s="1226">
        <v>0.92390000000000005</v>
      </c>
      <c r="H240" s="1226">
        <v>0.92390000000000005</v>
      </c>
      <c r="I240" s="1226">
        <v>0.79139999999999999</v>
      </c>
      <c r="J240" s="1226">
        <v>0.79139999999999999</v>
      </c>
      <c r="K240" s="1226">
        <v>0.79139999999999999</v>
      </c>
      <c r="L240" s="1226">
        <v>0.79139999999999999</v>
      </c>
      <c r="M240" s="1226">
        <v>0.79139999999999999</v>
      </c>
    </row>
    <row r="241" spans="1:13">
      <c r="A241" s="1227">
        <v>3.5</v>
      </c>
      <c r="B241" s="1226">
        <v>0.9234</v>
      </c>
      <c r="C241" s="1226">
        <v>0.9234</v>
      </c>
      <c r="D241" s="1226">
        <v>0.91749999999999998</v>
      </c>
      <c r="E241" s="1226">
        <v>0.91749999999999998</v>
      </c>
      <c r="F241" s="1226">
        <v>0.91749999999999998</v>
      </c>
      <c r="G241" s="1226">
        <v>0.91749999999999998</v>
      </c>
      <c r="H241" s="1226">
        <v>0.91749999999999998</v>
      </c>
      <c r="I241" s="1226">
        <v>0.78490000000000004</v>
      </c>
      <c r="J241" s="1226">
        <v>0.78490000000000004</v>
      </c>
      <c r="K241" s="1226">
        <v>0.78490000000000004</v>
      </c>
      <c r="L241" s="1226">
        <v>0.78490000000000004</v>
      </c>
      <c r="M241" s="1226">
        <v>0.78490000000000004</v>
      </c>
    </row>
    <row r="242" spans="1:13">
      <c r="A242" s="1227">
        <v>3.6</v>
      </c>
      <c r="B242" s="1226">
        <v>0.91790000000000005</v>
      </c>
      <c r="C242" s="1226">
        <v>0.91790000000000005</v>
      </c>
      <c r="D242" s="1226">
        <v>0.91139999999999999</v>
      </c>
      <c r="E242" s="1226">
        <v>0.91139999999999999</v>
      </c>
      <c r="F242" s="1226">
        <v>0.91139999999999999</v>
      </c>
      <c r="G242" s="1226">
        <v>0.91139999999999999</v>
      </c>
      <c r="H242" s="1226">
        <v>0.91139999999999999</v>
      </c>
      <c r="I242" s="1226">
        <v>0.77880000000000005</v>
      </c>
      <c r="J242" s="1226">
        <v>0.77880000000000005</v>
      </c>
      <c r="K242" s="1226">
        <v>0.77880000000000005</v>
      </c>
      <c r="L242" s="1226">
        <v>0.77880000000000005</v>
      </c>
      <c r="M242" s="1226">
        <v>0.77880000000000005</v>
      </c>
    </row>
    <row r="243" spans="1:13">
      <c r="A243" s="1227">
        <v>3.7</v>
      </c>
      <c r="B243" s="1226">
        <v>0.91269999999999996</v>
      </c>
      <c r="C243" s="1226">
        <v>0.91269999999999996</v>
      </c>
      <c r="D243" s="1226">
        <v>0.90559999999999996</v>
      </c>
      <c r="E243" s="1226">
        <v>0.90559999999999996</v>
      </c>
      <c r="F243" s="1226">
        <v>0.90559999999999996</v>
      </c>
      <c r="G243" s="1226">
        <v>0.90559999999999996</v>
      </c>
      <c r="H243" s="1226">
        <v>0.90559999999999996</v>
      </c>
      <c r="I243" s="1226">
        <v>0.77300000000000002</v>
      </c>
      <c r="J243" s="1226">
        <v>0.77300000000000002</v>
      </c>
      <c r="K243" s="1226">
        <v>0.77300000000000002</v>
      </c>
      <c r="L243" s="1226">
        <v>0.77300000000000002</v>
      </c>
      <c r="M243" s="1226">
        <v>0.77300000000000002</v>
      </c>
    </row>
    <row r="244" spans="1:13">
      <c r="A244" s="1227">
        <v>3.8</v>
      </c>
      <c r="B244" s="1226">
        <v>0.90780000000000005</v>
      </c>
      <c r="C244" s="1226">
        <v>0.90780000000000005</v>
      </c>
      <c r="D244" s="1226">
        <v>0.90010000000000001</v>
      </c>
      <c r="E244" s="1226">
        <v>0.90010000000000001</v>
      </c>
      <c r="F244" s="1226">
        <v>0.90010000000000001</v>
      </c>
      <c r="G244" s="1226">
        <v>0.90010000000000001</v>
      </c>
      <c r="H244" s="1226">
        <v>0.90010000000000001</v>
      </c>
      <c r="I244" s="1226">
        <v>0.76739999999999997</v>
      </c>
      <c r="J244" s="1226">
        <v>0.76739999999999997</v>
      </c>
      <c r="K244" s="1226">
        <v>0.76739999999999997</v>
      </c>
      <c r="L244" s="1226">
        <v>0.76739999999999997</v>
      </c>
      <c r="M244" s="1226">
        <v>0.76739999999999997</v>
      </c>
    </row>
    <row r="245" spans="1:13">
      <c r="A245" s="1227">
        <v>3.9</v>
      </c>
      <c r="B245" s="1226">
        <v>0.9032</v>
      </c>
      <c r="C245" s="1226">
        <v>0.9032</v>
      </c>
      <c r="D245" s="1226">
        <v>0.89490000000000003</v>
      </c>
      <c r="E245" s="1226">
        <v>0.89490000000000003</v>
      </c>
      <c r="F245" s="1226">
        <v>0.89490000000000003</v>
      </c>
      <c r="G245" s="1226">
        <v>0.89490000000000003</v>
      </c>
      <c r="H245" s="1226">
        <v>0.89490000000000003</v>
      </c>
      <c r="I245" s="1226">
        <v>0.7621</v>
      </c>
      <c r="J245" s="1226">
        <v>0.7621</v>
      </c>
      <c r="K245" s="1226">
        <v>0.7621</v>
      </c>
      <c r="L245" s="1226">
        <v>0.7621</v>
      </c>
      <c r="M245" s="1226">
        <v>0.7621</v>
      </c>
    </row>
    <row r="246" spans="1:13">
      <c r="A246" s="1227">
        <v>4</v>
      </c>
      <c r="B246" s="1226">
        <v>0.89890000000000003</v>
      </c>
      <c r="C246" s="1226">
        <v>0.89890000000000003</v>
      </c>
      <c r="D246" s="1226">
        <v>0.89</v>
      </c>
      <c r="E246" s="1226">
        <v>0.89</v>
      </c>
      <c r="F246" s="1226">
        <v>0.89</v>
      </c>
      <c r="G246" s="1226">
        <v>0.89</v>
      </c>
      <c r="H246" s="1226">
        <v>0.89</v>
      </c>
      <c r="I246" s="1226">
        <v>0.7571</v>
      </c>
      <c r="J246" s="1226">
        <v>0.7571</v>
      </c>
      <c r="K246" s="1226">
        <v>0.7571</v>
      </c>
      <c r="L246" s="1226">
        <v>0.7571</v>
      </c>
      <c r="M246" s="1226">
        <v>0.7571</v>
      </c>
    </row>
    <row r="247" spans="1:13">
      <c r="A247" s="1227">
        <v>4.0999999999999996</v>
      </c>
      <c r="B247" s="1226">
        <v>0.89480000000000004</v>
      </c>
      <c r="C247" s="1226">
        <v>0.89480000000000004</v>
      </c>
      <c r="D247" s="1226">
        <v>0.88539999999999996</v>
      </c>
      <c r="E247" s="1226">
        <v>0.88539999999999996</v>
      </c>
      <c r="F247" s="1226">
        <v>0.88539999999999996</v>
      </c>
      <c r="G247" s="1226">
        <v>0.88539999999999996</v>
      </c>
      <c r="H247" s="1226">
        <v>0.88539999999999996</v>
      </c>
      <c r="I247" s="1226">
        <v>0.75229999999999997</v>
      </c>
      <c r="J247" s="1226">
        <v>0.75229999999999997</v>
      </c>
      <c r="K247" s="1226">
        <v>0.75229999999999997</v>
      </c>
      <c r="L247" s="1226">
        <v>0.75229999999999997</v>
      </c>
      <c r="M247" s="1226">
        <v>0.75229999999999997</v>
      </c>
    </row>
    <row r="248" spans="1:13">
      <c r="A248" s="1227">
        <v>4.2</v>
      </c>
      <c r="B248" s="1226">
        <v>0.89100000000000001</v>
      </c>
      <c r="C248" s="1226">
        <v>0.89100000000000001</v>
      </c>
      <c r="D248" s="1226">
        <v>0.88109999999999999</v>
      </c>
      <c r="E248" s="1226">
        <v>0.88109999999999999</v>
      </c>
      <c r="F248" s="1226">
        <v>0.88109999999999999</v>
      </c>
      <c r="G248" s="1226">
        <v>0.88109999999999999</v>
      </c>
      <c r="H248" s="1226">
        <v>0.88109999999999999</v>
      </c>
      <c r="I248" s="1226">
        <v>0.74780000000000002</v>
      </c>
      <c r="J248" s="1226">
        <v>0.74780000000000002</v>
      </c>
      <c r="K248" s="1226">
        <v>0.74780000000000002</v>
      </c>
      <c r="L248" s="1226">
        <v>0.74780000000000002</v>
      </c>
      <c r="M248" s="1226">
        <v>0.74780000000000002</v>
      </c>
    </row>
    <row r="249" spans="1:13">
      <c r="A249" s="1227">
        <v>4.3</v>
      </c>
      <c r="B249" s="1226">
        <v>0.88739999999999997</v>
      </c>
      <c r="C249" s="1226">
        <v>0.88739999999999997</v>
      </c>
      <c r="D249" s="1226">
        <v>0.877</v>
      </c>
      <c r="E249" s="1226">
        <v>0.877</v>
      </c>
      <c r="F249" s="1226">
        <v>0.877</v>
      </c>
      <c r="G249" s="1226">
        <v>0.877</v>
      </c>
      <c r="H249" s="1226">
        <v>0.877</v>
      </c>
      <c r="I249" s="1226">
        <v>0.74329999999999996</v>
      </c>
      <c r="J249" s="1226">
        <v>0.74329999999999996</v>
      </c>
      <c r="K249" s="1226">
        <v>0.74329999999999996</v>
      </c>
      <c r="L249" s="1226">
        <v>0.74329999999999996</v>
      </c>
      <c r="M249" s="1226">
        <v>0.74329999999999996</v>
      </c>
    </row>
    <row r="250" spans="1:13">
      <c r="A250" s="1227">
        <v>4.4000000000000004</v>
      </c>
      <c r="B250" s="1226">
        <v>0.88400000000000001</v>
      </c>
      <c r="C250" s="1226">
        <v>0.88400000000000001</v>
      </c>
      <c r="D250" s="1226">
        <v>0.87309999999999999</v>
      </c>
      <c r="E250" s="1226">
        <v>0.87309999999999999</v>
      </c>
      <c r="F250" s="1226">
        <v>0.87309999999999999</v>
      </c>
      <c r="G250" s="1226">
        <v>0.87309999999999999</v>
      </c>
      <c r="H250" s="1226">
        <v>0.87309999999999999</v>
      </c>
      <c r="I250" s="1226">
        <v>0.73909999999999998</v>
      </c>
      <c r="J250" s="1226">
        <v>0.73909999999999998</v>
      </c>
      <c r="K250" s="1226">
        <v>0.73909999999999998</v>
      </c>
      <c r="L250" s="1226">
        <v>0.73909999999999998</v>
      </c>
      <c r="M250" s="1226">
        <v>0.73909999999999998</v>
      </c>
    </row>
    <row r="251" spans="1:13">
      <c r="A251" s="1227">
        <v>4.5</v>
      </c>
      <c r="B251" s="1226">
        <v>0.88080000000000003</v>
      </c>
      <c r="C251" s="1226">
        <v>0.88080000000000003</v>
      </c>
      <c r="D251" s="1226">
        <v>0.86939999999999995</v>
      </c>
      <c r="E251" s="1226">
        <v>0.86939999999999995</v>
      </c>
      <c r="F251" s="1226">
        <v>0.86939999999999995</v>
      </c>
      <c r="G251" s="1226">
        <v>0.86939999999999995</v>
      </c>
      <c r="H251" s="1226">
        <v>0.86939999999999995</v>
      </c>
      <c r="I251" s="1226">
        <v>0.73499999999999999</v>
      </c>
      <c r="J251" s="1226">
        <v>0.73499999999999999</v>
      </c>
      <c r="K251" s="1226">
        <v>0.73499999999999999</v>
      </c>
      <c r="L251" s="1226">
        <v>0.73499999999999999</v>
      </c>
      <c r="M251" s="1226">
        <v>0.73499999999999999</v>
      </c>
    </row>
    <row r="252" spans="1:13">
      <c r="A252" s="1227">
        <v>4.5999999999999996</v>
      </c>
      <c r="B252" s="1226">
        <v>0.87780000000000002</v>
      </c>
      <c r="C252" s="1226">
        <v>0.87780000000000002</v>
      </c>
      <c r="D252" s="1226">
        <v>0.8659</v>
      </c>
      <c r="E252" s="1226">
        <v>0.8659</v>
      </c>
      <c r="F252" s="1226">
        <v>0.8659</v>
      </c>
      <c r="G252" s="1226">
        <v>0.8659</v>
      </c>
      <c r="H252" s="1226">
        <v>0.8659</v>
      </c>
      <c r="I252" s="1226">
        <v>0.73109999999999997</v>
      </c>
      <c r="J252" s="1226">
        <v>0.73109999999999997</v>
      </c>
      <c r="K252" s="1226">
        <v>0.73109999999999997</v>
      </c>
      <c r="L252" s="1226">
        <v>0.73109999999999997</v>
      </c>
      <c r="M252" s="1226">
        <v>0.73109999999999997</v>
      </c>
    </row>
    <row r="253" spans="1:13">
      <c r="A253" s="1227">
        <v>4.7</v>
      </c>
      <c r="B253" s="1226">
        <v>0.875</v>
      </c>
      <c r="C253" s="1226">
        <v>0.875</v>
      </c>
      <c r="D253" s="1226">
        <v>0.86260000000000003</v>
      </c>
      <c r="E253" s="1226">
        <v>0.86260000000000003</v>
      </c>
      <c r="F253" s="1226">
        <v>0.86260000000000003</v>
      </c>
      <c r="G253" s="1226">
        <v>0.86260000000000003</v>
      </c>
      <c r="H253" s="1226">
        <v>0.86260000000000003</v>
      </c>
      <c r="I253" s="1226">
        <v>0.72750000000000004</v>
      </c>
      <c r="J253" s="1226">
        <v>0.72750000000000004</v>
      </c>
      <c r="K253" s="1226">
        <v>0.72750000000000004</v>
      </c>
      <c r="L253" s="1226">
        <v>0.72750000000000004</v>
      </c>
      <c r="M253" s="1226">
        <v>0.72750000000000004</v>
      </c>
    </row>
    <row r="254" spans="1:13">
      <c r="A254" s="1227">
        <v>4.8</v>
      </c>
      <c r="B254" s="1226">
        <v>0.87229999999999996</v>
      </c>
      <c r="C254" s="1226">
        <v>0.87229999999999996</v>
      </c>
      <c r="D254" s="1226">
        <v>0.85950000000000004</v>
      </c>
      <c r="E254" s="1226">
        <v>0.85950000000000004</v>
      </c>
      <c r="F254" s="1226">
        <v>0.85950000000000004</v>
      </c>
      <c r="G254" s="1226">
        <v>0.85950000000000004</v>
      </c>
      <c r="H254" s="1226">
        <v>0.85950000000000004</v>
      </c>
      <c r="I254" s="1226">
        <v>0.72399999999999998</v>
      </c>
      <c r="J254" s="1226">
        <v>0.72399999999999998</v>
      </c>
      <c r="K254" s="1226">
        <v>0.72399999999999998</v>
      </c>
      <c r="L254" s="1226">
        <v>0.72399999999999998</v>
      </c>
      <c r="M254" s="1226">
        <v>0.72399999999999998</v>
      </c>
    </row>
    <row r="255" spans="1:13">
      <c r="A255" s="1227">
        <v>4.9000000000000004</v>
      </c>
      <c r="B255" s="1226">
        <v>0.86980000000000002</v>
      </c>
      <c r="C255" s="1226">
        <v>0.86980000000000002</v>
      </c>
      <c r="D255" s="1226">
        <v>0.85660000000000003</v>
      </c>
      <c r="E255" s="1226">
        <v>0.85660000000000003</v>
      </c>
      <c r="F255" s="1226">
        <v>0.85660000000000003</v>
      </c>
      <c r="G255" s="1226">
        <v>0.85660000000000003</v>
      </c>
      <c r="H255" s="1226">
        <v>0.85660000000000003</v>
      </c>
      <c r="I255" s="1226">
        <v>0.7208</v>
      </c>
      <c r="J255" s="1226">
        <v>0.7208</v>
      </c>
      <c r="K255" s="1226">
        <v>0.7208</v>
      </c>
      <c r="L255" s="1226">
        <v>0.7208</v>
      </c>
      <c r="M255" s="1226">
        <v>0.7208</v>
      </c>
    </row>
    <row r="256" spans="1:13">
      <c r="A256" s="1227">
        <v>5</v>
      </c>
      <c r="B256" s="1226">
        <v>0.86739999999999995</v>
      </c>
      <c r="C256" s="1226">
        <v>0.86739999999999995</v>
      </c>
      <c r="D256" s="1226">
        <v>0.8538</v>
      </c>
      <c r="E256" s="1226">
        <v>0.8538</v>
      </c>
      <c r="F256" s="1226">
        <v>0.8538</v>
      </c>
      <c r="G256" s="1226">
        <v>0.8538</v>
      </c>
      <c r="H256" s="1226">
        <v>0.8538</v>
      </c>
      <c r="I256" s="1226">
        <v>0.71760000000000002</v>
      </c>
      <c r="J256" s="1226">
        <v>0.71760000000000002</v>
      </c>
      <c r="K256" s="1226">
        <v>0.71760000000000002</v>
      </c>
      <c r="L256" s="1226">
        <v>0.71760000000000002</v>
      </c>
      <c r="M256" s="1226">
        <v>0.71760000000000002</v>
      </c>
    </row>
    <row r="257" spans="1:13">
      <c r="A257" s="1223">
        <v>5.0999999999999996</v>
      </c>
      <c r="B257" s="1226">
        <v>0.86519999999999997</v>
      </c>
      <c r="C257" s="1226">
        <v>0.86519999999999997</v>
      </c>
      <c r="D257" s="1226">
        <v>0.85109999999999997</v>
      </c>
      <c r="E257" s="1226">
        <v>0.85109999999999997</v>
      </c>
      <c r="F257" s="1226">
        <v>0.85109999999999997</v>
      </c>
      <c r="G257" s="1226">
        <v>0.85109999999999997</v>
      </c>
      <c r="H257" s="1226">
        <v>0.85109999999999997</v>
      </c>
      <c r="I257" s="1226">
        <v>0.7147</v>
      </c>
      <c r="J257" s="1226">
        <v>0.7147</v>
      </c>
      <c r="K257" s="1226">
        <v>0.7147</v>
      </c>
      <c r="L257" s="1226">
        <v>0.7147</v>
      </c>
      <c r="M257" s="1226">
        <v>0.7147</v>
      </c>
    </row>
    <row r="258" spans="1:13">
      <c r="A258" s="1223">
        <v>5.2</v>
      </c>
      <c r="B258" s="1226">
        <v>0.86309999999999998</v>
      </c>
      <c r="C258" s="1226">
        <v>0.86309999999999998</v>
      </c>
      <c r="D258" s="1226">
        <v>0.84860000000000002</v>
      </c>
      <c r="E258" s="1226">
        <v>0.84860000000000002</v>
      </c>
      <c r="F258" s="1226">
        <v>0.84860000000000002</v>
      </c>
      <c r="G258" s="1226">
        <v>0.84860000000000002</v>
      </c>
      <c r="H258" s="1226">
        <v>0.84860000000000002</v>
      </c>
      <c r="I258" s="1226">
        <v>0.71189999999999998</v>
      </c>
      <c r="J258" s="1226">
        <v>0.71189999999999998</v>
      </c>
      <c r="K258" s="1226">
        <v>0.71189999999999998</v>
      </c>
      <c r="L258" s="1226">
        <v>0.71189999999999998</v>
      </c>
      <c r="M258" s="1226">
        <v>0.71189999999999998</v>
      </c>
    </row>
    <row r="259" spans="1:13">
      <c r="A259" s="1223">
        <v>5.3</v>
      </c>
      <c r="B259" s="1226">
        <v>0.86119999999999997</v>
      </c>
      <c r="C259" s="1226">
        <v>0.86119999999999997</v>
      </c>
      <c r="D259" s="1226">
        <v>0.84619999999999995</v>
      </c>
      <c r="E259" s="1226">
        <v>0.84619999999999995</v>
      </c>
      <c r="F259" s="1226">
        <v>0.84619999999999995</v>
      </c>
      <c r="G259" s="1226">
        <v>0.84619999999999995</v>
      </c>
      <c r="H259" s="1226">
        <v>0.84619999999999995</v>
      </c>
      <c r="I259" s="1226">
        <v>0.70909999999999995</v>
      </c>
      <c r="J259" s="1226">
        <v>0.70909999999999995</v>
      </c>
      <c r="K259" s="1226">
        <v>0.70909999999999995</v>
      </c>
      <c r="L259" s="1226">
        <v>0.70909999999999995</v>
      </c>
      <c r="M259" s="1226">
        <v>0.70909999999999995</v>
      </c>
    </row>
    <row r="260" spans="1:13">
      <c r="A260" s="1223">
        <v>5.4</v>
      </c>
      <c r="B260" s="1226">
        <v>0.85940000000000005</v>
      </c>
      <c r="C260" s="1226">
        <v>0.85940000000000005</v>
      </c>
      <c r="D260" s="1226">
        <v>0.84389999999999998</v>
      </c>
      <c r="E260" s="1226">
        <v>0.84389999999999998</v>
      </c>
      <c r="F260" s="1226">
        <v>0.84389999999999998</v>
      </c>
      <c r="G260" s="1226">
        <v>0.84389999999999998</v>
      </c>
      <c r="H260" s="1226">
        <v>0.84389999999999998</v>
      </c>
      <c r="I260" s="1226">
        <v>0.70650000000000002</v>
      </c>
      <c r="J260" s="1226">
        <v>0.70650000000000002</v>
      </c>
      <c r="K260" s="1226">
        <v>0.70650000000000002</v>
      </c>
      <c r="L260" s="1226">
        <v>0.70650000000000002</v>
      </c>
      <c r="M260" s="1226">
        <v>0.70650000000000002</v>
      </c>
    </row>
    <row r="261" spans="1:13">
      <c r="A261" s="1223">
        <v>5.5</v>
      </c>
      <c r="B261" s="1226">
        <v>0.85770000000000002</v>
      </c>
      <c r="C261" s="1226">
        <v>0.85770000000000002</v>
      </c>
      <c r="D261" s="1226">
        <v>0.84179999999999999</v>
      </c>
      <c r="E261" s="1226">
        <v>0.84179999999999999</v>
      </c>
      <c r="F261" s="1226">
        <v>0.84179999999999999</v>
      </c>
      <c r="G261" s="1226">
        <v>0.84179999999999999</v>
      </c>
      <c r="H261" s="1226">
        <v>0.84179999999999999</v>
      </c>
      <c r="I261" s="1226">
        <v>0.70399999999999996</v>
      </c>
      <c r="J261" s="1226">
        <v>0.70399999999999996</v>
      </c>
      <c r="K261" s="1226">
        <v>0.70399999999999996</v>
      </c>
      <c r="L261" s="1226">
        <v>0.70399999999999996</v>
      </c>
      <c r="M261" s="1226">
        <v>0.70399999999999996</v>
      </c>
    </row>
    <row r="262" spans="1:13">
      <c r="A262" s="1223">
        <v>5.6</v>
      </c>
      <c r="B262" s="1226">
        <v>0.85599999999999998</v>
      </c>
      <c r="C262" s="1226">
        <v>0.85599999999999998</v>
      </c>
      <c r="D262" s="1226">
        <v>0.83979999999999999</v>
      </c>
      <c r="E262" s="1226">
        <v>0.83979999999999999</v>
      </c>
      <c r="F262" s="1226">
        <v>0.83979999999999999</v>
      </c>
      <c r="G262" s="1226">
        <v>0.83979999999999999</v>
      </c>
      <c r="H262" s="1226">
        <v>0.83979999999999999</v>
      </c>
      <c r="I262" s="1226">
        <v>0.7016</v>
      </c>
      <c r="J262" s="1226">
        <v>0.7016</v>
      </c>
      <c r="K262" s="1226">
        <v>0.7016</v>
      </c>
      <c r="L262" s="1226">
        <v>0.7016</v>
      </c>
      <c r="M262" s="1226">
        <v>0.7016</v>
      </c>
    </row>
    <row r="263" spans="1:13">
      <c r="A263" s="1227">
        <v>5.7</v>
      </c>
      <c r="B263" s="1226">
        <v>0.85440000000000005</v>
      </c>
      <c r="C263" s="1226">
        <v>0.85440000000000005</v>
      </c>
      <c r="D263" s="1226">
        <v>0.83789999999999998</v>
      </c>
      <c r="E263" s="1226">
        <v>0.83789999999999998</v>
      </c>
      <c r="F263" s="1226">
        <v>0.83789999999999998</v>
      </c>
      <c r="G263" s="1226">
        <v>0.83789999999999998</v>
      </c>
      <c r="H263" s="1226">
        <v>0.83789999999999998</v>
      </c>
      <c r="I263" s="1226">
        <v>0.69940000000000002</v>
      </c>
      <c r="J263" s="1226">
        <v>0.69940000000000002</v>
      </c>
      <c r="K263" s="1226">
        <v>0.69940000000000002</v>
      </c>
      <c r="L263" s="1226">
        <v>0.69940000000000002</v>
      </c>
      <c r="M263" s="1226">
        <v>0.69940000000000002</v>
      </c>
    </row>
    <row r="264" spans="1:13">
      <c r="A264" s="1223">
        <v>5.8</v>
      </c>
      <c r="B264" s="1226">
        <v>0.85289999999999999</v>
      </c>
      <c r="C264" s="1226">
        <v>0.85289999999999999</v>
      </c>
      <c r="D264" s="1226">
        <v>0.83599999999999997</v>
      </c>
      <c r="E264" s="1226">
        <v>0.83599999999999997</v>
      </c>
      <c r="F264" s="1226">
        <v>0.83599999999999997</v>
      </c>
      <c r="G264" s="1226">
        <v>0.83599999999999997</v>
      </c>
      <c r="H264" s="1226">
        <v>0.83599999999999997</v>
      </c>
      <c r="I264" s="1226">
        <v>0.69720000000000004</v>
      </c>
      <c r="J264" s="1226">
        <v>0.69720000000000004</v>
      </c>
      <c r="K264" s="1226">
        <v>0.69720000000000004</v>
      </c>
      <c r="L264" s="1226">
        <v>0.69720000000000004</v>
      </c>
      <c r="M264" s="1226">
        <v>0.69720000000000004</v>
      </c>
    </row>
    <row r="265" spans="1:13">
      <c r="A265" s="1223">
        <v>5.9</v>
      </c>
      <c r="B265" s="1226">
        <v>0.85150000000000003</v>
      </c>
      <c r="C265" s="1226">
        <v>0.85150000000000003</v>
      </c>
      <c r="D265" s="1226">
        <v>0.83430000000000004</v>
      </c>
      <c r="E265" s="1226">
        <v>0.83430000000000004</v>
      </c>
      <c r="F265" s="1226">
        <v>0.83430000000000004</v>
      </c>
      <c r="G265" s="1226">
        <v>0.83430000000000004</v>
      </c>
      <c r="H265" s="1226">
        <v>0.83430000000000004</v>
      </c>
      <c r="I265" s="1226">
        <v>0.69520000000000004</v>
      </c>
      <c r="J265" s="1226">
        <v>0.69520000000000004</v>
      </c>
      <c r="K265" s="1226">
        <v>0.69520000000000004</v>
      </c>
      <c r="L265" s="1226">
        <v>0.69520000000000004</v>
      </c>
      <c r="M265" s="1226">
        <v>0.69520000000000004</v>
      </c>
    </row>
    <row r="266" spans="1:13">
      <c r="A266" s="1223">
        <v>6</v>
      </c>
      <c r="B266" s="1226">
        <v>0.85019999999999996</v>
      </c>
      <c r="C266" s="1226">
        <v>0.85019999999999996</v>
      </c>
      <c r="D266" s="1226">
        <v>0.8327</v>
      </c>
      <c r="E266" s="1226">
        <v>0.8327</v>
      </c>
      <c r="F266" s="1226">
        <v>0.8327</v>
      </c>
      <c r="G266" s="1226">
        <v>0.8327</v>
      </c>
      <c r="H266" s="1226">
        <v>0.8327</v>
      </c>
      <c r="I266" s="1226">
        <v>0.69320000000000004</v>
      </c>
      <c r="J266" s="1226">
        <v>0.69320000000000004</v>
      </c>
      <c r="K266" s="1226">
        <v>0.69320000000000004</v>
      </c>
      <c r="L266" s="1226">
        <v>0.69320000000000004</v>
      </c>
      <c r="M266" s="1226">
        <v>0.69320000000000004</v>
      </c>
    </row>
    <row r="267" spans="1:13">
      <c r="A267" s="1223">
        <v>6.1</v>
      </c>
      <c r="B267" s="1226">
        <v>0.84899999999999998</v>
      </c>
      <c r="C267" s="1226">
        <v>0.84899999999999998</v>
      </c>
      <c r="D267" s="1226">
        <v>0.83109999999999995</v>
      </c>
      <c r="E267" s="1226">
        <v>0.83109999999999995</v>
      </c>
      <c r="F267" s="1226">
        <v>0.83109999999999995</v>
      </c>
      <c r="G267" s="1226">
        <v>0.83109999999999995</v>
      </c>
      <c r="H267" s="1226">
        <v>0.83109999999999995</v>
      </c>
      <c r="I267" s="1226">
        <v>0.69130000000000003</v>
      </c>
      <c r="J267" s="1226">
        <v>0.69130000000000003</v>
      </c>
      <c r="K267" s="1226">
        <v>0.69130000000000003</v>
      </c>
      <c r="L267" s="1226">
        <v>0.69130000000000003</v>
      </c>
      <c r="M267" s="1226">
        <v>0.69130000000000003</v>
      </c>
    </row>
    <row r="268" spans="1:13">
      <c r="A268" s="1223">
        <v>6.2</v>
      </c>
      <c r="B268" s="1226">
        <v>0.8478</v>
      </c>
      <c r="C268" s="1226">
        <v>0.8478</v>
      </c>
      <c r="D268" s="1226">
        <v>0.8296</v>
      </c>
      <c r="E268" s="1226">
        <v>0.8296</v>
      </c>
      <c r="F268" s="1226">
        <v>0.8296</v>
      </c>
      <c r="G268" s="1226">
        <v>0.8296</v>
      </c>
      <c r="H268" s="1226">
        <v>0.8296</v>
      </c>
      <c r="I268" s="1226">
        <v>0.68940000000000001</v>
      </c>
      <c r="J268" s="1226">
        <v>0.68940000000000001</v>
      </c>
      <c r="K268" s="1226">
        <v>0.68940000000000001</v>
      </c>
      <c r="L268" s="1226">
        <v>0.68940000000000001</v>
      </c>
      <c r="M268" s="1226">
        <v>0.68940000000000001</v>
      </c>
    </row>
    <row r="269" spans="1:13">
      <c r="A269" s="1223">
        <v>6.3</v>
      </c>
      <c r="B269" s="1226">
        <v>0.84670000000000001</v>
      </c>
      <c r="C269" s="1226">
        <v>0.84670000000000001</v>
      </c>
      <c r="D269" s="1226">
        <v>0.82820000000000005</v>
      </c>
      <c r="E269" s="1226">
        <v>0.82820000000000005</v>
      </c>
      <c r="F269" s="1226">
        <v>0.82820000000000005</v>
      </c>
      <c r="G269" s="1226">
        <v>0.82820000000000005</v>
      </c>
      <c r="H269" s="1226">
        <v>0.82820000000000005</v>
      </c>
      <c r="I269" s="1226">
        <v>0.68769999999999998</v>
      </c>
      <c r="J269" s="1226">
        <v>0.68769999999999998</v>
      </c>
      <c r="K269" s="1226">
        <v>0.68769999999999998</v>
      </c>
      <c r="L269" s="1226">
        <v>0.68769999999999998</v>
      </c>
      <c r="M269" s="1226">
        <v>0.68769999999999998</v>
      </c>
    </row>
    <row r="270" spans="1:13">
      <c r="A270" s="1223">
        <v>6.4</v>
      </c>
      <c r="B270" s="1226">
        <v>0.84570000000000001</v>
      </c>
      <c r="C270" s="1226">
        <v>0.84570000000000001</v>
      </c>
      <c r="D270" s="1226">
        <v>0.82689999999999997</v>
      </c>
      <c r="E270" s="1226">
        <v>0.82689999999999997</v>
      </c>
      <c r="F270" s="1226">
        <v>0.82689999999999997</v>
      </c>
      <c r="G270" s="1226">
        <v>0.82689999999999997</v>
      </c>
      <c r="H270" s="1226">
        <v>0.82689999999999997</v>
      </c>
      <c r="I270" s="1226">
        <v>0.68610000000000004</v>
      </c>
      <c r="J270" s="1226">
        <v>0.68610000000000004</v>
      </c>
      <c r="K270" s="1226">
        <v>0.68610000000000004</v>
      </c>
      <c r="L270" s="1226">
        <v>0.68610000000000004</v>
      </c>
      <c r="M270" s="1226">
        <v>0.68610000000000004</v>
      </c>
    </row>
    <row r="271" spans="1:13">
      <c r="A271" s="1223">
        <v>6.5</v>
      </c>
      <c r="B271" s="1226">
        <v>0.84470000000000001</v>
      </c>
      <c r="C271" s="1226">
        <v>0.84470000000000001</v>
      </c>
      <c r="D271" s="1226">
        <v>0.82569999999999999</v>
      </c>
      <c r="E271" s="1226">
        <v>0.82569999999999999</v>
      </c>
      <c r="F271" s="1226">
        <v>0.82569999999999999</v>
      </c>
      <c r="G271" s="1226">
        <v>0.82569999999999999</v>
      </c>
      <c r="H271" s="1226">
        <v>0.82569999999999999</v>
      </c>
      <c r="I271" s="1226">
        <v>0.68440000000000001</v>
      </c>
      <c r="J271" s="1226">
        <v>0.68440000000000001</v>
      </c>
      <c r="K271" s="1226">
        <v>0.68440000000000001</v>
      </c>
      <c r="L271" s="1226">
        <v>0.68440000000000001</v>
      </c>
      <c r="M271" s="1226">
        <v>0.68440000000000001</v>
      </c>
    </row>
    <row r="272" spans="1:13">
      <c r="A272" s="1223">
        <v>6.6</v>
      </c>
      <c r="B272" s="1226">
        <v>0.84370000000000001</v>
      </c>
      <c r="C272" s="1226">
        <v>0.84370000000000001</v>
      </c>
      <c r="D272" s="1226">
        <v>0.82450000000000001</v>
      </c>
      <c r="E272" s="1226">
        <v>0.82450000000000001</v>
      </c>
      <c r="F272" s="1226">
        <v>0.82450000000000001</v>
      </c>
      <c r="G272" s="1226">
        <v>0.82450000000000001</v>
      </c>
      <c r="H272" s="1226">
        <v>0.82450000000000001</v>
      </c>
      <c r="I272" s="1226">
        <v>0.68289999999999995</v>
      </c>
      <c r="J272" s="1226">
        <v>0.68289999999999995</v>
      </c>
      <c r="K272" s="1226">
        <v>0.68289999999999995</v>
      </c>
      <c r="L272" s="1226">
        <v>0.68289999999999995</v>
      </c>
      <c r="M272" s="1226">
        <v>0.68289999999999995</v>
      </c>
    </row>
    <row r="273" spans="1:13">
      <c r="A273" s="1223">
        <v>6.7</v>
      </c>
      <c r="B273" s="1226">
        <v>0.8427</v>
      </c>
      <c r="C273" s="1226">
        <v>0.8427</v>
      </c>
      <c r="D273" s="1226">
        <v>0.82330000000000003</v>
      </c>
      <c r="E273" s="1226">
        <v>0.82330000000000003</v>
      </c>
      <c r="F273" s="1226">
        <v>0.82330000000000003</v>
      </c>
      <c r="G273" s="1226">
        <v>0.82330000000000003</v>
      </c>
      <c r="H273" s="1226">
        <v>0.82330000000000003</v>
      </c>
      <c r="I273" s="1226">
        <v>0.68130000000000002</v>
      </c>
      <c r="J273" s="1226">
        <v>0.68130000000000002</v>
      </c>
      <c r="K273" s="1226">
        <v>0.68130000000000002</v>
      </c>
      <c r="L273" s="1226">
        <v>0.68130000000000002</v>
      </c>
      <c r="M273" s="1226">
        <v>0.68130000000000002</v>
      </c>
    </row>
    <row r="274" spans="1:13">
      <c r="A274" s="1223">
        <v>6.8</v>
      </c>
      <c r="B274" s="1226">
        <v>0.84179999999999999</v>
      </c>
      <c r="C274" s="1226">
        <v>0.84179999999999999</v>
      </c>
      <c r="D274" s="1226">
        <v>0.82210000000000005</v>
      </c>
      <c r="E274" s="1226">
        <v>0.82210000000000005</v>
      </c>
      <c r="F274" s="1226">
        <v>0.82210000000000005</v>
      </c>
      <c r="G274" s="1226">
        <v>0.82210000000000005</v>
      </c>
      <c r="H274" s="1226">
        <v>0.82210000000000005</v>
      </c>
      <c r="I274" s="1226">
        <v>0.67979999999999996</v>
      </c>
      <c r="J274" s="1226">
        <v>0.67979999999999996</v>
      </c>
      <c r="K274" s="1226">
        <v>0.67979999999999996</v>
      </c>
      <c r="L274" s="1226">
        <v>0.67979999999999996</v>
      </c>
      <c r="M274" s="1226">
        <v>0.67979999999999996</v>
      </c>
    </row>
    <row r="275" spans="1:13">
      <c r="A275" s="1223">
        <v>6.9</v>
      </c>
      <c r="B275" s="1226">
        <v>0.84089999999999998</v>
      </c>
      <c r="C275" s="1226">
        <v>0.84089999999999998</v>
      </c>
      <c r="D275" s="1226">
        <v>0.82099999999999995</v>
      </c>
      <c r="E275" s="1226">
        <v>0.82099999999999995</v>
      </c>
      <c r="F275" s="1226">
        <v>0.82099999999999995</v>
      </c>
      <c r="G275" s="1226">
        <v>0.82099999999999995</v>
      </c>
      <c r="H275" s="1226">
        <v>0.82099999999999995</v>
      </c>
      <c r="I275" s="1226">
        <v>0.67849999999999999</v>
      </c>
      <c r="J275" s="1226">
        <v>0.67849999999999999</v>
      </c>
      <c r="K275" s="1226">
        <v>0.67849999999999999</v>
      </c>
      <c r="L275" s="1226">
        <v>0.67849999999999999</v>
      </c>
      <c r="M275" s="1226">
        <v>0.67849999999999999</v>
      </c>
    </row>
    <row r="276" spans="1:13">
      <c r="A276" s="1223">
        <v>7</v>
      </c>
      <c r="B276" s="1226">
        <v>0.84009999999999996</v>
      </c>
      <c r="C276" s="1226">
        <v>0.84009999999999996</v>
      </c>
      <c r="D276" s="1226">
        <v>0.81989999999999996</v>
      </c>
      <c r="E276" s="1226">
        <v>0.81989999999999996</v>
      </c>
      <c r="F276" s="1226">
        <v>0.81989999999999996</v>
      </c>
      <c r="G276" s="1226">
        <v>0.81989999999999996</v>
      </c>
      <c r="H276" s="1226">
        <v>0.81989999999999996</v>
      </c>
      <c r="I276" s="1226">
        <v>0.67720000000000002</v>
      </c>
      <c r="J276" s="1226">
        <v>0.67720000000000002</v>
      </c>
      <c r="K276" s="1226">
        <v>0.67720000000000002</v>
      </c>
      <c r="L276" s="1226">
        <v>0.67720000000000002</v>
      </c>
      <c r="M276" s="1226">
        <v>0.67720000000000002</v>
      </c>
    </row>
    <row r="277" spans="1:13">
      <c r="A277" s="1223">
        <v>7.1</v>
      </c>
      <c r="B277" s="1226">
        <v>0.83930000000000005</v>
      </c>
      <c r="C277" s="1226">
        <v>0.83930000000000005</v>
      </c>
      <c r="D277" s="1226">
        <v>0.81889999999999996</v>
      </c>
      <c r="E277" s="1226">
        <v>0.81889999999999996</v>
      </c>
      <c r="F277" s="1226">
        <v>0.81889999999999996</v>
      </c>
      <c r="G277" s="1226">
        <v>0.81889999999999996</v>
      </c>
      <c r="H277" s="1226">
        <v>0.81889999999999996</v>
      </c>
      <c r="I277" s="1226">
        <v>0.67589999999999995</v>
      </c>
      <c r="J277" s="1226">
        <v>0.67589999999999995</v>
      </c>
      <c r="K277" s="1226">
        <v>0.67589999999999995</v>
      </c>
      <c r="L277" s="1226">
        <v>0.67589999999999995</v>
      </c>
      <c r="M277" s="1226">
        <v>0.67589999999999995</v>
      </c>
    </row>
    <row r="278" spans="1:13">
      <c r="A278" s="1223">
        <v>7.2</v>
      </c>
      <c r="B278" s="1226">
        <v>0.83850000000000002</v>
      </c>
      <c r="C278" s="1226">
        <v>0.83850000000000002</v>
      </c>
      <c r="D278" s="1226">
        <v>0.81789999999999996</v>
      </c>
      <c r="E278" s="1226">
        <v>0.81789999999999996</v>
      </c>
      <c r="F278" s="1226">
        <v>0.81789999999999996</v>
      </c>
      <c r="G278" s="1226">
        <v>0.81789999999999996</v>
      </c>
      <c r="H278" s="1226">
        <v>0.81789999999999996</v>
      </c>
      <c r="I278" s="1226">
        <v>0.67459999999999998</v>
      </c>
      <c r="J278" s="1226">
        <v>0.67459999999999998</v>
      </c>
      <c r="K278" s="1226">
        <v>0.67459999999999998</v>
      </c>
      <c r="L278" s="1226">
        <v>0.67459999999999998</v>
      </c>
      <c r="M278" s="1226">
        <v>0.67459999999999998</v>
      </c>
    </row>
    <row r="279" spans="1:13">
      <c r="A279" s="1223">
        <v>7.3</v>
      </c>
      <c r="B279" s="1226">
        <v>0.8377</v>
      </c>
      <c r="C279" s="1226">
        <v>0.8377</v>
      </c>
      <c r="D279" s="1226">
        <v>0.81689999999999996</v>
      </c>
      <c r="E279" s="1226">
        <v>0.81689999999999996</v>
      </c>
      <c r="F279" s="1226">
        <v>0.81689999999999996</v>
      </c>
      <c r="G279" s="1226">
        <v>0.81689999999999996</v>
      </c>
      <c r="H279" s="1226">
        <v>0.81689999999999996</v>
      </c>
      <c r="I279" s="1226">
        <v>0.6734</v>
      </c>
      <c r="J279" s="1226">
        <v>0.6734</v>
      </c>
      <c r="K279" s="1226">
        <v>0.6734</v>
      </c>
      <c r="L279" s="1226">
        <v>0.6734</v>
      </c>
      <c r="M279" s="1226">
        <v>0.6734</v>
      </c>
    </row>
    <row r="280" spans="1:13">
      <c r="A280" s="1223">
        <v>7.4</v>
      </c>
      <c r="B280" s="1226">
        <v>0.83699999999999997</v>
      </c>
      <c r="C280" s="1226">
        <v>0.83699999999999997</v>
      </c>
      <c r="D280" s="1226">
        <v>0.81599999999999995</v>
      </c>
      <c r="E280" s="1226">
        <v>0.81599999999999995</v>
      </c>
      <c r="F280" s="1226">
        <v>0.81599999999999995</v>
      </c>
      <c r="G280" s="1226">
        <v>0.81599999999999995</v>
      </c>
      <c r="H280" s="1226">
        <v>0.81599999999999995</v>
      </c>
      <c r="I280" s="1226">
        <v>0.67210000000000003</v>
      </c>
      <c r="J280" s="1226">
        <v>0.67210000000000003</v>
      </c>
      <c r="K280" s="1226">
        <v>0.67210000000000003</v>
      </c>
      <c r="L280" s="1226">
        <v>0.67210000000000003</v>
      </c>
      <c r="M280" s="1226">
        <v>0.67210000000000003</v>
      </c>
    </row>
    <row r="281" spans="1:13">
      <c r="A281" s="1223">
        <v>7.5</v>
      </c>
      <c r="B281" s="1226">
        <v>0.83630000000000004</v>
      </c>
      <c r="C281" s="1226">
        <v>0.83630000000000004</v>
      </c>
      <c r="D281" s="1226">
        <v>0.81510000000000005</v>
      </c>
      <c r="E281" s="1226">
        <v>0.81510000000000005</v>
      </c>
      <c r="F281" s="1226">
        <v>0.81510000000000005</v>
      </c>
      <c r="G281" s="1226">
        <v>0.81510000000000005</v>
      </c>
      <c r="H281" s="1226">
        <v>0.81510000000000005</v>
      </c>
      <c r="I281" s="1226">
        <v>0.67090000000000005</v>
      </c>
      <c r="J281" s="1226">
        <v>0.67090000000000005</v>
      </c>
      <c r="K281" s="1226">
        <v>0.67090000000000005</v>
      </c>
      <c r="L281" s="1226">
        <v>0.67090000000000005</v>
      </c>
      <c r="M281" s="1226">
        <v>0.67090000000000005</v>
      </c>
    </row>
    <row r="282" spans="1:13">
      <c r="A282" s="1223">
        <v>7.6</v>
      </c>
      <c r="B282" s="1226">
        <v>0.83560000000000001</v>
      </c>
      <c r="C282" s="1226">
        <v>0.83560000000000001</v>
      </c>
      <c r="D282" s="1226">
        <v>0.81420000000000003</v>
      </c>
      <c r="E282" s="1226">
        <v>0.81420000000000003</v>
      </c>
      <c r="F282" s="1226">
        <v>0.81420000000000003</v>
      </c>
      <c r="G282" s="1226">
        <v>0.81420000000000003</v>
      </c>
      <c r="H282" s="1226">
        <v>0.81420000000000003</v>
      </c>
      <c r="I282" s="1226">
        <v>0.66979999999999995</v>
      </c>
      <c r="J282" s="1226">
        <v>0.66979999999999995</v>
      </c>
      <c r="K282" s="1226">
        <v>0.66979999999999995</v>
      </c>
      <c r="L282" s="1226">
        <v>0.66979999999999995</v>
      </c>
      <c r="M282" s="1226">
        <v>0.66979999999999995</v>
      </c>
    </row>
    <row r="283" spans="1:13">
      <c r="A283" s="1223">
        <v>7.7</v>
      </c>
      <c r="B283" s="1226">
        <v>0.83489999999999998</v>
      </c>
      <c r="C283" s="1226">
        <v>0.83489999999999998</v>
      </c>
      <c r="D283" s="1226">
        <v>0.81330000000000002</v>
      </c>
      <c r="E283" s="1226">
        <v>0.81330000000000002</v>
      </c>
      <c r="F283" s="1226">
        <v>0.81330000000000002</v>
      </c>
      <c r="G283" s="1226">
        <v>0.81330000000000002</v>
      </c>
      <c r="H283" s="1226">
        <v>0.81330000000000002</v>
      </c>
      <c r="I283" s="1226">
        <v>0.66869999999999996</v>
      </c>
      <c r="J283" s="1226">
        <v>0.66869999999999996</v>
      </c>
      <c r="K283" s="1226">
        <v>0.66869999999999996</v>
      </c>
      <c r="L283" s="1226">
        <v>0.66869999999999996</v>
      </c>
      <c r="M283" s="1226">
        <v>0.66869999999999996</v>
      </c>
    </row>
    <row r="284" spans="1:13">
      <c r="A284" s="1223">
        <v>7.8</v>
      </c>
      <c r="B284" s="1226">
        <v>0.83420000000000005</v>
      </c>
      <c r="C284" s="1226">
        <v>0.83420000000000005</v>
      </c>
      <c r="D284" s="1226">
        <v>0.81240000000000001</v>
      </c>
      <c r="E284" s="1226">
        <v>0.81240000000000001</v>
      </c>
      <c r="F284" s="1226">
        <v>0.81240000000000001</v>
      </c>
      <c r="G284" s="1226">
        <v>0.81240000000000001</v>
      </c>
      <c r="H284" s="1226">
        <v>0.81240000000000001</v>
      </c>
      <c r="I284" s="1226">
        <v>0.66759999999999997</v>
      </c>
      <c r="J284" s="1226">
        <v>0.66759999999999997</v>
      </c>
      <c r="K284" s="1226">
        <v>0.66759999999999997</v>
      </c>
      <c r="L284" s="1226">
        <v>0.66759999999999997</v>
      </c>
      <c r="M284" s="1226">
        <v>0.66759999999999997</v>
      </c>
    </row>
    <row r="285" spans="1:13">
      <c r="A285" s="1223">
        <v>7.9</v>
      </c>
      <c r="B285" s="1226">
        <v>0.83350000000000002</v>
      </c>
      <c r="C285" s="1226">
        <v>0.83350000000000002</v>
      </c>
      <c r="D285" s="1226">
        <v>0.81159999999999999</v>
      </c>
      <c r="E285" s="1226">
        <v>0.81159999999999999</v>
      </c>
      <c r="F285" s="1226">
        <v>0.81159999999999999</v>
      </c>
      <c r="G285" s="1226">
        <v>0.81159999999999999</v>
      </c>
      <c r="H285" s="1226">
        <v>0.81159999999999999</v>
      </c>
      <c r="I285" s="1226">
        <v>0.66649999999999998</v>
      </c>
      <c r="J285" s="1226">
        <v>0.66649999999999998</v>
      </c>
      <c r="K285" s="1226">
        <v>0.66649999999999998</v>
      </c>
      <c r="L285" s="1226">
        <v>0.66649999999999998</v>
      </c>
      <c r="M285" s="1226">
        <v>0.66649999999999998</v>
      </c>
    </row>
    <row r="286" spans="1:13">
      <c r="A286" s="1223">
        <v>8</v>
      </c>
      <c r="B286" s="1226">
        <v>0.83279999999999998</v>
      </c>
      <c r="C286" s="1226">
        <v>0.83279999999999998</v>
      </c>
      <c r="D286" s="1226">
        <v>0.81079999999999997</v>
      </c>
      <c r="E286" s="1226">
        <v>0.81079999999999997</v>
      </c>
      <c r="F286" s="1226">
        <v>0.81079999999999997</v>
      </c>
      <c r="G286" s="1226">
        <v>0.81079999999999997</v>
      </c>
      <c r="H286" s="1226">
        <v>0.81079999999999997</v>
      </c>
      <c r="I286" s="1226">
        <v>0.66549999999999998</v>
      </c>
      <c r="J286" s="1226">
        <v>0.66549999999999998</v>
      </c>
      <c r="K286" s="1226">
        <v>0.66549999999999998</v>
      </c>
      <c r="L286" s="1226">
        <v>0.66549999999999998</v>
      </c>
      <c r="M286" s="1226">
        <v>0.66549999999999998</v>
      </c>
    </row>
    <row r="287" spans="1:13">
      <c r="A287" s="1223">
        <v>8.1</v>
      </c>
      <c r="B287" s="1226">
        <v>0.83220000000000005</v>
      </c>
      <c r="C287" s="1226">
        <v>0.83220000000000005</v>
      </c>
      <c r="D287" s="1226">
        <v>0.81</v>
      </c>
      <c r="E287" s="1226">
        <v>0.81</v>
      </c>
      <c r="F287" s="1226">
        <v>0.81</v>
      </c>
      <c r="G287" s="1226">
        <v>0.81</v>
      </c>
      <c r="H287" s="1226">
        <v>0.81</v>
      </c>
      <c r="I287" s="1226">
        <v>0.66439999999999999</v>
      </c>
      <c r="J287" s="1226">
        <v>0.66439999999999999</v>
      </c>
      <c r="K287" s="1226">
        <v>0.66439999999999999</v>
      </c>
      <c r="L287" s="1226">
        <v>0.66439999999999999</v>
      </c>
      <c r="M287" s="1226">
        <v>0.66439999999999999</v>
      </c>
    </row>
    <row r="288" spans="1:13">
      <c r="A288" s="1223">
        <v>8.1999999999999993</v>
      </c>
      <c r="B288" s="1226">
        <v>0.83160000000000001</v>
      </c>
      <c r="C288" s="1226">
        <v>0.83160000000000001</v>
      </c>
      <c r="D288" s="1226">
        <v>0.80920000000000003</v>
      </c>
      <c r="E288" s="1226">
        <v>0.80920000000000003</v>
      </c>
      <c r="F288" s="1226">
        <v>0.80920000000000003</v>
      </c>
      <c r="G288" s="1226">
        <v>0.80920000000000003</v>
      </c>
      <c r="H288" s="1226">
        <v>0.80920000000000003</v>
      </c>
      <c r="I288" s="1226">
        <v>0.66339999999999999</v>
      </c>
      <c r="J288" s="1226">
        <v>0.66339999999999999</v>
      </c>
      <c r="K288" s="1226">
        <v>0.66339999999999999</v>
      </c>
      <c r="L288" s="1226">
        <v>0.66339999999999999</v>
      </c>
      <c r="M288" s="1226">
        <v>0.66339999999999999</v>
      </c>
    </row>
    <row r="289" spans="1:13">
      <c r="A289" s="1223">
        <v>8.3000000000000007</v>
      </c>
      <c r="B289" s="1226">
        <v>0.83099999999999996</v>
      </c>
      <c r="C289" s="1226">
        <v>0.83099999999999996</v>
      </c>
      <c r="D289" s="1226">
        <v>0.80840000000000001</v>
      </c>
      <c r="E289" s="1226">
        <v>0.80840000000000001</v>
      </c>
      <c r="F289" s="1226">
        <v>0.80840000000000001</v>
      </c>
      <c r="G289" s="1226">
        <v>0.80840000000000001</v>
      </c>
      <c r="H289" s="1226">
        <v>0.80840000000000001</v>
      </c>
      <c r="I289" s="1226">
        <v>0.66239999999999999</v>
      </c>
      <c r="J289" s="1226">
        <v>0.66239999999999999</v>
      </c>
      <c r="K289" s="1226">
        <v>0.66239999999999999</v>
      </c>
      <c r="L289" s="1226">
        <v>0.66239999999999999</v>
      </c>
      <c r="M289" s="1226">
        <v>0.66239999999999999</v>
      </c>
    </row>
    <row r="290" spans="1:13">
      <c r="A290" s="1223">
        <v>8.4</v>
      </c>
      <c r="B290" s="1226">
        <v>0.83040000000000003</v>
      </c>
      <c r="C290" s="1226">
        <v>0.83040000000000003</v>
      </c>
      <c r="D290" s="1226">
        <v>0.80759999999999998</v>
      </c>
      <c r="E290" s="1226">
        <v>0.80759999999999998</v>
      </c>
      <c r="F290" s="1226">
        <v>0.80759999999999998</v>
      </c>
      <c r="G290" s="1226">
        <v>0.80759999999999998</v>
      </c>
      <c r="H290" s="1226">
        <v>0.80759999999999998</v>
      </c>
      <c r="I290" s="1226">
        <v>0.66139999999999999</v>
      </c>
      <c r="J290" s="1226">
        <v>0.66139999999999999</v>
      </c>
      <c r="K290" s="1226">
        <v>0.66139999999999999</v>
      </c>
      <c r="L290" s="1226">
        <v>0.66139999999999999</v>
      </c>
      <c r="M290" s="1226">
        <v>0.66139999999999999</v>
      </c>
    </row>
    <row r="291" spans="1:13">
      <c r="A291" s="1223">
        <v>8.5</v>
      </c>
      <c r="B291" s="1226">
        <v>0.82979999999999998</v>
      </c>
      <c r="C291" s="1226">
        <v>0.82979999999999998</v>
      </c>
      <c r="D291" s="1226">
        <v>0.80679999999999996</v>
      </c>
      <c r="E291" s="1226">
        <v>0.80679999999999996</v>
      </c>
      <c r="F291" s="1226">
        <v>0.80679999999999996</v>
      </c>
      <c r="G291" s="1226">
        <v>0.80679999999999996</v>
      </c>
      <c r="H291" s="1226">
        <v>0.80679999999999996</v>
      </c>
      <c r="I291" s="1226">
        <v>0.66049999999999998</v>
      </c>
      <c r="J291" s="1226">
        <v>0.66049999999999998</v>
      </c>
      <c r="K291" s="1226">
        <v>0.66049999999999998</v>
      </c>
      <c r="L291" s="1226">
        <v>0.66049999999999998</v>
      </c>
      <c r="M291" s="1226">
        <v>0.66049999999999998</v>
      </c>
    </row>
    <row r="292" spans="1:13">
      <c r="A292" s="1223">
        <v>8.6</v>
      </c>
      <c r="B292" s="1226">
        <v>0.82920000000000005</v>
      </c>
      <c r="C292" s="1226">
        <v>0.82920000000000005</v>
      </c>
      <c r="D292" s="1226">
        <v>0.80600000000000005</v>
      </c>
      <c r="E292" s="1226">
        <v>0.80600000000000005</v>
      </c>
      <c r="F292" s="1226">
        <v>0.80600000000000005</v>
      </c>
      <c r="G292" s="1226">
        <v>0.80600000000000005</v>
      </c>
      <c r="H292" s="1226">
        <v>0.80600000000000005</v>
      </c>
      <c r="I292" s="1226">
        <v>0.65949999999999998</v>
      </c>
      <c r="J292" s="1226">
        <v>0.65949999999999998</v>
      </c>
      <c r="K292" s="1226">
        <v>0.65949999999999998</v>
      </c>
      <c r="L292" s="1226">
        <v>0.65949999999999998</v>
      </c>
      <c r="M292" s="1226">
        <v>0.65949999999999998</v>
      </c>
    </row>
    <row r="293" spans="1:13">
      <c r="A293" s="1223">
        <v>8.6999999999999993</v>
      </c>
      <c r="B293" s="1226">
        <v>0.8286</v>
      </c>
      <c r="C293" s="1226">
        <v>0.8286</v>
      </c>
      <c r="D293" s="1226">
        <v>0.80520000000000003</v>
      </c>
      <c r="E293" s="1226">
        <v>0.80520000000000003</v>
      </c>
      <c r="F293" s="1226">
        <v>0.80520000000000003</v>
      </c>
      <c r="G293" s="1226">
        <v>0.80520000000000003</v>
      </c>
      <c r="H293" s="1226">
        <v>0.80520000000000003</v>
      </c>
      <c r="I293" s="1226">
        <v>0.65859999999999996</v>
      </c>
      <c r="J293" s="1226">
        <v>0.65859999999999996</v>
      </c>
      <c r="K293" s="1226">
        <v>0.65859999999999996</v>
      </c>
      <c r="L293" s="1226">
        <v>0.65859999999999996</v>
      </c>
      <c r="M293" s="1226">
        <v>0.65859999999999996</v>
      </c>
    </row>
    <row r="294" spans="1:13">
      <c r="A294" s="1223">
        <v>8.8000000000000007</v>
      </c>
      <c r="B294" s="1226">
        <v>0.82799999999999996</v>
      </c>
      <c r="C294" s="1226">
        <v>0.82799999999999996</v>
      </c>
      <c r="D294" s="1226">
        <v>0.8044</v>
      </c>
      <c r="E294" s="1226">
        <v>0.8044</v>
      </c>
      <c r="F294" s="1226">
        <v>0.8044</v>
      </c>
      <c r="G294" s="1226">
        <v>0.8044</v>
      </c>
      <c r="H294" s="1226">
        <v>0.8044</v>
      </c>
      <c r="I294" s="1226">
        <v>0.65759999999999996</v>
      </c>
      <c r="J294" s="1226">
        <v>0.65759999999999996</v>
      </c>
      <c r="K294" s="1226">
        <v>0.65759999999999996</v>
      </c>
      <c r="L294" s="1226">
        <v>0.65759999999999996</v>
      </c>
      <c r="M294" s="1226">
        <v>0.65759999999999996</v>
      </c>
    </row>
    <row r="295" spans="1:13">
      <c r="A295" s="1223">
        <v>8.9</v>
      </c>
      <c r="B295" s="1226">
        <v>0.82740000000000002</v>
      </c>
      <c r="C295" s="1226">
        <v>0.82740000000000002</v>
      </c>
      <c r="D295" s="1226">
        <v>0.80359999999999998</v>
      </c>
      <c r="E295" s="1226">
        <v>0.80359999999999998</v>
      </c>
      <c r="F295" s="1226">
        <v>0.80359999999999998</v>
      </c>
      <c r="G295" s="1226">
        <v>0.80359999999999998</v>
      </c>
      <c r="H295" s="1226">
        <v>0.80359999999999998</v>
      </c>
      <c r="I295" s="1226">
        <v>0.65669999999999995</v>
      </c>
      <c r="J295" s="1226">
        <v>0.65669999999999995</v>
      </c>
      <c r="K295" s="1226">
        <v>0.65669999999999995</v>
      </c>
      <c r="L295" s="1226">
        <v>0.65669999999999995</v>
      </c>
      <c r="M295" s="1226">
        <v>0.65669999999999995</v>
      </c>
    </row>
    <row r="296" spans="1:13">
      <c r="A296" s="1227">
        <v>9</v>
      </c>
      <c r="B296" s="1226">
        <v>0.82679999999999998</v>
      </c>
      <c r="C296" s="1226">
        <v>0.82679999999999998</v>
      </c>
      <c r="D296" s="1226">
        <v>0.80279999999999996</v>
      </c>
      <c r="E296" s="1226">
        <v>0.80279999999999996</v>
      </c>
      <c r="F296" s="1226">
        <v>0.80279999999999996</v>
      </c>
      <c r="G296" s="1226">
        <v>0.80279999999999996</v>
      </c>
      <c r="H296" s="1226">
        <v>0.80279999999999996</v>
      </c>
      <c r="I296" s="1226">
        <v>0.65569999999999995</v>
      </c>
      <c r="J296" s="1226">
        <v>0.65569999999999995</v>
      </c>
      <c r="K296" s="1226">
        <v>0.65569999999999995</v>
      </c>
      <c r="L296" s="1226">
        <v>0.65569999999999995</v>
      </c>
      <c r="M296" s="1226">
        <v>0.65569999999999995</v>
      </c>
    </row>
    <row r="297" spans="1:13">
      <c r="A297" s="1227">
        <v>9.1</v>
      </c>
      <c r="B297" s="1226">
        <v>0.82620000000000005</v>
      </c>
      <c r="C297" s="1226">
        <v>0.82620000000000005</v>
      </c>
      <c r="D297" s="1226">
        <v>0.80200000000000005</v>
      </c>
      <c r="E297" s="1226">
        <v>0.80200000000000005</v>
      </c>
      <c r="F297" s="1226">
        <v>0.80200000000000005</v>
      </c>
      <c r="G297" s="1226">
        <v>0.80200000000000005</v>
      </c>
      <c r="H297" s="1226">
        <v>0.80200000000000005</v>
      </c>
      <c r="I297" s="1226">
        <v>0.65480000000000005</v>
      </c>
      <c r="J297" s="1226">
        <v>0.65480000000000005</v>
      </c>
      <c r="K297" s="1226">
        <v>0.65480000000000005</v>
      </c>
      <c r="L297" s="1226">
        <v>0.65480000000000005</v>
      </c>
      <c r="M297" s="1226">
        <v>0.65480000000000005</v>
      </c>
    </row>
    <row r="298" spans="1:13">
      <c r="A298" s="1227">
        <v>9.1999999999999993</v>
      </c>
      <c r="B298" s="1226">
        <v>0.8256</v>
      </c>
      <c r="C298" s="1226">
        <v>0.8256</v>
      </c>
      <c r="D298" s="1226">
        <v>0.80120000000000002</v>
      </c>
      <c r="E298" s="1226">
        <v>0.80120000000000002</v>
      </c>
      <c r="F298" s="1226">
        <v>0.80120000000000002</v>
      </c>
      <c r="G298" s="1226">
        <v>0.80120000000000002</v>
      </c>
      <c r="H298" s="1226">
        <v>0.80120000000000002</v>
      </c>
      <c r="I298" s="1226">
        <v>0.65380000000000005</v>
      </c>
      <c r="J298" s="1226">
        <v>0.65380000000000005</v>
      </c>
      <c r="K298" s="1226">
        <v>0.65380000000000005</v>
      </c>
      <c r="L298" s="1226">
        <v>0.65380000000000005</v>
      </c>
      <c r="M298" s="1226">
        <v>0.65380000000000005</v>
      </c>
    </row>
    <row r="299" spans="1:13">
      <c r="A299" s="1227">
        <v>9.3000000000000007</v>
      </c>
      <c r="B299" s="1226">
        <v>0.82499999999999996</v>
      </c>
      <c r="C299" s="1226">
        <v>0.82499999999999996</v>
      </c>
      <c r="D299" s="1226">
        <v>0.8004</v>
      </c>
      <c r="E299" s="1226">
        <v>0.8004</v>
      </c>
      <c r="F299" s="1226">
        <v>0.8004</v>
      </c>
      <c r="G299" s="1226">
        <v>0.8004</v>
      </c>
      <c r="H299" s="1226">
        <v>0.8004</v>
      </c>
      <c r="I299" s="1226">
        <v>0.65290000000000004</v>
      </c>
      <c r="J299" s="1226">
        <v>0.65290000000000004</v>
      </c>
      <c r="K299" s="1226">
        <v>0.65290000000000004</v>
      </c>
      <c r="L299" s="1226">
        <v>0.65290000000000004</v>
      </c>
      <c r="M299" s="1226">
        <v>0.65290000000000004</v>
      </c>
    </row>
    <row r="300" spans="1:13">
      <c r="A300" s="1227">
        <v>9.4</v>
      </c>
      <c r="B300" s="1226">
        <v>0.82440000000000002</v>
      </c>
      <c r="C300" s="1226">
        <v>0.82440000000000002</v>
      </c>
      <c r="D300" s="1226">
        <v>0.79959999999999998</v>
      </c>
      <c r="E300" s="1226">
        <v>0.79959999999999998</v>
      </c>
      <c r="F300" s="1226">
        <v>0.79959999999999998</v>
      </c>
      <c r="G300" s="1226">
        <v>0.79959999999999998</v>
      </c>
      <c r="H300" s="1226">
        <v>0.79959999999999998</v>
      </c>
      <c r="I300" s="1226">
        <v>0.65190000000000003</v>
      </c>
      <c r="J300" s="1226">
        <v>0.65190000000000003</v>
      </c>
      <c r="K300" s="1226">
        <v>0.65190000000000003</v>
      </c>
      <c r="L300" s="1226">
        <v>0.65190000000000003</v>
      </c>
      <c r="M300" s="1226">
        <v>0.65190000000000003</v>
      </c>
    </row>
    <row r="301" spans="1:13">
      <c r="A301" s="1227">
        <v>9.5</v>
      </c>
      <c r="B301" s="1226">
        <v>0.82379999999999998</v>
      </c>
      <c r="C301" s="1226">
        <v>0.82379999999999998</v>
      </c>
      <c r="D301" s="1226">
        <v>0.79879999999999995</v>
      </c>
      <c r="E301" s="1226">
        <v>0.79879999999999995</v>
      </c>
      <c r="F301" s="1226">
        <v>0.79879999999999995</v>
      </c>
      <c r="G301" s="1226">
        <v>0.79879999999999995</v>
      </c>
      <c r="H301" s="1226">
        <v>0.79879999999999995</v>
      </c>
      <c r="I301" s="1226">
        <v>0.65100000000000002</v>
      </c>
      <c r="J301" s="1226">
        <v>0.65100000000000002</v>
      </c>
      <c r="K301" s="1226">
        <v>0.65100000000000002</v>
      </c>
      <c r="L301" s="1226">
        <v>0.65100000000000002</v>
      </c>
      <c r="M301" s="1226">
        <v>0.65100000000000002</v>
      </c>
    </row>
    <row r="302" spans="1:13">
      <c r="A302" s="1227">
        <v>9.6</v>
      </c>
      <c r="B302" s="1226">
        <v>0.82320000000000004</v>
      </c>
      <c r="C302" s="1226">
        <v>0.82320000000000004</v>
      </c>
      <c r="D302" s="1226">
        <v>0.79800000000000004</v>
      </c>
      <c r="E302" s="1226">
        <v>0.79800000000000004</v>
      </c>
      <c r="F302" s="1226">
        <v>0.79800000000000004</v>
      </c>
      <c r="G302" s="1226">
        <v>0.79800000000000004</v>
      </c>
      <c r="H302" s="1226">
        <v>0.79800000000000004</v>
      </c>
      <c r="I302" s="1226">
        <v>0.65</v>
      </c>
      <c r="J302" s="1226">
        <v>0.65</v>
      </c>
      <c r="K302" s="1226">
        <v>0.65</v>
      </c>
      <c r="L302" s="1226">
        <v>0.65</v>
      </c>
      <c r="M302" s="1226">
        <v>0.65</v>
      </c>
    </row>
    <row r="303" spans="1:13">
      <c r="A303" s="1227">
        <v>9.6999999999999993</v>
      </c>
      <c r="B303" s="1226">
        <v>0.8226</v>
      </c>
      <c r="C303" s="1226">
        <v>0.8226</v>
      </c>
      <c r="D303" s="1226">
        <v>0.79720000000000002</v>
      </c>
      <c r="E303" s="1226">
        <v>0.79720000000000002</v>
      </c>
      <c r="F303" s="1226">
        <v>0.79720000000000002</v>
      </c>
      <c r="G303" s="1226">
        <v>0.79720000000000002</v>
      </c>
      <c r="H303" s="1226">
        <v>0.79720000000000002</v>
      </c>
      <c r="I303" s="1226">
        <v>0.64900000000000002</v>
      </c>
      <c r="J303" s="1226">
        <v>0.64900000000000002</v>
      </c>
      <c r="K303" s="1226">
        <v>0.64900000000000002</v>
      </c>
      <c r="L303" s="1226">
        <v>0.64900000000000002</v>
      </c>
      <c r="M303" s="1226">
        <v>0.64900000000000002</v>
      </c>
    </row>
    <row r="304" spans="1:13">
      <c r="A304" s="1227">
        <v>9.8000000000000007</v>
      </c>
      <c r="B304" s="1226">
        <v>0.82199999999999995</v>
      </c>
      <c r="C304" s="1226">
        <v>0.82199999999999995</v>
      </c>
      <c r="D304" s="1226">
        <v>0.7964</v>
      </c>
      <c r="E304" s="1226">
        <v>0.7964</v>
      </c>
      <c r="F304" s="1226">
        <v>0.7964</v>
      </c>
      <c r="G304" s="1226">
        <v>0.7964</v>
      </c>
      <c r="H304" s="1226">
        <v>0.7964</v>
      </c>
      <c r="I304" s="1226">
        <v>0.64810000000000001</v>
      </c>
      <c r="J304" s="1226">
        <v>0.64810000000000001</v>
      </c>
      <c r="K304" s="1226">
        <v>0.64810000000000001</v>
      </c>
      <c r="L304" s="1226">
        <v>0.64810000000000001</v>
      </c>
      <c r="M304" s="1226">
        <v>0.64810000000000001</v>
      </c>
    </row>
    <row r="305" spans="1:13">
      <c r="A305" s="1227">
        <v>9.9</v>
      </c>
      <c r="B305" s="1226">
        <v>0.82140000000000002</v>
      </c>
      <c r="C305" s="1226">
        <v>0.82140000000000002</v>
      </c>
      <c r="D305" s="1226">
        <v>0.79559999999999997</v>
      </c>
      <c r="E305" s="1226">
        <v>0.79559999999999997</v>
      </c>
      <c r="F305" s="1226">
        <v>0.79559999999999997</v>
      </c>
      <c r="G305" s="1226">
        <v>0.79559999999999997</v>
      </c>
      <c r="H305" s="1226">
        <v>0.79559999999999997</v>
      </c>
      <c r="I305" s="1226">
        <v>0.64710000000000001</v>
      </c>
      <c r="J305" s="1226">
        <v>0.64710000000000001</v>
      </c>
      <c r="K305" s="1226">
        <v>0.64710000000000001</v>
      </c>
      <c r="L305" s="1226">
        <v>0.64710000000000001</v>
      </c>
      <c r="M305" s="1226">
        <v>0.64710000000000001</v>
      </c>
    </row>
    <row r="306" spans="1:13">
      <c r="A306" s="1227">
        <v>10</v>
      </c>
      <c r="B306" s="1226">
        <v>0.82079999999999997</v>
      </c>
      <c r="C306" s="1226">
        <v>0.82079999999999997</v>
      </c>
      <c r="D306" s="1226">
        <v>0.79479999999999995</v>
      </c>
      <c r="E306" s="1226">
        <v>0.79479999999999995</v>
      </c>
      <c r="F306" s="1226">
        <v>0.79479999999999995</v>
      </c>
      <c r="G306" s="1226">
        <v>0.79479999999999995</v>
      </c>
      <c r="H306" s="1226">
        <v>0.79479999999999995</v>
      </c>
      <c r="I306" s="1226">
        <v>0.6462</v>
      </c>
      <c r="J306" s="1226">
        <v>0.6462</v>
      </c>
      <c r="K306" s="1226">
        <v>0.6462</v>
      </c>
      <c r="L306" s="1226">
        <v>0.6462</v>
      </c>
      <c r="M306" s="1226">
        <v>0.6462</v>
      </c>
    </row>
    <row r="307" spans="1:13" ht="14.25">
      <c r="A307" s="1221" t="s">
        <v>1836</v>
      </c>
      <c r="B307" s="1222"/>
      <c r="C307" s="1222"/>
      <c r="D307" s="1222"/>
      <c r="E307" s="1222"/>
      <c r="F307" s="1222"/>
      <c r="G307" s="1222"/>
      <c r="H307" s="1222"/>
      <c r="I307" s="1222"/>
      <c r="J307" s="1222"/>
      <c r="K307" s="1222"/>
      <c r="L307" s="1222"/>
      <c r="M307" s="1222"/>
    </row>
    <row r="308" spans="1:13">
      <c r="A308" s="1223" t="s">
        <v>105</v>
      </c>
      <c r="B308" s="1224" t="s">
        <v>240</v>
      </c>
      <c r="C308" s="1224" t="s">
        <v>253</v>
      </c>
      <c r="D308" s="1224" t="s">
        <v>265</v>
      </c>
      <c r="E308" s="1224" t="s">
        <v>275</v>
      </c>
      <c r="F308" s="1224" t="s">
        <v>284</v>
      </c>
      <c r="G308" s="1224" t="s">
        <v>292</v>
      </c>
      <c r="H308" s="1225" t="s">
        <v>297</v>
      </c>
      <c r="I308" s="1225" t="s">
        <v>302</v>
      </c>
      <c r="J308" s="1228" t="s">
        <v>305</v>
      </c>
      <c r="K308" s="1228" t="s">
        <v>308</v>
      </c>
      <c r="L308" s="1228" t="s">
        <v>311</v>
      </c>
      <c r="M308" s="1228" t="s">
        <v>314</v>
      </c>
    </row>
    <row r="309" spans="1:13">
      <c r="A309" s="1223">
        <v>0.1</v>
      </c>
      <c r="B309" s="1226">
        <v>11.506</v>
      </c>
      <c r="C309" s="1226">
        <v>11.506</v>
      </c>
      <c r="D309" s="1226">
        <v>12.015000000000001</v>
      </c>
      <c r="E309" s="1226">
        <v>12.015000000000001</v>
      </c>
      <c r="F309" s="1226">
        <v>12.015000000000001</v>
      </c>
      <c r="G309" s="1226">
        <v>11.118</v>
      </c>
      <c r="H309" s="1226">
        <v>11.118</v>
      </c>
      <c r="I309" s="1226">
        <v>10</v>
      </c>
      <c r="J309" s="1226">
        <v>10</v>
      </c>
      <c r="K309" s="1226">
        <v>10</v>
      </c>
      <c r="L309" s="1226">
        <v>10</v>
      </c>
      <c r="M309" s="1226">
        <v>10</v>
      </c>
    </row>
    <row r="310" spans="1:13">
      <c r="A310" s="1223">
        <v>0.2</v>
      </c>
      <c r="B310" s="1226">
        <v>5.7530000000000001</v>
      </c>
      <c r="C310" s="1226">
        <v>5.7530000000000001</v>
      </c>
      <c r="D310" s="1226">
        <v>6.0075000000000003</v>
      </c>
      <c r="E310" s="1226">
        <v>6.0075000000000003</v>
      </c>
      <c r="F310" s="1226">
        <v>6.0075000000000003</v>
      </c>
      <c r="G310" s="1226">
        <v>5.5590000000000002</v>
      </c>
      <c r="H310" s="1226">
        <v>5.5590000000000002</v>
      </c>
      <c r="I310" s="1226">
        <v>5</v>
      </c>
      <c r="J310" s="1226">
        <v>5</v>
      </c>
      <c r="K310" s="1226">
        <v>5</v>
      </c>
      <c r="L310" s="1226">
        <v>5</v>
      </c>
      <c r="M310" s="1226">
        <v>5</v>
      </c>
    </row>
    <row r="311" spans="1:13">
      <c r="A311" s="1223">
        <v>0.3</v>
      </c>
      <c r="B311" s="1226">
        <v>3.8353000000000002</v>
      </c>
      <c r="C311" s="1226">
        <v>3.8353000000000002</v>
      </c>
      <c r="D311" s="1226">
        <v>4.0049999999999999</v>
      </c>
      <c r="E311" s="1226">
        <v>4.0049999999999999</v>
      </c>
      <c r="F311" s="1226">
        <v>4.0049999999999999</v>
      </c>
      <c r="G311" s="1226">
        <v>3.706</v>
      </c>
      <c r="H311" s="1226">
        <v>3.706</v>
      </c>
      <c r="I311" s="1226">
        <v>3.3332999999999999</v>
      </c>
      <c r="J311" s="1226">
        <v>3.3332999999999999</v>
      </c>
      <c r="K311" s="1226">
        <v>3.3332999999999999</v>
      </c>
      <c r="L311" s="1226">
        <v>3.3332999999999999</v>
      </c>
      <c r="M311" s="1226">
        <v>3.3332999999999999</v>
      </c>
    </row>
    <row r="312" spans="1:13">
      <c r="A312" s="1223">
        <v>0.4</v>
      </c>
      <c r="B312" s="1226">
        <v>2.8765000000000001</v>
      </c>
      <c r="C312" s="1226">
        <v>2.8765000000000001</v>
      </c>
      <c r="D312" s="1226">
        <v>3.0038</v>
      </c>
      <c r="E312" s="1226">
        <v>3.0038</v>
      </c>
      <c r="F312" s="1226">
        <v>3.0038</v>
      </c>
      <c r="G312" s="1226">
        <v>2.7795000000000001</v>
      </c>
      <c r="H312" s="1226">
        <v>2.7795000000000001</v>
      </c>
      <c r="I312" s="1226">
        <v>2.5</v>
      </c>
      <c r="J312" s="1226">
        <v>2.5</v>
      </c>
      <c r="K312" s="1226">
        <v>2.5</v>
      </c>
      <c r="L312" s="1226">
        <v>2.5</v>
      </c>
      <c r="M312" s="1226">
        <v>2.5</v>
      </c>
    </row>
    <row r="313" spans="1:13">
      <c r="A313" s="1223">
        <v>0.5</v>
      </c>
      <c r="B313" s="1226">
        <v>2.3012000000000001</v>
      </c>
      <c r="C313" s="1226">
        <v>2.3012000000000001</v>
      </c>
      <c r="D313" s="1226">
        <v>2.403</v>
      </c>
      <c r="E313" s="1226">
        <v>2.403</v>
      </c>
      <c r="F313" s="1226">
        <v>2.403</v>
      </c>
      <c r="G313" s="1226">
        <v>2.2235999999999998</v>
      </c>
      <c r="H313" s="1226">
        <v>2.2235999999999998</v>
      </c>
      <c r="I313" s="1226">
        <v>2</v>
      </c>
      <c r="J313" s="1226">
        <v>2</v>
      </c>
      <c r="K313" s="1226">
        <v>2</v>
      </c>
      <c r="L313" s="1226">
        <v>2</v>
      </c>
      <c r="M313" s="1226">
        <v>2</v>
      </c>
    </row>
    <row r="314" spans="1:13">
      <c r="A314" s="1223">
        <v>0.6</v>
      </c>
      <c r="B314" s="1226">
        <v>1.9177</v>
      </c>
      <c r="C314" s="1226">
        <v>1.9177</v>
      </c>
      <c r="D314" s="1226">
        <v>2.0024999999999999</v>
      </c>
      <c r="E314" s="1226">
        <v>2.0024999999999999</v>
      </c>
      <c r="F314" s="1226">
        <v>2.0024999999999999</v>
      </c>
      <c r="G314" s="1226">
        <v>1.853</v>
      </c>
      <c r="H314" s="1226">
        <v>1.853</v>
      </c>
      <c r="I314" s="1226">
        <v>1.6667000000000001</v>
      </c>
      <c r="J314" s="1226">
        <v>1.6667000000000001</v>
      </c>
      <c r="K314" s="1226">
        <v>1.6667000000000001</v>
      </c>
      <c r="L314" s="1226">
        <v>1.6667000000000001</v>
      </c>
      <c r="M314" s="1226">
        <v>1.6667000000000001</v>
      </c>
    </row>
    <row r="315" spans="1:13">
      <c r="A315" s="1223">
        <v>0.7</v>
      </c>
      <c r="B315" s="1226">
        <v>1.6436999999999999</v>
      </c>
      <c r="C315" s="1226">
        <v>1.6436999999999999</v>
      </c>
      <c r="D315" s="1226">
        <v>1.7163999999999999</v>
      </c>
      <c r="E315" s="1226">
        <v>1.7163999999999999</v>
      </c>
      <c r="F315" s="1226">
        <v>1.7163999999999999</v>
      </c>
      <c r="G315" s="1226">
        <v>1.5883</v>
      </c>
      <c r="H315" s="1226">
        <v>1.5883</v>
      </c>
      <c r="I315" s="1226">
        <v>1.4286000000000001</v>
      </c>
      <c r="J315" s="1226">
        <v>1.4286000000000001</v>
      </c>
      <c r="K315" s="1226">
        <v>1.4286000000000001</v>
      </c>
      <c r="L315" s="1226">
        <v>1.4286000000000001</v>
      </c>
      <c r="M315" s="1226">
        <v>1.4286000000000001</v>
      </c>
    </row>
    <row r="316" spans="1:13">
      <c r="A316" s="1223">
        <v>0.8</v>
      </c>
      <c r="B316" s="1226">
        <v>1.4382999999999999</v>
      </c>
      <c r="C316" s="1226">
        <v>1.4382999999999999</v>
      </c>
      <c r="D316" s="1226">
        <v>1.5019</v>
      </c>
      <c r="E316" s="1226">
        <v>1.5019</v>
      </c>
      <c r="F316" s="1226">
        <v>1.5019</v>
      </c>
      <c r="G316" s="1226">
        <v>1.3897999999999999</v>
      </c>
      <c r="H316" s="1226">
        <v>1.3897999999999999</v>
      </c>
      <c r="I316" s="1226">
        <v>1.25</v>
      </c>
      <c r="J316" s="1226">
        <v>1.25</v>
      </c>
      <c r="K316" s="1226">
        <v>1.25</v>
      </c>
      <c r="L316" s="1226">
        <v>1.25</v>
      </c>
      <c r="M316" s="1226">
        <v>1.25</v>
      </c>
    </row>
    <row r="317" spans="1:13">
      <c r="A317" s="1223">
        <v>0.9</v>
      </c>
      <c r="B317" s="1226">
        <v>1.2784</v>
      </c>
      <c r="C317" s="1226">
        <v>1.2784</v>
      </c>
      <c r="D317" s="1226">
        <v>1.335</v>
      </c>
      <c r="E317" s="1226">
        <v>1.335</v>
      </c>
      <c r="F317" s="1226">
        <v>1.335</v>
      </c>
      <c r="G317" s="1226">
        <v>1.2353000000000001</v>
      </c>
      <c r="H317" s="1226">
        <v>1.2353000000000001</v>
      </c>
      <c r="I317" s="1226">
        <v>1.1111</v>
      </c>
      <c r="J317" s="1226">
        <v>1.1111</v>
      </c>
      <c r="K317" s="1226">
        <v>1.1111</v>
      </c>
      <c r="L317" s="1226">
        <v>1.1111</v>
      </c>
      <c r="M317" s="1226">
        <v>1.1111</v>
      </c>
    </row>
    <row r="318" spans="1:13">
      <c r="A318" s="1223">
        <v>1</v>
      </c>
      <c r="B318" s="1226">
        <v>1.1506000000000001</v>
      </c>
      <c r="C318" s="1226">
        <v>1.1506000000000001</v>
      </c>
      <c r="D318" s="1226">
        <v>1.2015</v>
      </c>
      <c r="E318" s="1226">
        <v>1.2015</v>
      </c>
      <c r="F318" s="1226">
        <v>1.2015</v>
      </c>
      <c r="G318" s="1226">
        <v>1.1117999999999999</v>
      </c>
      <c r="H318" s="1226">
        <v>1.1117999999999999</v>
      </c>
      <c r="I318" s="1226">
        <v>1</v>
      </c>
      <c r="J318" s="1226">
        <v>1</v>
      </c>
      <c r="K318" s="1226">
        <v>1</v>
      </c>
      <c r="L318" s="1226">
        <v>1</v>
      </c>
      <c r="M318" s="1226">
        <v>1</v>
      </c>
    </row>
    <row r="319" spans="1:13">
      <c r="A319" s="1223">
        <v>1.1000000000000001</v>
      </c>
      <c r="B319" s="1226">
        <v>1.1158999999999999</v>
      </c>
      <c r="C319" s="1226">
        <v>1.1158999999999999</v>
      </c>
      <c r="D319" s="1226">
        <v>1.1440999999999999</v>
      </c>
      <c r="E319" s="1226">
        <v>1.1440999999999999</v>
      </c>
      <c r="F319" s="1226">
        <v>1.1440999999999999</v>
      </c>
      <c r="G319" s="1226">
        <v>1.0492999999999999</v>
      </c>
      <c r="H319" s="1226">
        <v>1.0492999999999999</v>
      </c>
      <c r="I319" s="1226">
        <v>0.93730000000000002</v>
      </c>
      <c r="J319" s="1226">
        <v>0.93730000000000002</v>
      </c>
      <c r="K319" s="1226">
        <v>0.93730000000000002</v>
      </c>
      <c r="L319" s="1226">
        <v>0.93730000000000002</v>
      </c>
      <c r="M319" s="1226">
        <v>0.93730000000000002</v>
      </c>
    </row>
    <row r="320" spans="1:13">
      <c r="A320" s="1223">
        <v>1.2</v>
      </c>
      <c r="B320" s="1226">
        <v>1.0837000000000001</v>
      </c>
      <c r="C320" s="1226">
        <v>1.0837000000000001</v>
      </c>
      <c r="D320" s="1226">
        <v>1.0972999999999999</v>
      </c>
      <c r="E320" s="1226">
        <v>1.0972999999999999</v>
      </c>
      <c r="F320" s="1226">
        <v>1.0972999999999999</v>
      </c>
      <c r="G320" s="1226">
        <v>1</v>
      </c>
      <c r="H320" s="1226">
        <v>1</v>
      </c>
      <c r="I320" s="1226">
        <v>0.88890000000000002</v>
      </c>
      <c r="J320" s="1226">
        <v>0.88890000000000002</v>
      </c>
      <c r="K320" s="1226">
        <v>0.88890000000000002</v>
      </c>
      <c r="L320" s="1226">
        <v>0.88890000000000002</v>
      </c>
      <c r="M320" s="1226">
        <v>0.88890000000000002</v>
      </c>
    </row>
    <row r="321" spans="1:13">
      <c r="A321" s="1223">
        <v>1.3</v>
      </c>
      <c r="B321" s="1226">
        <v>1.0538000000000001</v>
      </c>
      <c r="C321" s="1226">
        <v>1.0538000000000001</v>
      </c>
      <c r="D321" s="1226">
        <v>1.0589999999999999</v>
      </c>
      <c r="E321" s="1226">
        <v>1.0589999999999999</v>
      </c>
      <c r="F321" s="1226">
        <v>1.0589999999999999</v>
      </c>
      <c r="G321" s="1226">
        <v>0.96140000000000003</v>
      </c>
      <c r="H321" s="1226">
        <v>0.96140000000000003</v>
      </c>
      <c r="I321" s="1226">
        <v>0.85209999999999997</v>
      </c>
      <c r="J321" s="1226">
        <v>0.85209999999999997</v>
      </c>
      <c r="K321" s="1226">
        <v>0.85209999999999997</v>
      </c>
      <c r="L321" s="1226">
        <v>0.85209999999999997</v>
      </c>
      <c r="M321" s="1226">
        <v>0.85209999999999997</v>
      </c>
    </row>
    <row r="322" spans="1:13">
      <c r="A322" s="1223">
        <v>1.4</v>
      </c>
      <c r="B322" s="1226">
        <v>1.026</v>
      </c>
      <c r="C322" s="1226">
        <v>1.026</v>
      </c>
      <c r="D322" s="1226">
        <v>1.0271999999999999</v>
      </c>
      <c r="E322" s="1226">
        <v>1.0271999999999999</v>
      </c>
      <c r="F322" s="1226">
        <v>1.0271999999999999</v>
      </c>
      <c r="G322" s="1226">
        <v>0.93079999999999996</v>
      </c>
      <c r="H322" s="1226">
        <v>0.93079999999999996</v>
      </c>
      <c r="I322" s="1226">
        <v>0.82379999999999998</v>
      </c>
      <c r="J322" s="1226">
        <v>0.82379999999999998</v>
      </c>
      <c r="K322" s="1226">
        <v>0.82379999999999998</v>
      </c>
      <c r="L322" s="1226">
        <v>0.82379999999999998</v>
      </c>
      <c r="M322" s="1226">
        <v>0.82379999999999998</v>
      </c>
    </row>
    <row r="323" spans="1:13">
      <c r="A323" s="1223">
        <v>1.5</v>
      </c>
      <c r="B323" s="1226">
        <v>1</v>
      </c>
      <c r="C323" s="1226">
        <v>1</v>
      </c>
      <c r="D323" s="1226">
        <v>1</v>
      </c>
      <c r="E323" s="1226">
        <v>1</v>
      </c>
      <c r="F323" s="1226">
        <v>1</v>
      </c>
      <c r="G323" s="1226">
        <v>0.90559999999999996</v>
      </c>
      <c r="H323" s="1226">
        <v>0.90559999999999996</v>
      </c>
      <c r="I323" s="1226">
        <v>0.80110000000000003</v>
      </c>
      <c r="J323" s="1226">
        <v>0.80110000000000003</v>
      </c>
      <c r="K323" s="1226">
        <v>0.80110000000000003</v>
      </c>
      <c r="L323" s="1226">
        <v>0.80110000000000003</v>
      </c>
      <c r="M323" s="1226">
        <v>0.80110000000000003</v>
      </c>
    </row>
    <row r="324" spans="1:13">
      <c r="A324" s="1223">
        <v>1.6</v>
      </c>
      <c r="B324" s="1226">
        <v>0.97570000000000001</v>
      </c>
      <c r="C324" s="1226">
        <v>0.97570000000000001</v>
      </c>
      <c r="D324" s="1226">
        <v>0.97519999999999996</v>
      </c>
      <c r="E324" s="1226">
        <v>0.97519999999999996</v>
      </c>
      <c r="F324" s="1226">
        <v>0.97519999999999996</v>
      </c>
      <c r="G324" s="1226">
        <v>0.8831</v>
      </c>
      <c r="H324" s="1226">
        <v>0.8831</v>
      </c>
      <c r="I324" s="1226">
        <v>0.78100000000000003</v>
      </c>
      <c r="J324" s="1226">
        <v>0.78100000000000003</v>
      </c>
      <c r="K324" s="1226">
        <v>0.78100000000000003</v>
      </c>
      <c r="L324" s="1226">
        <v>0.78100000000000003</v>
      </c>
      <c r="M324" s="1226">
        <v>0.78100000000000003</v>
      </c>
    </row>
    <row r="325" spans="1:13">
      <c r="A325" s="1223">
        <v>1.7</v>
      </c>
      <c r="B325" s="1226">
        <v>0.95289999999999997</v>
      </c>
      <c r="C325" s="1226">
        <v>0.95289999999999997</v>
      </c>
      <c r="D325" s="1226">
        <v>0.95189999999999997</v>
      </c>
      <c r="E325" s="1226">
        <v>0.95189999999999997</v>
      </c>
      <c r="F325" s="1226">
        <v>0.95189999999999997</v>
      </c>
      <c r="G325" s="1226">
        <v>0.86180000000000001</v>
      </c>
      <c r="H325" s="1226">
        <v>0.86180000000000001</v>
      </c>
      <c r="I325" s="1226">
        <v>0.7621</v>
      </c>
      <c r="J325" s="1226">
        <v>0.7621</v>
      </c>
      <c r="K325" s="1226">
        <v>0.7621</v>
      </c>
      <c r="L325" s="1226">
        <v>0.7621</v>
      </c>
      <c r="M325" s="1226">
        <v>0.7621</v>
      </c>
    </row>
    <row r="326" spans="1:13">
      <c r="A326" s="1223">
        <v>1.8</v>
      </c>
      <c r="B326" s="1226">
        <v>0.93149999999999999</v>
      </c>
      <c r="C326" s="1226">
        <v>0.93149999999999999</v>
      </c>
      <c r="D326" s="1226">
        <v>0.93</v>
      </c>
      <c r="E326" s="1226">
        <v>0.93</v>
      </c>
      <c r="F326" s="1226">
        <v>0.93</v>
      </c>
      <c r="G326" s="1226">
        <v>0.84179999999999999</v>
      </c>
      <c r="H326" s="1226">
        <v>0.84179999999999999</v>
      </c>
      <c r="I326" s="1226">
        <v>0.74419999999999997</v>
      </c>
      <c r="J326" s="1226">
        <v>0.74419999999999997</v>
      </c>
      <c r="K326" s="1226">
        <v>0.74419999999999997</v>
      </c>
      <c r="L326" s="1226">
        <v>0.74419999999999997</v>
      </c>
      <c r="M326" s="1226">
        <v>0.74419999999999997</v>
      </c>
    </row>
    <row r="327" spans="1:13">
      <c r="A327" s="1223">
        <v>1.9</v>
      </c>
      <c r="B327" s="1226">
        <v>0.91139999999999999</v>
      </c>
      <c r="C327" s="1226">
        <v>0.91139999999999999</v>
      </c>
      <c r="D327" s="1226">
        <v>0.90939999999999999</v>
      </c>
      <c r="E327" s="1226">
        <v>0.90939999999999999</v>
      </c>
      <c r="F327" s="1226">
        <v>0.90939999999999999</v>
      </c>
      <c r="G327" s="1226">
        <v>0.82289999999999996</v>
      </c>
      <c r="H327" s="1226">
        <v>0.82289999999999996</v>
      </c>
      <c r="I327" s="1226">
        <v>0.72740000000000005</v>
      </c>
      <c r="J327" s="1226">
        <v>0.72740000000000005</v>
      </c>
      <c r="K327" s="1226">
        <v>0.72740000000000005</v>
      </c>
      <c r="L327" s="1226">
        <v>0.72740000000000005</v>
      </c>
      <c r="M327" s="1226">
        <v>0.72740000000000005</v>
      </c>
    </row>
    <row r="328" spans="1:13">
      <c r="A328" s="1223">
        <v>2</v>
      </c>
      <c r="B328" s="1226">
        <v>0.89270000000000005</v>
      </c>
      <c r="C328" s="1226">
        <v>0.89270000000000005</v>
      </c>
      <c r="D328" s="1226">
        <v>0.8901</v>
      </c>
      <c r="E328" s="1226">
        <v>0.8901</v>
      </c>
      <c r="F328" s="1226">
        <v>0.8901</v>
      </c>
      <c r="G328" s="1226">
        <v>0.80530000000000002</v>
      </c>
      <c r="H328" s="1226">
        <v>0.80530000000000002</v>
      </c>
      <c r="I328" s="1226">
        <v>0.71160000000000001</v>
      </c>
      <c r="J328" s="1226">
        <v>0.71160000000000001</v>
      </c>
      <c r="K328" s="1226">
        <v>0.71160000000000001</v>
      </c>
      <c r="L328" s="1226">
        <v>0.71160000000000001</v>
      </c>
      <c r="M328" s="1226">
        <v>0.71160000000000001</v>
      </c>
    </row>
    <row r="329" spans="1:13">
      <c r="A329" s="1227">
        <v>2.1</v>
      </c>
      <c r="B329" s="1226">
        <v>0.87519999999999998</v>
      </c>
      <c r="C329" s="1226">
        <v>0.87519999999999998</v>
      </c>
      <c r="D329" s="1226">
        <v>0.872</v>
      </c>
      <c r="E329" s="1226">
        <v>0.872</v>
      </c>
      <c r="F329" s="1226">
        <v>0.872</v>
      </c>
      <c r="G329" s="1226">
        <v>0.78869999999999996</v>
      </c>
      <c r="H329" s="1226">
        <v>0.78869999999999996</v>
      </c>
      <c r="I329" s="1226">
        <v>0.69669999999999999</v>
      </c>
      <c r="J329" s="1226">
        <v>0.69669999999999999</v>
      </c>
      <c r="K329" s="1226">
        <v>0.69669999999999999</v>
      </c>
      <c r="L329" s="1226">
        <v>0.69669999999999999</v>
      </c>
      <c r="M329" s="1226">
        <v>0.69669999999999999</v>
      </c>
    </row>
    <row r="330" spans="1:13">
      <c r="A330" s="1227">
        <v>2.2000000000000002</v>
      </c>
      <c r="B330" s="1226">
        <v>0.85880000000000001</v>
      </c>
      <c r="C330" s="1226">
        <v>0.85880000000000001</v>
      </c>
      <c r="D330" s="1226">
        <v>0.85499999999999998</v>
      </c>
      <c r="E330" s="1226">
        <v>0.85499999999999998</v>
      </c>
      <c r="F330" s="1226">
        <v>0.85499999999999998</v>
      </c>
      <c r="G330" s="1226">
        <v>0.77300000000000002</v>
      </c>
      <c r="H330" s="1226">
        <v>0.77300000000000002</v>
      </c>
      <c r="I330" s="1226">
        <v>0.68269999999999997</v>
      </c>
      <c r="J330" s="1226">
        <v>0.68269999999999997</v>
      </c>
      <c r="K330" s="1226">
        <v>0.68269999999999997</v>
      </c>
      <c r="L330" s="1226">
        <v>0.68269999999999997</v>
      </c>
      <c r="M330" s="1226">
        <v>0.68269999999999997</v>
      </c>
    </row>
    <row r="331" spans="1:13">
      <c r="A331" s="1227">
        <v>2.2999999999999998</v>
      </c>
      <c r="B331" s="1226">
        <v>0.84360000000000002</v>
      </c>
      <c r="C331" s="1226">
        <v>0.84360000000000002</v>
      </c>
      <c r="D331" s="1226">
        <v>0.83899999999999997</v>
      </c>
      <c r="E331" s="1226">
        <v>0.83899999999999997</v>
      </c>
      <c r="F331" s="1226">
        <v>0.83899999999999997</v>
      </c>
      <c r="G331" s="1226">
        <v>0.75839999999999996</v>
      </c>
      <c r="H331" s="1226">
        <v>0.75839999999999996</v>
      </c>
      <c r="I331" s="1226">
        <v>0.66949999999999998</v>
      </c>
      <c r="J331" s="1226">
        <v>0.66949999999999998</v>
      </c>
      <c r="K331" s="1226">
        <v>0.66949999999999998</v>
      </c>
      <c r="L331" s="1226">
        <v>0.66949999999999998</v>
      </c>
      <c r="M331" s="1226">
        <v>0.66949999999999998</v>
      </c>
    </row>
    <row r="332" spans="1:13">
      <c r="A332" s="1227">
        <v>2.4</v>
      </c>
      <c r="B332" s="1226">
        <v>0.82940000000000003</v>
      </c>
      <c r="C332" s="1226">
        <v>0.82940000000000003</v>
      </c>
      <c r="D332" s="1226">
        <v>0.82410000000000005</v>
      </c>
      <c r="E332" s="1226">
        <v>0.82410000000000005</v>
      </c>
      <c r="F332" s="1226">
        <v>0.82410000000000005</v>
      </c>
      <c r="G332" s="1226">
        <v>0.74460000000000004</v>
      </c>
      <c r="H332" s="1226">
        <v>0.74460000000000004</v>
      </c>
      <c r="I332" s="1226">
        <v>0.65710000000000002</v>
      </c>
      <c r="J332" s="1226">
        <v>0.65710000000000002</v>
      </c>
      <c r="K332" s="1226">
        <v>0.65710000000000002</v>
      </c>
      <c r="L332" s="1226">
        <v>0.65710000000000002</v>
      </c>
      <c r="M332" s="1226">
        <v>0.65710000000000002</v>
      </c>
    </row>
    <row r="333" spans="1:13">
      <c r="A333" s="1227">
        <v>2.5</v>
      </c>
      <c r="B333" s="1226">
        <v>0.81620000000000004</v>
      </c>
      <c r="C333" s="1226">
        <v>0.81620000000000004</v>
      </c>
      <c r="D333" s="1226">
        <v>0.81020000000000003</v>
      </c>
      <c r="E333" s="1226">
        <v>0.81020000000000003</v>
      </c>
      <c r="F333" s="1226">
        <v>0.81020000000000003</v>
      </c>
      <c r="G333" s="1226">
        <v>0.73180000000000001</v>
      </c>
      <c r="H333" s="1226">
        <v>0.73180000000000001</v>
      </c>
      <c r="I333" s="1226">
        <v>0.64549999999999996</v>
      </c>
      <c r="J333" s="1226">
        <v>0.64549999999999996</v>
      </c>
      <c r="K333" s="1226">
        <v>0.64549999999999996</v>
      </c>
      <c r="L333" s="1226">
        <v>0.64549999999999996</v>
      </c>
      <c r="M333" s="1226">
        <v>0.64549999999999996</v>
      </c>
    </row>
    <row r="334" spans="1:13">
      <c r="A334" s="1227">
        <v>2.6</v>
      </c>
      <c r="B334" s="1226">
        <v>0.80389999999999995</v>
      </c>
      <c r="C334" s="1226">
        <v>0.80389999999999995</v>
      </c>
      <c r="D334" s="1226">
        <v>0.79710000000000003</v>
      </c>
      <c r="E334" s="1226">
        <v>0.79710000000000003</v>
      </c>
      <c r="F334" s="1226">
        <v>0.79710000000000003</v>
      </c>
      <c r="G334" s="1226">
        <v>0.71970000000000001</v>
      </c>
      <c r="H334" s="1226">
        <v>0.71970000000000001</v>
      </c>
      <c r="I334" s="1226">
        <v>0.63460000000000005</v>
      </c>
      <c r="J334" s="1226">
        <v>0.63460000000000005</v>
      </c>
      <c r="K334" s="1226">
        <v>0.63460000000000005</v>
      </c>
      <c r="L334" s="1226">
        <v>0.63460000000000005</v>
      </c>
      <c r="M334" s="1226">
        <v>0.63460000000000005</v>
      </c>
    </row>
    <row r="335" spans="1:13">
      <c r="A335" s="1227">
        <v>2.7</v>
      </c>
      <c r="B335" s="1226">
        <v>0.79249999999999998</v>
      </c>
      <c r="C335" s="1226">
        <v>0.79249999999999998</v>
      </c>
      <c r="D335" s="1226">
        <v>0.78490000000000004</v>
      </c>
      <c r="E335" s="1226">
        <v>0.78490000000000004</v>
      </c>
      <c r="F335" s="1226">
        <v>0.78490000000000004</v>
      </c>
      <c r="G335" s="1226">
        <v>0.70840000000000003</v>
      </c>
      <c r="H335" s="1226">
        <v>0.70840000000000003</v>
      </c>
      <c r="I335" s="1226">
        <v>0.62439999999999996</v>
      </c>
      <c r="J335" s="1226">
        <v>0.62439999999999996</v>
      </c>
      <c r="K335" s="1226">
        <v>0.62439999999999996</v>
      </c>
      <c r="L335" s="1226">
        <v>0.62439999999999996</v>
      </c>
      <c r="M335" s="1226">
        <v>0.62439999999999996</v>
      </c>
    </row>
    <row r="336" spans="1:13">
      <c r="A336" s="1227">
        <v>2.8</v>
      </c>
      <c r="B336" s="1226">
        <v>0.78190000000000004</v>
      </c>
      <c r="C336" s="1226">
        <v>0.78190000000000004</v>
      </c>
      <c r="D336" s="1226">
        <v>0.77359999999999995</v>
      </c>
      <c r="E336" s="1226">
        <v>0.77359999999999995</v>
      </c>
      <c r="F336" s="1226">
        <v>0.77359999999999995</v>
      </c>
      <c r="G336" s="1226">
        <v>0.69789999999999996</v>
      </c>
      <c r="H336" s="1226">
        <v>0.69789999999999996</v>
      </c>
      <c r="I336" s="1226">
        <v>0.61480000000000001</v>
      </c>
      <c r="J336" s="1226">
        <v>0.61480000000000001</v>
      </c>
      <c r="K336" s="1226">
        <v>0.61480000000000001</v>
      </c>
      <c r="L336" s="1226">
        <v>0.61480000000000001</v>
      </c>
      <c r="M336" s="1226">
        <v>0.61480000000000001</v>
      </c>
    </row>
    <row r="337" spans="1:13">
      <c r="A337" s="1227">
        <v>2.9</v>
      </c>
      <c r="B337" s="1226">
        <v>0.77210000000000001</v>
      </c>
      <c r="C337" s="1226">
        <v>0.77210000000000001</v>
      </c>
      <c r="D337" s="1226">
        <v>0.76300000000000001</v>
      </c>
      <c r="E337" s="1226">
        <v>0.76300000000000001</v>
      </c>
      <c r="F337" s="1226">
        <v>0.76300000000000001</v>
      </c>
      <c r="G337" s="1226">
        <v>0.68799999999999994</v>
      </c>
      <c r="H337" s="1226">
        <v>0.68799999999999994</v>
      </c>
      <c r="I337" s="1226">
        <v>0.60589999999999999</v>
      </c>
      <c r="J337" s="1226">
        <v>0.60589999999999999</v>
      </c>
      <c r="K337" s="1226">
        <v>0.60589999999999999</v>
      </c>
      <c r="L337" s="1226">
        <v>0.60589999999999999</v>
      </c>
      <c r="M337" s="1226">
        <v>0.60589999999999999</v>
      </c>
    </row>
    <row r="338" spans="1:13">
      <c r="A338" s="1227">
        <v>3</v>
      </c>
      <c r="B338" s="1226">
        <v>0.7631</v>
      </c>
      <c r="C338" s="1226">
        <v>0.7631</v>
      </c>
      <c r="D338" s="1226">
        <v>0.75309999999999999</v>
      </c>
      <c r="E338" s="1226">
        <v>0.75309999999999999</v>
      </c>
      <c r="F338" s="1226">
        <v>0.75309999999999999</v>
      </c>
      <c r="G338" s="1226">
        <v>0.67879999999999996</v>
      </c>
      <c r="H338" s="1226">
        <v>0.67879999999999996</v>
      </c>
      <c r="I338" s="1226">
        <v>0.59750000000000003</v>
      </c>
      <c r="J338" s="1226">
        <v>0.59750000000000003</v>
      </c>
      <c r="K338" s="1226">
        <v>0.59750000000000003</v>
      </c>
      <c r="L338" s="1226">
        <v>0.59750000000000003</v>
      </c>
      <c r="M338" s="1226">
        <v>0.59750000000000003</v>
      </c>
    </row>
    <row r="339" spans="1:13">
      <c r="A339" s="1227">
        <v>3.1</v>
      </c>
      <c r="B339" s="1226">
        <v>0.75470000000000004</v>
      </c>
      <c r="C339" s="1226">
        <v>0.75470000000000004</v>
      </c>
      <c r="D339" s="1226">
        <v>0.74399999999999999</v>
      </c>
      <c r="E339" s="1226">
        <v>0.74399999999999999</v>
      </c>
      <c r="F339" s="1226">
        <v>0.74399999999999999</v>
      </c>
      <c r="G339" s="1226">
        <v>0.67020000000000002</v>
      </c>
      <c r="H339" s="1226">
        <v>0.67020000000000002</v>
      </c>
      <c r="I339" s="1226">
        <v>0.5897</v>
      </c>
      <c r="J339" s="1226">
        <v>0.5897</v>
      </c>
      <c r="K339" s="1226">
        <v>0.5897</v>
      </c>
      <c r="L339" s="1226">
        <v>0.5897</v>
      </c>
      <c r="M339" s="1226">
        <v>0.5897</v>
      </c>
    </row>
    <row r="340" spans="1:13">
      <c r="A340" s="1227">
        <v>3.2</v>
      </c>
      <c r="B340" s="1226">
        <v>0.747</v>
      </c>
      <c r="C340" s="1226">
        <v>0.747</v>
      </c>
      <c r="D340" s="1226">
        <v>0.73540000000000005</v>
      </c>
      <c r="E340" s="1226">
        <v>0.73540000000000005</v>
      </c>
      <c r="F340" s="1226">
        <v>0.73540000000000005</v>
      </c>
      <c r="G340" s="1226">
        <v>0.66220000000000001</v>
      </c>
      <c r="H340" s="1226">
        <v>0.66220000000000001</v>
      </c>
      <c r="I340" s="1226">
        <v>0.58230000000000004</v>
      </c>
      <c r="J340" s="1226">
        <v>0.58230000000000004</v>
      </c>
      <c r="K340" s="1226">
        <v>0.58230000000000004</v>
      </c>
      <c r="L340" s="1226">
        <v>0.58230000000000004</v>
      </c>
      <c r="M340" s="1226">
        <v>0.58230000000000004</v>
      </c>
    </row>
    <row r="341" spans="1:13">
      <c r="A341" s="1227">
        <v>3.3</v>
      </c>
      <c r="B341" s="1226">
        <v>0.7399</v>
      </c>
      <c r="C341" s="1226">
        <v>0.7399</v>
      </c>
      <c r="D341" s="1226">
        <v>0.72750000000000004</v>
      </c>
      <c r="E341" s="1226">
        <v>0.72750000000000004</v>
      </c>
      <c r="F341" s="1226">
        <v>0.72750000000000004</v>
      </c>
      <c r="G341" s="1226">
        <v>0.65480000000000005</v>
      </c>
      <c r="H341" s="1226">
        <v>0.65480000000000005</v>
      </c>
      <c r="I341" s="1226">
        <v>0.57540000000000002</v>
      </c>
      <c r="J341" s="1226">
        <v>0.57540000000000002</v>
      </c>
      <c r="K341" s="1226">
        <v>0.57540000000000002</v>
      </c>
      <c r="L341" s="1226">
        <v>0.57540000000000002</v>
      </c>
      <c r="M341" s="1226">
        <v>0.57540000000000002</v>
      </c>
    </row>
    <row r="342" spans="1:13">
      <c r="A342" s="1227">
        <v>3.4</v>
      </c>
      <c r="B342" s="1226">
        <v>0.73340000000000005</v>
      </c>
      <c r="C342" s="1226">
        <v>0.73340000000000005</v>
      </c>
      <c r="D342" s="1226">
        <v>0.72009999999999996</v>
      </c>
      <c r="E342" s="1226">
        <v>0.72009999999999996</v>
      </c>
      <c r="F342" s="1226">
        <v>0.72009999999999996</v>
      </c>
      <c r="G342" s="1226">
        <v>0.64780000000000004</v>
      </c>
      <c r="H342" s="1226">
        <v>0.64780000000000004</v>
      </c>
      <c r="I342" s="1226">
        <v>0.56899999999999995</v>
      </c>
      <c r="J342" s="1226">
        <v>0.56899999999999995</v>
      </c>
      <c r="K342" s="1226">
        <v>0.56899999999999995</v>
      </c>
      <c r="L342" s="1226">
        <v>0.56899999999999995</v>
      </c>
      <c r="M342" s="1226">
        <v>0.56899999999999995</v>
      </c>
    </row>
    <row r="343" spans="1:13">
      <c r="A343" s="1227">
        <v>3.5</v>
      </c>
      <c r="B343" s="1226">
        <v>0.72740000000000005</v>
      </c>
      <c r="C343" s="1226">
        <v>0.72740000000000005</v>
      </c>
      <c r="D343" s="1226">
        <v>0.71330000000000005</v>
      </c>
      <c r="E343" s="1226">
        <v>0.71330000000000005</v>
      </c>
      <c r="F343" s="1226">
        <v>0.71330000000000005</v>
      </c>
      <c r="G343" s="1226">
        <v>0.64129999999999998</v>
      </c>
      <c r="H343" s="1226">
        <v>0.64129999999999998</v>
      </c>
      <c r="I343" s="1226">
        <v>0.56310000000000004</v>
      </c>
      <c r="J343" s="1226">
        <v>0.56310000000000004</v>
      </c>
      <c r="K343" s="1226">
        <v>0.56310000000000004</v>
      </c>
      <c r="L343" s="1226">
        <v>0.56310000000000004</v>
      </c>
      <c r="M343" s="1226">
        <v>0.56310000000000004</v>
      </c>
    </row>
    <row r="344" spans="1:13">
      <c r="A344" s="1227">
        <v>3.6</v>
      </c>
      <c r="B344" s="1226">
        <v>0.72189999999999999</v>
      </c>
      <c r="C344" s="1226">
        <v>0.72189999999999999</v>
      </c>
      <c r="D344" s="1226">
        <v>0.70699999999999996</v>
      </c>
      <c r="E344" s="1226">
        <v>0.70699999999999996</v>
      </c>
      <c r="F344" s="1226">
        <v>0.70699999999999996</v>
      </c>
      <c r="G344" s="1226">
        <v>0.63529999999999998</v>
      </c>
      <c r="H344" s="1226">
        <v>0.63529999999999998</v>
      </c>
      <c r="I344" s="1226">
        <v>0.5575</v>
      </c>
      <c r="J344" s="1226">
        <v>0.5575</v>
      </c>
      <c r="K344" s="1226">
        <v>0.5575</v>
      </c>
      <c r="L344" s="1226">
        <v>0.5575</v>
      </c>
      <c r="M344" s="1226">
        <v>0.5575</v>
      </c>
    </row>
    <row r="345" spans="1:13">
      <c r="A345" s="1227">
        <v>3.7</v>
      </c>
      <c r="B345" s="1226">
        <v>0.71679999999999999</v>
      </c>
      <c r="C345" s="1226">
        <v>0.71679999999999999</v>
      </c>
      <c r="D345" s="1226">
        <v>0.70109999999999995</v>
      </c>
      <c r="E345" s="1226">
        <v>0.70109999999999995</v>
      </c>
      <c r="F345" s="1226">
        <v>0.70109999999999995</v>
      </c>
      <c r="G345" s="1226">
        <v>0.62970000000000004</v>
      </c>
      <c r="H345" s="1226">
        <v>0.62970000000000004</v>
      </c>
      <c r="I345" s="1226">
        <v>0.55230000000000001</v>
      </c>
      <c r="J345" s="1226">
        <v>0.55230000000000001</v>
      </c>
      <c r="K345" s="1226">
        <v>0.55230000000000001</v>
      </c>
      <c r="L345" s="1226">
        <v>0.55230000000000001</v>
      </c>
      <c r="M345" s="1226">
        <v>0.55230000000000001</v>
      </c>
    </row>
    <row r="346" spans="1:13">
      <c r="A346" s="1227">
        <v>3.8</v>
      </c>
      <c r="B346" s="1226">
        <v>0.71220000000000006</v>
      </c>
      <c r="C346" s="1226">
        <v>0.71220000000000006</v>
      </c>
      <c r="D346" s="1226">
        <v>0.6956</v>
      </c>
      <c r="E346" s="1226">
        <v>0.6956</v>
      </c>
      <c r="F346" s="1226">
        <v>0.6956</v>
      </c>
      <c r="G346" s="1226">
        <v>0.62439999999999996</v>
      </c>
      <c r="H346" s="1226">
        <v>0.62439999999999996</v>
      </c>
      <c r="I346" s="1226">
        <v>0.5474</v>
      </c>
      <c r="J346" s="1226">
        <v>0.5474</v>
      </c>
      <c r="K346" s="1226">
        <v>0.5474</v>
      </c>
      <c r="L346" s="1226">
        <v>0.5474</v>
      </c>
      <c r="M346" s="1226">
        <v>0.5474</v>
      </c>
    </row>
    <row r="347" spans="1:13">
      <c r="A347" s="1227">
        <v>3.9</v>
      </c>
      <c r="B347" s="1226">
        <v>0.70799999999999996</v>
      </c>
      <c r="C347" s="1226">
        <v>0.70799999999999996</v>
      </c>
      <c r="D347" s="1226">
        <v>0.69059999999999999</v>
      </c>
      <c r="E347" s="1226">
        <v>0.69059999999999999</v>
      </c>
      <c r="F347" s="1226">
        <v>0.69059999999999999</v>
      </c>
      <c r="G347" s="1226">
        <v>0.61950000000000005</v>
      </c>
      <c r="H347" s="1226">
        <v>0.61950000000000005</v>
      </c>
      <c r="I347" s="1226">
        <v>0.54279999999999995</v>
      </c>
      <c r="J347" s="1226">
        <v>0.54279999999999995</v>
      </c>
      <c r="K347" s="1226">
        <v>0.54279999999999995</v>
      </c>
      <c r="L347" s="1226">
        <v>0.54279999999999995</v>
      </c>
      <c r="M347" s="1226">
        <v>0.54279999999999995</v>
      </c>
    </row>
    <row r="348" spans="1:13">
      <c r="A348" s="1227">
        <v>4</v>
      </c>
      <c r="B348" s="1226">
        <v>0.70409999999999995</v>
      </c>
      <c r="C348" s="1226">
        <v>0.70409999999999995</v>
      </c>
      <c r="D348" s="1226">
        <v>0.68589999999999995</v>
      </c>
      <c r="E348" s="1226">
        <v>0.68589999999999995</v>
      </c>
      <c r="F348" s="1226">
        <v>0.68589999999999995</v>
      </c>
      <c r="G348" s="1226">
        <v>0.61499999999999999</v>
      </c>
      <c r="H348" s="1226">
        <v>0.61499999999999999</v>
      </c>
      <c r="I348" s="1226">
        <v>0.53859999999999997</v>
      </c>
      <c r="J348" s="1226">
        <v>0.53859999999999997</v>
      </c>
      <c r="K348" s="1226">
        <v>0.53859999999999997</v>
      </c>
      <c r="L348" s="1226">
        <v>0.53859999999999997</v>
      </c>
      <c r="M348" s="1226">
        <v>0.53859999999999997</v>
      </c>
    </row>
    <row r="349" spans="1:13">
      <c r="A349" s="1227">
        <v>4.0999999999999996</v>
      </c>
      <c r="B349" s="1226">
        <v>0.7006</v>
      </c>
      <c r="C349" s="1226">
        <v>0.7006</v>
      </c>
      <c r="D349" s="1226">
        <v>0.68159999999999998</v>
      </c>
      <c r="E349" s="1226">
        <v>0.68159999999999998</v>
      </c>
      <c r="F349" s="1226">
        <v>0.68159999999999998</v>
      </c>
      <c r="G349" s="1226">
        <v>0.61080000000000001</v>
      </c>
      <c r="H349" s="1226">
        <v>0.61080000000000001</v>
      </c>
      <c r="I349" s="1226">
        <v>0.53459999999999996</v>
      </c>
      <c r="J349" s="1226">
        <v>0.53459999999999996</v>
      </c>
      <c r="K349" s="1226">
        <v>0.53459999999999996</v>
      </c>
      <c r="L349" s="1226">
        <v>0.53459999999999996</v>
      </c>
      <c r="M349" s="1226">
        <v>0.53459999999999996</v>
      </c>
    </row>
    <row r="350" spans="1:13">
      <c r="A350" s="1227">
        <v>4.2</v>
      </c>
      <c r="B350" s="1226">
        <v>0.69740000000000002</v>
      </c>
      <c r="C350" s="1226">
        <v>0.69740000000000002</v>
      </c>
      <c r="D350" s="1226">
        <v>0.67759999999999998</v>
      </c>
      <c r="E350" s="1226">
        <v>0.67759999999999998</v>
      </c>
      <c r="F350" s="1226">
        <v>0.67759999999999998</v>
      </c>
      <c r="G350" s="1226">
        <v>0.60699999999999998</v>
      </c>
      <c r="H350" s="1226">
        <v>0.60699999999999998</v>
      </c>
      <c r="I350" s="1226">
        <v>0.53090000000000004</v>
      </c>
      <c r="J350" s="1226">
        <v>0.53090000000000004</v>
      </c>
      <c r="K350" s="1226">
        <v>0.53090000000000004</v>
      </c>
      <c r="L350" s="1226">
        <v>0.53090000000000004</v>
      </c>
      <c r="M350" s="1226">
        <v>0.53090000000000004</v>
      </c>
    </row>
    <row r="351" spans="1:13">
      <c r="A351" s="1227">
        <v>4.3</v>
      </c>
      <c r="B351" s="1226">
        <v>0.69450000000000001</v>
      </c>
      <c r="C351" s="1226">
        <v>0.69450000000000001</v>
      </c>
      <c r="D351" s="1226">
        <v>0.67390000000000005</v>
      </c>
      <c r="E351" s="1226">
        <v>0.67390000000000005</v>
      </c>
      <c r="F351" s="1226">
        <v>0.67390000000000005</v>
      </c>
      <c r="G351" s="1226">
        <v>0.60329999999999995</v>
      </c>
      <c r="H351" s="1226">
        <v>0.60329999999999995</v>
      </c>
      <c r="I351" s="1226">
        <v>0.52739999999999998</v>
      </c>
      <c r="J351" s="1226">
        <v>0.52739999999999998</v>
      </c>
      <c r="K351" s="1226">
        <v>0.52739999999999998</v>
      </c>
      <c r="L351" s="1226">
        <v>0.52739999999999998</v>
      </c>
      <c r="M351" s="1226">
        <v>0.52739999999999998</v>
      </c>
    </row>
    <row r="352" spans="1:13">
      <c r="A352" s="1227">
        <v>4.4000000000000004</v>
      </c>
      <c r="B352" s="1226">
        <v>0.69179999999999997</v>
      </c>
      <c r="C352" s="1226">
        <v>0.69179999999999997</v>
      </c>
      <c r="D352" s="1226">
        <v>0.67049999999999998</v>
      </c>
      <c r="E352" s="1226">
        <v>0.67049999999999998</v>
      </c>
      <c r="F352" s="1226">
        <v>0.67049999999999998</v>
      </c>
      <c r="G352" s="1226">
        <v>0.59989999999999999</v>
      </c>
      <c r="H352" s="1226">
        <v>0.59989999999999999</v>
      </c>
      <c r="I352" s="1226">
        <v>0.5242</v>
      </c>
      <c r="J352" s="1226">
        <v>0.5242</v>
      </c>
      <c r="K352" s="1226">
        <v>0.5242</v>
      </c>
      <c r="L352" s="1226">
        <v>0.5242</v>
      </c>
      <c r="M352" s="1226">
        <v>0.5242</v>
      </c>
    </row>
    <row r="353" spans="1:13">
      <c r="A353" s="1227">
        <v>4.5</v>
      </c>
      <c r="B353" s="1226">
        <v>0.68940000000000001</v>
      </c>
      <c r="C353" s="1226">
        <v>0.68940000000000001</v>
      </c>
      <c r="D353" s="1226">
        <v>0.6673</v>
      </c>
      <c r="E353" s="1226">
        <v>0.6673</v>
      </c>
      <c r="F353" s="1226">
        <v>0.6673</v>
      </c>
      <c r="G353" s="1226">
        <v>0.59670000000000001</v>
      </c>
      <c r="H353" s="1226">
        <v>0.59670000000000001</v>
      </c>
      <c r="I353" s="1226">
        <v>0.52110000000000001</v>
      </c>
      <c r="J353" s="1226">
        <v>0.52110000000000001</v>
      </c>
      <c r="K353" s="1226">
        <v>0.52110000000000001</v>
      </c>
      <c r="L353" s="1226">
        <v>0.52110000000000001</v>
      </c>
      <c r="M353" s="1226">
        <v>0.52110000000000001</v>
      </c>
    </row>
    <row r="354" spans="1:13">
      <c r="A354" s="1227">
        <v>4.5999999999999996</v>
      </c>
      <c r="B354" s="1226">
        <v>0.68720000000000003</v>
      </c>
      <c r="C354" s="1226">
        <v>0.68720000000000003</v>
      </c>
      <c r="D354" s="1226">
        <v>0.6643</v>
      </c>
      <c r="E354" s="1226">
        <v>0.6643</v>
      </c>
      <c r="F354" s="1226">
        <v>0.6643</v>
      </c>
      <c r="G354" s="1226">
        <v>0.59379999999999999</v>
      </c>
      <c r="H354" s="1226">
        <v>0.59379999999999999</v>
      </c>
      <c r="I354" s="1226">
        <v>0.51819999999999999</v>
      </c>
      <c r="J354" s="1226">
        <v>0.51819999999999999</v>
      </c>
      <c r="K354" s="1226">
        <v>0.51819999999999999</v>
      </c>
      <c r="L354" s="1226">
        <v>0.51819999999999999</v>
      </c>
      <c r="M354" s="1226">
        <v>0.51819999999999999</v>
      </c>
    </row>
    <row r="355" spans="1:13">
      <c r="A355" s="1227">
        <v>4.7</v>
      </c>
      <c r="B355" s="1226">
        <v>0.68520000000000003</v>
      </c>
      <c r="C355" s="1226">
        <v>0.68520000000000003</v>
      </c>
      <c r="D355" s="1226">
        <v>0.66149999999999998</v>
      </c>
      <c r="E355" s="1226">
        <v>0.66149999999999998</v>
      </c>
      <c r="F355" s="1226">
        <v>0.66149999999999998</v>
      </c>
      <c r="G355" s="1226">
        <v>0.59109999999999996</v>
      </c>
      <c r="H355" s="1226">
        <v>0.59109999999999996</v>
      </c>
      <c r="I355" s="1226">
        <v>0.51559999999999995</v>
      </c>
      <c r="J355" s="1226">
        <v>0.51559999999999995</v>
      </c>
      <c r="K355" s="1226">
        <v>0.51559999999999995</v>
      </c>
      <c r="L355" s="1226">
        <v>0.51559999999999995</v>
      </c>
      <c r="M355" s="1226">
        <v>0.51559999999999995</v>
      </c>
    </row>
    <row r="356" spans="1:13">
      <c r="A356" s="1227">
        <v>4.8</v>
      </c>
      <c r="B356" s="1226">
        <v>0.68340000000000001</v>
      </c>
      <c r="C356" s="1226">
        <v>0.68340000000000001</v>
      </c>
      <c r="D356" s="1226">
        <v>0.65900000000000003</v>
      </c>
      <c r="E356" s="1226">
        <v>0.65900000000000003</v>
      </c>
      <c r="F356" s="1226">
        <v>0.65900000000000003</v>
      </c>
      <c r="G356" s="1226">
        <v>0.58850000000000002</v>
      </c>
      <c r="H356" s="1226">
        <v>0.58850000000000002</v>
      </c>
      <c r="I356" s="1226">
        <v>0.51300000000000001</v>
      </c>
      <c r="J356" s="1226">
        <v>0.51300000000000001</v>
      </c>
      <c r="K356" s="1226">
        <v>0.51300000000000001</v>
      </c>
      <c r="L356" s="1226">
        <v>0.51300000000000001</v>
      </c>
      <c r="M356" s="1226">
        <v>0.51300000000000001</v>
      </c>
    </row>
    <row r="357" spans="1:13">
      <c r="A357" s="1227">
        <v>4.9000000000000004</v>
      </c>
      <c r="B357" s="1226">
        <v>0.68179999999999996</v>
      </c>
      <c r="C357" s="1226">
        <v>0.68179999999999996</v>
      </c>
      <c r="D357" s="1226">
        <v>0.65659999999999996</v>
      </c>
      <c r="E357" s="1226">
        <v>0.65659999999999996</v>
      </c>
      <c r="F357" s="1226">
        <v>0.65659999999999996</v>
      </c>
      <c r="G357" s="1226">
        <v>0.58599999999999997</v>
      </c>
      <c r="H357" s="1226">
        <v>0.58599999999999997</v>
      </c>
      <c r="I357" s="1226">
        <v>0.51060000000000005</v>
      </c>
      <c r="J357" s="1226">
        <v>0.51060000000000005</v>
      </c>
      <c r="K357" s="1226">
        <v>0.51060000000000005</v>
      </c>
      <c r="L357" s="1226">
        <v>0.51060000000000005</v>
      </c>
      <c r="M357" s="1226">
        <v>0.51060000000000005</v>
      </c>
    </row>
    <row r="358" spans="1:13">
      <c r="A358" s="1227">
        <v>5</v>
      </c>
      <c r="B358" s="1226">
        <v>0.68030000000000002</v>
      </c>
      <c r="C358" s="1226">
        <v>0.68030000000000002</v>
      </c>
      <c r="D358" s="1226">
        <v>0.65439999999999998</v>
      </c>
      <c r="E358" s="1226">
        <v>0.65439999999999998</v>
      </c>
      <c r="F358" s="1226">
        <v>0.65439999999999998</v>
      </c>
      <c r="G358" s="1226">
        <v>0.58379999999999999</v>
      </c>
      <c r="H358" s="1226">
        <v>0.58379999999999999</v>
      </c>
      <c r="I358" s="1226">
        <v>0.50839999999999996</v>
      </c>
      <c r="J358" s="1226">
        <v>0.50839999999999996</v>
      </c>
      <c r="K358" s="1226">
        <v>0.50839999999999996</v>
      </c>
      <c r="L358" s="1226">
        <v>0.50839999999999996</v>
      </c>
      <c r="M358" s="1226">
        <v>0.50839999999999996</v>
      </c>
    </row>
    <row r="359" spans="1:13">
      <c r="A359" s="1223">
        <v>5.0999999999999996</v>
      </c>
      <c r="B359" s="1226">
        <v>0.67889999999999995</v>
      </c>
      <c r="C359" s="1226">
        <v>0.67889999999999995</v>
      </c>
      <c r="D359" s="1226">
        <v>0.65229999999999999</v>
      </c>
      <c r="E359" s="1226">
        <v>0.65229999999999999</v>
      </c>
      <c r="F359" s="1226">
        <v>0.65229999999999999</v>
      </c>
      <c r="G359" s="1226">
        <v>0.58160000000000001</v>
      </c>
      <c r="H359" s="1226">
        <v>0.58160000000000001</v>
      </c>
      <c r="I359" s="1226">
        <v>0.50629999999999997</v>
      </c>
      <c r="J359" s="1226">
        <v>0.50629999999999997</v>
      </c>
      <c r="K359" s="1226">
        <v>0.50629999999999997</v>
      </c>
      <c r="L359" s="1226">
        <v>0.50629999999999997</v>
      </c>
      <c r="M359" s="1226">
        <v>0.50629999999999997</v>
      </c>
    </row>
    <row r="360" spans="1:13">
      <c r="A360" s="1223">
        <v>5.2</v>
      </c>
      <c r="B360" s="1226">
        <v>0.67749999999999999</v>
      </c>
      <c r="C360" s="1226">
        <v>0.67749999999999999</v>
      </c>
      <c r="D360" s="1226">
        <v>0.65029999999999999</v>
      </c>
      <c r="E360" s="1226">
        <v>0.65029999999999999</v>
      </c>
      <c r="F360" s="1226">
        <v>0.65029999999999999</v>
      </c>
      <c r="G360" s="1226">
        <v>0.57950000000000002</v>
      </c>
      <c r="H360" s="1226">
        <v>0.57950000000000002</v>
      </c>
      <c r="I360" s="1226">
        <v>0.50419999999999998</v>
      </c>
      <c r="J360" s="1226">
        <v>0.50419999999999998</v>
      </c>
      <c r="K360" s="1226">
        <v>0.50419999999999998</v>
      </c>
      <c r="L360" s="1226">
        <v>0.50419999999999998</v>
      </c>
      <c r="M360" s="1226">
        <v>0.50419999999999998</v>
      </c>
    </row>
    <row r="361" spans="1:13">
      <c r="A361" s="1223">
        <v>5.3</v>
      </c>
      <c r="B361" s="1226">
        <v>0.67620000000000002</v>
      </c>
      <c r="C361" s="1226">
        <v>0.67620000000000002</v>
      </c>
      <c r="D361" s="1226">
        <v>0.64839999999999998</v>
      </c>
      <c r="E361" s="1226">
        <v>0.64839999999999998</v>
      </c>
      <c r="F361" s="1226">
        <v>0.64839999999999998</v>
      </c>
      <c r="G361" s="1226">
        <v>0.5776</v>
      </c>
      <c r="H361" s="1226">
        <v>0.5776</v>
      </c>
      <c r="I361" s="1226">
        <v>0.50229999999999997</v>
      </c>
      <c r="J361" s="1226">
        <v>0.50229999999999997</v>
      </c>
      <c r="K361" s="1226">
        <v>0.50229999999999997</v>
      </c>
      <c r="L361" s="1226">
        <v>0.50229999999999997</v>
      </c>
      <c r="M361" s="1226">
        <v>0.50229999999999997</v>
      </c>
    </row>
    <row r="362" spans="1:13">
      <c r="A362" s="1223">
        <v>5.4</v>
      </c>
      <c r="B362" s="1226">
        <v>0.67500000000000004</v>
      </c>
      <c r="C362" s="1226">
        <v>0.67500000000000004</v>
      </c>
      <c r="D362" s="1226">
        <v>0.64670000000000005</v>
      </c>
      <c r="E362" s="1226">
        <v>0.64670000000000005</v>
      </c>
      <c r="F362" s="1226">
        <v>0.64670000000000005</v>
      </c>
      <c r="G362" s="1226">
        <v>0.57579999999999998</v>
      </c>
      <c r="H362" s="1226">
        <v>0.57579999999999998</v>
      </c>
      <c r="I362" s="1226">
        <v>0.50039999999999996</v>
      </c>
      <c r="J362" s="1226">
        <v>0.50039999999999996</v>
      </c>
      <c r="K362" s="1226">
        <v>0.50039999999999996</v>
      </c>
      <c r="L362" s="1226">
        <v>0.50039999999999996</v>
      </c>
      <c r="M362" s="1226">
        <v>0.50039999999999996</v>
      </c>
    </row>
    <row r="363" spans="1:13">
      <c r="A363" s="1223">
        <v>5.5</v>
      </c>
      <c r="B363" s="1226">
        <v>0.67379999999999995</v>
      </c>
      <c r="C363" s="1226">
        <v>0.67379999999999995</v>
      </c>
      <c r="D363" s="1226">
        <v>0.64500000000000002</v>
      </c>
      <c r="E363" s="1226">
        <v>0.64500000000000002</v>
      </c>
      <c r="F363" s="1226">
        <v>0.64500000000000002</v>
      </c>
      <c r="G363" s="1226">
        <v>0.57399999999999995</v>
      </c>
      <c r="H363" s="1226">
        <v>0.57399999999999995</v>
      </c>
      <c r="I363" s="1226">
        <v>0.49869999999999998</v>
      </c>
      <c r="J363" s="1226">
        <v>0.49869999999999998</v>
      </c>
      <c r="K363" s="1226">
        <v>0.49869999999999998</v>
      </c>
      <c r="L363" s="1226">
        <v>0.49869999999999998</v>
      </c>
      <c r="M363" s="1226">
        <v>0.49869999999999998</v>
      </c>
    </row>
    <row r="364" spans="1:13">
      <c r="A364" s="1223">
        <v>5.6</v>
      </c>
      <c r="B364" s="1226">
        <v>0.67259999999999998</v>
      </c>
      <c r="C364" s="1226">
        <v>0.67259999999999998</v>
      </c>
      <c r="D364" s="1226">
        <v>0.64339999999999997</v>
      </c>
      <c r="E364" s="1226">
        <v>0.64339999999999997</v>
      </c>
      <c r="F364" s="1226">
        <v>0.64339999999999997</v>
      </c>
      <c r="G364" s="1226">
        <v>0.57240000000000002</v>
      </c>
      <c r="H364" s="1226">
        <v>0.57240000000000002</v>
      </c>
      <c r="I364" s="1226">
        <v>0.49690000000000001</v>
      </c>
      <c r="J364" s="1226">
        <v>0.49690000000000001</v>
      </c>
      <c r="K364" s="1226">
        <v>0.49690000000000001</v>
      </c>
      <c r="L364" s="1226">
        <v>0.49690000000000001</v>
      </c>
      <c r="M364" s="1226">
        <v>0.49690000000000001</v>
      </c>
    </row>
    <row r="365" spans="1:13">
      <c r="A365" s="1227">
        <v>5.7</v>
      </c>
      <c r="B365" s="1226">
        <v>0.6714</v>
      </c>
      <c r="C365" s="1226">
        <v>0.6714</v>
      </c>
      <c r="D365" s="1226">
        <v>0.64190000000000003</v>
      </c>
      <c r="E365" s="1226">
        <v>0.64190000000000003</v>
      </c>
      <c r="F365" s="1226">
        <v>0.64190000000000003</v>
      </c>
      <c r="G365" s="1226">
        <v>0.57069999999999999</v>
      </c>
      <c r="H365" s="1226">
        <v>0.57069999999999999</v>
      </c>
      <c r="I365" s="1226">
        <v>0.49519999999999997</v>
      </c>
      <c r="J365" s="1226">
        <v>0.49519999999999997</v>
      </c>
      <c r="K365" s="1226">
        <v>0.49519999999999997</v>
      </c>
      <c r="L365" s="1226">
        <v>0.49519999999999997</v>
      </c>
      <c r="M365" s="1226">
        <v>0.49519999999999997</v>
      </c>
    </row>
    <row r="366" spans="1:13">
      <c r="A366" s="1223">
        <v>5.8</v>
      </c>
      <c r="B366" s="1226">
        <v>0.67020000000000002</v>
      </c>
      <c r="C366" s="1226">
        <v>0.67020000000000002</v>
      </c>
      <c r="D366" s="1226">
        <v>0.64039999999999997</v>
      </c>
      <c r="E366" s="1226">
        <v>0.64039999999999997</v>
      </c>
      <c r="F366" s="1226">
        <v>0.64039999999999997</v>
      </c>
      <c r="G366" s="1226">
        <v>0.56910000000000005</v>
      </c>
      <c r="H366" s="1226">
        <v>0.56910000000000005</v>
      </c>
      <c r="I366" s="1226">
        <v>0.49359999999999998</v>
      </c>
      <c r="J366" s="1226">
        <v>0.49359999999999998</v>
      </c>
      <c r="K366" s="1226">
        <v>0.49359999999999998</v>
      </c>
      <c r="L366" s="1226">
        <v>0.49359999999999998</v>
      </c>
      <c r="M366" s="1226">
        <v>0.49359999999999998</v>
      </c>
    </row>
    <row r="367" spans="1:13">
      <c r="A367" s="1223">
        <v>5.9</v>
      </c>
      <c r="B367" s="1226">
        <v>0.66910000000000003</v>
      </c>
      <c r="C367" s="1226">
        <v>0.66910000000000003</v>
      </c>
      <c r="D367" s="1226">
        <v>0.63890000000000002</v>
      </c>
      <c r="E367" s="1226">
        <v>0.63890000000000002</v>
      </c>
      <c r="F367" s="1226">
        <v>0.63890000000000002</v>
      </c>
      <c r="G367" s="1226">
        <v>0.5675</v>
      </c>
      <c r="H367" s="1226">
        <v>0.5675</v>
      </c>
      <c r="I367" s="1226">
        <v>0.4919</v>
      </c>
      <c r="J367" s="1226">
        <v>0.4919</v>
      </c>
      <c r="K367" s="1226">
        <v>0.4919</v>
      </c>
      <c r="L367" s="1226">
        <v>0.4919</v>
      </c>
      <c r="M367" s="1226">
        <v>0.4919</v>
      </c>
    </row>
    <row r="368" spans="1:13">
      <c r="A368" s="1223">
        <v>6</v>
      </c>
      <c r="B368" s="1226">
        <v>0.66800000000000004</v>
      </c>
      <c r="C368" s="1226">
        <v>0.66800000000000004</v>
      </c>
      <c r="D368" s="1226">
        <v>0.63739999999999997</v>
      </c>
      <c r="E368" s="1226">
        <v>0.63739999999999997</v>
      </c>
      <c r="F368" s="1226">
        <v>0.63739999999999997</v>
      </c>
      <c r="G368" s="1226">
        <v>0.56589999999999996</v>
      </c>
      <c r="H368" s="1226">
        <v>0.56589999999999996</v>
      </c>
      <c r="I368" s="1226">
        <v>0.49020000000000002</v>
      </c>
      <c r="J368" s="1226">
        <v>0.49020000000000002</v>
      </c>
      <c r="K368" s="1226">
        <v>0.49020000000000002</v>
      </c>
      <c r="L368" s="1226">
        <v>0.49020000000000002</v>
      </c>
      <c r="M368" s="1226">
        <v>0.49020000000000002</v>
      </c>
    </row>
    <row r="369" spans="1:13">
      <c r="A369" s="1223">
        <v>6.1</v>
      </c>
      <c r="B369" s="1226">
        <v>0.66690000000000005</v>
      </c>
      <c r="C369" s="1226">
        <v>0.66690000000000005</v>
      </c>
      <c r="D369" s="1226">
        <v>0.63590000000000002</v>
      </c>
      <c r="E369" s="1226">
        <v>0.63590000000000002</v>
      </c>
      <c r="F369" s="1226">
        <v>0.63590000000000002</v>
      </c>
      <c r="G369" s="1226">
        <v>0.56440000000000001</v>
      </c>
      <c r="H369" s="1226">
        <v>0.56440000000000001</v>
      </c>
      <c r="I369" s="1226">
        <v>0.48849999999999999</v>
      </c>
      <c r="J369" s="1226">
        <v>0.48849999999999999</v>
      </c>
      <c r="K369" s="1226">
        <v>0.48849999999999999</v>
      </c>
      <c r="L369" s="1226">
        <v>0.48849999999999999</v>
      </c>
      <c r="M369" s="1226">
        <v>0.48849999999999999</v>
      </c>
    </row>
    <row r="370" spans="1:13">
      <c r="A370" s="1223">
        <v>6.2</v>
      </c>
      <c r="B370" s="1226">
        <v>0.66579999999999995</v>
      </c>
      <c r="C370" s="1226">
        <v>0.66579999999999995</v>
      </c>
      <c r="D370" s="1226">
        <v>0.63439999999999996</v>
      </c>
      <c r="E370" s="1226">
        <v>0.63439999999999996</v>
      </c>
      <c r="F370" s="1226">
        <v>0.63439999999999996</v>
      </c>
      <c r="G370" s="1226">
        <v>0.56289999999999996</v>
      </c>
      <c r="H370" s="1226">
        <v>0.56289999999999996</v>
      </c>
      <c r="I370" s="1226">
        <v>0.48680000000000001</v>
      </c>
      <c r="J370" s="1226">
        <v>0.48680000000000001</v>
      </c>
      <c r="K370" s="1226">
        <v>0.48680000000000001</v>
      </c>
      <c r="L370" s="1226">
        <v>0.48680000000000001</v>
      </c>
      <c r="M370" s="1226">
        <v>0.48680000000000001</v>
      </c>
    </row>
    <row r="371" spans="1:13">
      <c r="A371" s="1223">
        <v>6.3</v>
      </c>
      <c r="B371" s="1226">
        <v>0.66469999999999996</v>
      </c>
      <c r="C371" s="1226">
        <v>0.66469999999999996</v>
      </c>
      <c r="D371" s="1226">
        <v>0.63290000000000002</v>
      </c>
      <c r="E371" s="1226">
        <v>0.63290000000000002</v>
      </c>
      <c r="F371" s="1226">
        <v>0.63290000000000002</v>
      </c>
      <c r="G371" s="1226">
        <v>0.56130000000000002</v>
      </c>
      <c r="H371" s="1226">
        <v>0.56130000000000002</v>
      </c>
      <c r="I371" s="1226">
        <v>0.48509999999999998</v>
      </c>
      <c r="J371" s="1226">
        <v>0.48509999999999998</v>
      </c>
      <c r="K371" s="1226">
        <v>0.48509999999999998</v>
      </c>
      <c r="L371" s="1226">
        <v>0.48509999999999998</v>
      </c>
      <c r="M371" s="1226">
        <v>0.48509999999999998</v>
      </c>
    </row>
    <row r="372" spans="1:13">
      <c r="A372" s="1223">
        <v>6.4</v>
      </c>
      <c r="B372" s="1226">
        <v>0.66359999999999997</v>
      </c>
      <c r="C372" s="1226">
        <v>0.66359999999999997</v>
      </c>
      <c r="D372" s="1226">
        <v>0.63139999999999996</v>
      </c>
      <c r="E372" s="1226">
        <v>0.63139999999999996</v>
      </c>
      <c r="F372" s="1226">
        <v>0.63139999999999996</v>
      </c>
      <c r="G372" s="1226">
        <v>0.55979999999999996</v>
      </c>
      <c r="H372" s="1226">
        <v>0.55979999999999996</v>
      </c>
      <c r="I372" s="1226">
        <v>0.48349999999999999</v>
      </c>
      <c r="J372" s="1226">
        <v>0.48349999999999999</v>
      </c>
      <c r="K372" s="1226">
        <v>0.48349999999999999</v>
      </c>
      <c r="L372" s="1226">
        <v>0.48349999999999999</v>
      </c>
      <c r="M372" s="1226">
        <v>0.48349999999999999</v>
      </c>
    </row>
    <row r="373" spans="1:13">
      <c r="A373" s="1223">
        <v>6.5</v>
      </c>
      <c r="B373" s="1226">
        <v>0.66249999999999998</v>
      </c>
      <c r="C373" s="1226">
        <v>0.66249999999999998</v>
      </c>
      <c r="D373" s="1226">
        <v>0.63</v>
      </c>
      <c r="E373" s="1226">
        <v>0.63</v>
      </c>
      <c r="F373" s="1226">
        <v>0.63</v>
      </c>
      <c r="G373" s="1226">
        <v>0.55820000000000003</v>
      </c>
      <c r="H373" s="1226">
        <v>0.55820000000000003</v>
      </c>
      <c r="I373" s="1226">
        <v>0.4819</v>
      </c>
      <c r="J373" s="1226">
        <v>0.4819</v>
      </c>
      <c r="K373" s="1226">
        <v>0.4819</v>
      </c>
      <c r="L373" s="1226">
        <v>0.4819</v>
      </c>
      <c r="M373" s="1226">
        <v>0.4819</v>
      </c>
    </row>
    <row r="374" spans="1:13">
      <c r="A374" s="1223">
        <v>6.6</v>
      </c>
      <c r="B374" s="1226">
        <v>0.66149999999999998</v>
      </c>
      <c r="C374" s="1226">
        <v>0.66149999999999998</v>
      </c>
      <c r="D374" s="1226">
        <v>0.62860000000000005</v>
      </c>
      <c r="E374" s="1226">
        <v>0.62860000000000005</v>
      </c>
      <c r="F374" s="1226">
        <v>0.62860000000000005</v>
      </c>
      <c r="G374" s="1226">
        <v>0.55669999999999997</v>
      </c>
      <c r="H374" s="1226">
        <v>0.55669999999999997</v>
      </c>
      <c r="I374" s="1226">
        <v>0.4803</v>
      </c>
      <c r="J374" s="1226">
        <v>0.4803</v>
      </c>
      <c r="K374" s="1226">
        <v>0.4803</v>
      </c>
      <c r="L374" s="1226">
        <v>0.4803</v>
      </c>
      <c r="M374" s="1226">
        <v>0.4803</v>
      </c>
    </row>
    <row r="375" spans="1:13">
      <c r="A375" s="1223">
        <v>6.7</v>
      </c>
      <c r="B375" s="1226">
        <v>0.66049999999999998</v>
      </c>
      <c r="C375" s="1226">
        <v>0.66049999999999998</v>
      </c>
      <c r="D375" s="1226">
        <v>0.62719999999999998</v>
      </c>
      <c r="E375" s="1226">
        <v>0.62719999999999998</v>
      </c>
      <c r="F375" s="1226">
        <v>0.62719999999999998</v>
      </c>
      <c r="G375" s="1226">
        <v>0.55520000000000003</v>
      </c>
      <c r="H375" s="1226">
        <v>0.55520000000000003</v>
      </c>
      <c r="I375" s="1226">
        <v>0.47870000000000001</v>
      </c>
      <c r="J375" s="1226">
        <v>0.47870000000000001</v>
      </c>
      <c r="K375" s="1226">
        <v>0.47870000000000001</v>
      </c>
      <c r="L375" s="1226">
        <v>0.47870000000000001</v>
      </c>
      <c r="M375" s="1226">
        <v>0.47870000000000001</v>
      </c>
    </row>
    <row r="376" spans="1:13">
      <c r="A376" s="1223">
        <v>6.8</v>
      </c>
      <c r="B376" s="1226">
        <v>0.65949999999999998</v>
      </c>
      <c r="C376" s="1226">
        <v>0.65949999999999998</v>
      </c>
      <c r="D376" s="1226">
        <v>0.62580000000000002</v>
      </c>
      <c r="E376" s="1226">
        <v>0.62580000000000002</v>
      </c>
      <c r="F376" s="1226">
        <v>0.62580000000000002</v>
      </c>
      <c r="G376" s="1226">
        <v>0.55359999999999998</v>
      </c>
      <c r="H376" s="1226">
        <v>0.55359999999999998</v>
      </c>
      <c r="I376" s="1226">
        <v>0.47710000000000002</v>
      </c>
      <c r="J376" s="1226">
        <v>0.47710000000000002</v>
      </c>
      <c r="K376" s="1226">
        <v>0.47710000000000002</v>
      </c>
      <c r="L376" s="1226">
        <v>0.47710000000000002</v>
      </c>
      <c r="M376" s="1226">
        <v>0.47710000000000002</v>
      </c>
    </row>
    <row r="377" spans="1:13">
      <c r="A377" s="1223">
        <v>6.9</v>
      </c>
      <c r="B377" s="1226">
        <v>0.65849999999999997</v>
      </c>
      <c r="C377" s="1226">
        <v>0.65849999999999997</v>
      </c>
      <c r="D377" s="1226">
        <v>0.62439999999999996</v>
      </c>
      <c r="E377" s="1226">
        <v>0.62439999999999996</v>
      </c>
      <c r="F377" s="1226">
        <v>0.62439999999999996</v>
      </c>
      <c r="G377" s="1226">
        <v>0.55220000000000002</v>
      </c>
      <c r="H377" s="1226">
        <v>0.55220000000000002</v>
      </c>
      <c r="I377" s="1226">
        <v>0.47549999999999998</v>
      </c>
      <c r="J377" s="1226">
        <v>0.47549999999999998</v>
      </c>
      <c r="K377" s="1226">
        <v>0.47549999999999998</v>
      </c>
      <c r="L377" s="1226">
        <v>0.47549999999999998</v>
      </c>
      <c r="M377" s="1226">
        <v>0.47549999999999998</v>
      </c>
    </row>
    <row r="378" spans="1:13">
      <c r="A378" s="1223">
        <v>7</v>
      </c>
      <c r="B378" s="1226">
        <v>0.65749999999999997</v>
      </c>
      <c r="C378" s="1226">
        <v>0.65749999999999997</v>
      </c>
      <c r="D378" s="1226">
        <v>0.623</v>
      </c>
      <c r="E378" s="1226">
        <v>0.623</v>
      </c>
      <c r="F378" s="1226">
        <v>0.623</v>
      </c>
      <c r="G378" s="1226">
        <v>0.55069999999999997</v>
      </c>
      <c r="H378" s="1226">
        <v>0.55069999999999997</v>
      </c>
      <c r="I378" s="1226">
        <v>0.47389999999999999</v>
      </c>
      <c r="J378" s="1226">
        <v>0.47389999999999999</v>
      </c>
      <c r="K378" s="1226">
        <v>0.47389999999999999</v>
      </c>
      <c r="L378" s="1226">
        <v>0.47389999999999999</v>
      </c>
      <c r="M378" s="1226">
        <v>0.47389999999999999</v>
      </c>
    </row>
    <row r="379" spans="1:13">
      <c r="A379" s="1223">
        <v>7.1</v>
      </c>
      <c r="B379" s="1226">
        <v>0.65649999999999997</v>
      </c>
      <c r="C379" s="1226">
        <v>0.65649999999999997</v>
      </c>
      <c r="D379" s="1226">
        <v>0.62160000000000004</v>
      </c>
      <c r="E379" s="1226">
        <v>0.62160000000000004</v>
      </c>
      <c r="F379" s="1226">
        <v>0.62160000000000004</v>
      </c>
      <c r="G379" s="1226">
        <v>0.54930000000000001</v>
      </c>
      <c r="H379" s="1226">
        <v>0.54930000000000001</v>
      </c>
      <c r="I379" s="1226">
        <v>0.47239999999999999</v>
      </c>
      <c r="J379" s="1226">
        <v>0.47239999999999999</v>
      </c>
      <c r="K379" s="1226">
        <v>0.47239999999999999</v>
      </c>
      <c r="L379" s="1226">
        <v>0.47239999999999999</v>
      </c>
      <c r="M379" s="1226">
        <v>0.47239999999999999</v>
      </c>
    </row>
    <row r="380" spans="1:13">
      <c r="A380" s="1223">
        <v>7.2</v>
      </c>
      <c r="B380" s="1226">
        <v>0.65549999999999997</v>
      </c>
      <c r="C380" s="1226">
        <v>0.65549999999999997</v>
      </c>
      <c r="D380" s="1226">
        <v>0.62019999999999997</v>
      </c>
      <c r="E380" s="1226">
        <v>0.62019999999999997</v>
      </c>
      <c r="F380" s="1226">
        <v>0.62019999999999997</v>
      </c>
      <c r="G380" s="1226">
        <v>0.54779999999999995</v>
      </c>
      <c r="H380" s="1226">
        <v>0.54779999999999995</v>
      </c>
      <c r="I380" s="1226">
        <v>0.47089999999999999</v>
      </c>
      <c r="J380" s="1226">
        <v>0.47089999999999999</v>
      </c>
      <c r="K380" s="1226">
        <v>0.47089999999999999</v>
      </c>
      <c r="L380" s="1226">
        <v>0.47089999999999999</v>
      </c>
      <c r="M380" s="1226">
        <v>0.47089999999999999</v>
      </c>
    </row>
    <row r="381" spans="1:13">
      <c r="A381" s="1223">
        <v>7.3</v>
      </c>
      <c r="B381" s="1226">
        <v>0.65449999999999997</v>
      </c>
      <c r="C381" s="1226">
        <v>0.65449999999999997</v>
      </c>
      <c r="D381" s="1226">
        <v>0.61880000000000002</v>
      </c>
      <c r="E381" s="1226">
        <v>0.61880000000000002</v>
      </c>
      <c r="F381" s="1226">
        <v>0.61880000000000002</v>
      </c>
      <c r="G381" s="1226">
        <v>0.5464</v>
      </c>
      <c r="H381" s="1226">
        <v>0.5464</v>
      </c>
      <c r="I381" s="1226">
        <v>0.46939999999999998</v>
      </c>
      <c r="J381" s="1226">
        <v>0.46939999999999998</v>
      </c>
      <c r="K381" s="1226">
        <v>0.46939999999999998</v>
      </c>
      <c r="L381" s="1226">
        <v>0.46939999999999998</v>
      </c>
      <c r="M381" s="1226">
        <v>0.46939999999999998</v>
      </c>
    </row>
    <row r="382" spans="1:13">
      <c r="A382" s="1223">
        <v>7.4</v>
      </c>
      <c r="B382" s="1226">
        <v>0.65349999999999997</v>
      </c>
      <c r="C382" s="1226">
        <v>0.65349999999999997</v>
      </c>
      <c r="D382" s="1226">
        <v>0.61750000000000005</v>
      </c>
      <c r="E382" s="1226">
        <v>0.61750000000000005</v>
      </c>
      <c r="F382" s="1226">
        <v>0.61750000000000005</v>
      </c>
      <c r="G382" s="1226">
        <v>0.54490000000000005</v>
      </c>
      <c r="H382" s="1226">
        <v>0.54490000000000005</v>
      </c>
      <c r="I382" s="1226">
        <v>0.46779999999999999</v>
      </c>
      <c r="J382" s="1226">
        <v>0.46779999999999999</v>
      </c>
      <c r="K382" s="1226">
        <v>0.46779999999999999</v>
      </c>
      <c r="L382" s="1226">
        <v>0.46779999999999999</v>
      </c>
      <c r="M382" s="1226">
        <v>0.46779999999999999</v>
      </c>
    </row>
    <row r="383" spans="1:13">
      <c r="A383" s="1223">
        <v>7.5</v>
      </c>
      <c r="B383" s="1226">
        <v>0.65249999999999997</v>
      </c>
      <c r="C383" s="1226">
        <v>0.65249999999999997</v>
      </c>
      <c r="D383" s="1226">
        <v>0.61619999999999997</v>
      </c>
      <c r="E383" s="1226">
        <v>0.61619999999999997</v>
      </c>
      <c r="F383" s="1226">
        <v>0.61619999999999997</v>
      </c>
      <c r="G383" s="1226">
        <v>0.54349999999999998</v>
      </c>
      <c r="H383" s="1226">
        <v>0.54349999999999998</v>
      </c>
      <c r="I383" s="1226">
        <v>0.46629999999999999</v>
      </c>
      <c r="J383" s="1226">
        <v>0.46629999999999999</v>
      </c>
      <c r="K383" s="1226">
        <v>0.46629999999999999</v>
      </c>
      <c r="L383" s="1226">
        <v>0.46629999999999999</v>
      </c>
      <c r="M383" s="1226">
        <v>0.46629999999999999</v>
      </c>
    </row>
    <row r="384" spans="1:13">
      <c r="A384" s="1223">
        <v>7.6</v>
      </c>
      <c r="B384" s="1226">
        <v>0.65149999999999997</v>
      </c>
      <c r="C384" s="1226">
        <v>0.65149999999999997</v>
      </c>
      <c r="D384" s="1226">
        <v>0.6149</v>
      </c>
      <c r="E384" s="1226">
        <v>0.6149</v>
      </c>
      <c r="F384" s="1226">
        <v>0.6149</v>
      </c>
      <c r="G384" s="1226">
        <v>0.54200000000000004</v>
      </c>
      <c r="H384" s="1226">
        <v>0.54200000000000004</v>
      </c>
      <c r="I384" s="1226">
        <v>0.46479999999999999</v>
      </c>
      <c r="J384" s="1226">
        <v>0.46479999999999999</v>
      </c>
      <c r="K384" s="1226">
        <v>0.46479999999999999</v>
      </c>
      <c r="L384" s="1226">
        <v>0.46479999999999999</v>
      </c>
      <c r="M384" s="1226">
        <v>0.46479999999999999</v>
      </c>
    </row>
    <row r="385" spans="1:13">
      <c r="A385" s="1223">
        <v>7.7</v>
      </c>
      <c r="B385" s="1226">
        <v>0.65049999999999997</v>
      </c>
      <c r="C385" s="1226">
        <v>0.65049999999999997</v>
      </c>
      <c r="D385" s="1226">
        <v>0.61360000000000003</v>
      </c>
      <c r="E385" s="1226">
        <v>0.61360000000000003</v>
      </c>
      <c r="F385" s="1226">
        <v>0.61360000000000003</v>
      </c>
      <c r="G385" s="1226">
        <v>0.54059999999999997</v>
      </c>
      <c r="H385" s="1226">
        <v>0.54059999999999997</v>
      </c>
      <c r="I385" s="1226">
        <v>0.46329999999999999</v>
      </c>
      <c r="J385" s="1226">
        <v>0.46329999999999999</v>
      </c>
      <c r="K385" s="1226">
        <v>0.46329999999999999</v>
      </c>
      <c r="L385" s="1226">
        <v>0.46329999999999999</v>
      </c>
      <c r="M385" s="1226">
        <v>0.46329999999999999</v>
      </c>
    </row>
    <row r="386" spans="1:13">
      <c r="A386" s="1223">
        <v>7.8</v>
      </c>
      <c r="B386" s="1226">
        <v>0.64949999999999997</v>
      </c>
      <c r="C386" s="1226">
        <v>0.64949999999999997</v>
      </c>
      <c r="D386" s="1226">
        <v>0.61229999999999996</v>
      </c>
      <c r="E386" s="1226">
        <v>0.61229999999999996</v>
      </c>
      <c r="F386" s="1226">
        <v>0.61229999999999996</v>
      </c>
      <c r="G386" s="1226">
        <v>0.53910000000000002</v>
      </c>
      <c r="H386" s="1226">
        <v>0.53910000000000002</v>
      </c>
      <c r="I386" s="1226">
        <v>0.4617</v>
      </c>
      <c r="J386" s="1226">
        <v>0.4617</v>
      </c>
      <c r="K386" s="1226">
        <v>0.4617</v>
      </c>
      <c r="L386" s="1226">
        <v>0.4617</v>
      </c>
      <c r="M386" s="1226">
        <v>0.4617</v>
      </c>
    </row>
    <row r="387" spans="1:13">
      <c r="A387" s="1223">
        <v>7.9</v>
      </c>
      <c r="B387" s="1226">
        <v>0.64849999999999997</v>
      </c>
      <c r="C387" s="1226">
        <v>0.64849999999999997</v>
      </c>
      <c r="D387" s="1226">
        <v>0.61099999999999999</v>
      </c>
      <c r="E387" s="1226">
        <v>0.61099999999999999</v>
      </c>
      <c r="F387" s="1226">
        <v>0.61099999999999999</v>
      </c>
      <c r="G387" s="1226">
        <v>0.53769999999999996</v>
      </c>
      <c r="H387" s="1226">
        <v>0.53769999999999996</v>
      </c>
      <c r="I387" s="1226">
        <v>0.4602</v>
      </c>
      <c r="J387" s="1226">
        <v>0.4602</v>
      </c>
      <c r="K387" s="1226">
        <v>0.4602</v>
      </c>
      <c r="L387" s="1226">
        <v>0.4602</v>
      </c>
      <c r="M387" s="1226">
        <v>0.4602</v>
      </c>
    </row>
    <row r="388" spans="1:13">
      <c r="A388" s="1223">
        <v>8</v>
      </c>
      <c r="B388" s="1226">
        <v>0.64749999999999996</v>
      </c>
      <c r="C388" s="1226">
        <v>0.64749999999999996</v>
      </c>
      <c r="D388" s="1226">
        <v>0.60970000000000002</v>
      </c>
      <c r="E388" s="1226">
        <v>0.60970000000000002</v>
      </c>
      <c r="F388" s="1226">
        <v>0.60970000000000002</v>
      </c>
      <c r="G388" s="1226">
        <v>0.53620000000000001</v>
      </c>
      <c r="H388" s="1226">
        <v>0.53620000000000001</v>
      </c>
      <c r="I388" s="1226">
        <v>0.4587</v>
      </c>
      <c r="J388" s="1226">
        <v>0.4587</v>
      </c>
      <c r="K388" s="1226">
        <v>0.4587</v>
      </c>
      <c r="L388" s="1226">
        <v>0.4587</v>
      </c>
      <c r="M388" s="1226">
        <v>0.4587</v>
      </c>
    </row>
    <row r="389" spans="1:13">
      <c r="A389" s="1223">
        <v>8.1</v>
      </c>
      <c r="B389" s="1226">
        <v>0.64649999999999996</v>
      </c>
      <c r="C389" s="1226">
        <v>0.64649999999999996</v>
      </c>
      <c r="D389" s="1226">
        <v>0.60840000000000005</v>
      </c>
      <c r="E389" s="1226">
        <v>0.60840000000000005</v>
      </c>
      <c r="F389" s="1226">
        <v>0.60840000000000005</v>
      </c>
      <c r="G389" s="1226">
        <v>0.53480000000000005</v>
      </c>
      <c r="H389" s="1226">
        <v>0.53480000000000005</v>
      </c>
      <c r="I389" s="1226">
        <v>0.4572</v>
      </c>
      <c r="J389" s="1226">
        <v>0.4572</v>
      </c>
      <c r="K389" s="1226">
        <v>0.4572</v>
      </c>
      <c r="L389" s="1226">
        <v>0.4572</v>
      </c>
      <c r="M389" s="1226">
        <v>0.4572</v>
      </c>
    </row>
    <row r="390" spans="1:13">
      <c r="A390" s="1223">
        <v>8.1999999999999993</v>
      </c>
      <c r="B390" s="1226">
        <v>0.64549999999999996</v>
      </c>
      <c r="C390" s="1226">
        <v>0.64549999999999996</v>
      </c>
      <c r="D390" s="1226">
        <v>0.60709999999999997</v>
      </c>
      <c r="E390" s="1226">
        <v>0.60709999999999997</v>
      </c>
      <c r="F390" s="1226">
        <v>0.60709999999999997</v>
      </c>
      <c r="G390" s="1226">
        <v>0.5333</v>
      </c>
      <c r="H390" s="1226">
        <v>0.5333</v>
      </c>
      <c r="I390" s="1226">
        <v>0.45569999999999999</v>
      </c>
      <c r="J390" s="1226">
        <v>0.45569999999999999</v>
      </c>
      <c r="K390" s="1226">
        <v>0.45569999999999999</v>
      </c>
      <c r="L390" s="1226">
        <v>0.45569999999999999</v>
      </c>
      <c r="M390" s="1226">
        <v>0.45569999999999999</v>
      </c>
    </row>
    <row r="391" spans="1:13">
      <c r="A391" s="1223">
        <v>8.3000000000000007</v>
      </c>
      <c r="B391" s="1226">
        <v>0.64449999999999996</v>
      </c>
      <c r="C391" s="1226">
        <v>0.64449999999999996</v>
      </c>
      <c r="D391" s="1226">
        <v>0.60580000000000001</v>
      </c>
      <c r="E391" s="1226">
        <v>0.60580000000000001</v>
      </c>
      <c r="F391" s="1226">
        <v>0.60580000000000001</v>
      </c>
      <c r="G391" s="1226">
        <v>0.53190000000000004</v>
      </c>
      <c r="H391" s="1226">
        <v>0.53190000000000004</v>
      </c>
      <c r="I391" s="1226">
        <v>0.45429999999999998</v>
      </c>
      <c r="J391" s="1226">
        <v>0.45429999999999998</v>
      </c>
      <c r="K391" s="1226">
        <v>0.45429999999999998</v>
      </c>
      <c r="L391" s="1226">
        <v>0.45429999999999998</v>
      </c>
      <c r="M391" s="1226">
        <v>0.45429999999999998</v>
      </c>
    </row>
    <row r="392" spans="1:13">
      <c r="A392" s="1223">
        <v>8.4</v>
      </c>
      <c r="B392" s="1226">
        <v>0.64349999999999996</v>
      </c>
      <c r="C392" s="1226">
        <v>0.64349999999999996</v>
      </c>
      <c r="D392" s="1226">
        <v>0.60450000000000004</v>
      </c>
      <c r="E392" s="1226">
        <v>0.60450000000000004</v>
      </c>
      <c r="F392" s="1226">
        <v>0.60450000000000004</v>
      </c>
      <c r="G392" s="1226">
        <v>0.53039999999999998</v>
      </c>
      <c r="H392" s="1226">
        <v>0.53039999999999998</v>
      </c>
      <c r="I392" s="1226">
        <v>0.45290000000000002</v>
      </c>
      <c r="J392" s="1226">
        <v>0.45290000000000002</v>
      </c>
      <c r="K392" s="1226">
        <v>0.45290000000000002</v>
      </c>
      <c r="L392" s="1226">
        <v>0.45290000000000002</v>
      </c>
      <c r="M392" s="1226">
        <v>0.45290000000000002</v>
      </c>
    </row>
    <row r="393" spans="1:13">
      <c r="A393" s="1223">
        <v>8.5</v>
      </c>
      <c r="B393" s="1226">
        <v>0.64249999999999996</v>
      </c>
      <c r="C393" s="1226">
        <v>0.64249999999999996</v>
      </c>
      <c r="D393" s="1226">
        <v>0.60319999999999996</v>
      </c>
      <c r="E393" s="1226">
        <v>0.60319999999999996</v>
      </c>
      <c r="F393" s="1226">
        <v>0.60319999999999996</v>
      </c>
      <c r="G393" s="1226">
        <v>0.52900000000000003</v>
      </c>
      <c r="H393" s="1226">
        <v>0.52900000000000003</v>
      </c>
      <c r="I393" s="1226">
        <v>0.45140000000000002</v>
      </c>
      <c r="J393" s="1226">
        <v>0.45140000000000002</v>
      </c>
      <c r="K393" s="1226">
        <v>0.45140000000000002</v>
      </c>
      <c r="L393" s="1226">
        <v>0.45140000000000002</v>
      </c>
      <c r="M393" s="1226">
        <v>0.45140000000000002</v>
      </c>
    </row>
    <row r="394" spans="1:13">
      <c r="A394" s="1223">
        <v>8.6</v>
      </c>
      <c r="B394" s="1226">
        <v>0.64149999999999996</v>
      </c>
      <c r="C394" s="1226">
        <v>0.64149999999999996</v>
      </c>
      <c r="D394" s="1226">
        <v>0.60189999999999999</v>
      </c>
      <c r="E394" s="1226">
        <v>0.60189999999999999</v>
      </c>
      <c r="F394" s="1226">
        <v>0.60189999999999999</v>
      </c>
      <c r="G394" s="1226">
        <v>0.52749999999999997</v>
      </c>
      <c r="H394" s="1226">
        <v>0.52749999999999997</v>
      </c>
      <c r="I394" s="1226">
        <v>0.45</v>
      </c>
      <c r="J394" s="1226">
        <v>0.45</v>
      </c>
      <c r="K394" s="1226">
        <v>0.45</v>
      </c>
      <c r="L394" s="1226">
        <v>0.45</v>
      </c>
      <c r="M394" s="1226">
        <v>0.45</v>
      </c>
    </row>
    <row r="395" spans="1:13">
      <c r="A395" s="1223">
        <v>8.6999999999999993</v>
      </c>
      <c r="B395" s="1226">
        <v>0.64049999999999996</v>
      </c>
      <c r="C395" s="1226">
        <v>0.64049999999999996</v>
      </c>
      <c r="D395" s="1226">
        <v>0.60060000000000002</v>
      </c>
      <c r="E395" s="1226">
        <v>0.60060000000000002</v>
      </c>
      <c r="F395" s="1226">
        <v>0.60060000000000002</v>
      </c>
      <c r="G395" s="1226">
        <v>0.52610000000000001</v>
      </c>
      <c r="H395" s="1226">
        <v>0.52610000000000001</v>
      </c>
      <c r="I395" s="1226">
        <v>0.44850000000000001</v>
      </c>
      <c r="J395" s="1226">
        <v>0.44850000000000001</v>
      </c>
      <c r="K395" s="1226">
        <v>0.44850000000000001</v>
      </c>
      <c r="L395" s="1226">
        <v>0.44850000000000001</v>
      </c>
      <c r="M395" s="1226">
        <v>0.44850000000000001</v>
      </c>
    </row>
    <row r="396" spans="1:13">
      <c r="A396" s="1223">
        <v>8.8000000000000007</v>
      </c>
      <c r="B396" s="1226">
        <v>0.63949999999999996</v>
      </c>
      <c r="C396" s="1226">
        <v>0.63949999999999996</v>
      </c>
      <c r="D396" s="1226">
        <v>0.59930000000000005</v>
      </c>
      <c r="E396" s="1226">
        <v>0.59930000000000005</v>
      </c>
      <c r="F396" s="1226">
        <v>0.59930000000000005</v>
      </c>
      <c r="G396" s="1226">
        <v>0.52459999999999996</v>
      </c>
      <c r="H396" s="1226">
        <v>0.52459999999999996</v>
      </c>
      <c r="I396" s="1226">
        <v>0.4471</v>
      </c>
      <c r="J396" s="1226">
        <v>0.4471</v>
      </c>
      <c r="K396" s="1226">
        <v>0.4471</v>
      </c>
      <c r="L396" s="1226">
        <v>0.4471</v>
      </c>
      <c r="M396" s="1226">
        <v>0.4471</v>
      </c>
    </row>
    <row r="397" spans="1:13">
      <c r="A397" s="1223">
        <v>8.9</v>
      </c>
      <c r="B397" s="1226">
        <v>0.63849999999999996</v>
      </c>
      <c r="C397" s="1226">
        <v>0.63849999999999996</v>
      </c>
      <c r="D397" s="1226">
        <v>0.59799999999999998</v>
      </c>
      <c r="E397" s="1226">
        <v>0.59799999999999998</v>
      </c>
      <c r="F397" s="1226">
        <v>0.59799999999999998</v>
      </c>
      <c r="G397" s="1226">
        <v>0.5232</v>
      </c>
      <c r="H397" s="1226">
        <v>0.5232</v>
      </c>
      <c r="I397" s="1226">
        <v>0.4456</v>
      </c>
      <c r="J397" s="1226">
        <v>0.4456</v>
      </c>
      <c r="K397" s="1226">
        <v>0.4456</v>
      </c>
      <c r="L397" s="1226">
        <v>0.4456</v>
      </c>
      <c r="M397" s="1226">
        <v>0.4456</v>
      </c>
    </row>
    <row r="398" spans="1:13">
      <c r="A398" s="1227">
        <v>9</v>
      </c>
      <c r="B398" s="1226">
        <v>0.63749999999999996</v>
      </c>
      <c r="C398" s="1226">
        <v>0.63749999999999996</v>
      </c>
      <c r="D398" s="1226">
        <v>0.59670000000000001</v>
      </c>
      <c r="E398" s="1226">
        <v>0.59670000000000001</v>
      </c>
      <c r="F398" s="1226">
        <v>0.59670000000000001</v>
      </c>
      <c r="G398" s="1226">
        <v>0.52170000000000005</v>
      </c>
      <c r="H398" s="1226">
        <v>0.52170000000000005</v>
      </c>
      <c r="I398" s="1226">
        <v>0.44429999999999997</v>
      </c>
      <c r="J398" s="1226">
        <v>0.44429999999999997</v>
      </c>
      <c r="K398" s="1226">
        <v>0.44429999999999997</v>
      </c>
      <c r="L398" s="1226">
        <v>0.44429999999999997</v>
      </c>
      <c r="M398" s="1226">
        <v>0.44429999999999997</v>
      </c>
    </row>
    <row r="399" spans="1:13">
      <c r="A399" s="1227">
        <v>9.1</v>
      </c>
      <c r="B399" s="1226">
        <v>0.63649999999999995</v>
      </c>
      <c r="C399" s="1226">
        <v>0.63649999999999995</v>
      </c>
      <c r="D399" s="1226">
        <v>0.59540000000000004</v>
      </c>
      <c r="E399" s="1226">
        <v>0.59540000000000004</v>
      </c>
      <c r="F399" s="1226">
        <v>0.59540000000000004</v>
      </c>
      <c r="G399" s="1226">
        <v>0.52029999999999998</v>
      </c>
      <c r="H399" s="1226">
        <v>0.52029999999999998</v>
      </c>
      <c r="I399" s="1226">
        <v>0.44290000000000002</v>
      </c>
      <c r="J399" s="1226">
        <v>0.44290000000000002</v>
      </c>
      <c r="K399" s="1226">
        <v>0.44290000000000002</v>
      </c>
      <c r="L399" s="1226">
        <v>0.44290000000000002</v>
      </c>
      <c r="M399" s="1226">
        <v>0.44290000000000002</v>
      </c>
    </row>
    <row r="400" spans="1:13">
      <c r="A400" s="1227">
        <v>9.1999999999999993</v>
      </c>
      <c r="B400" s="1226">
        <v>0.63549999999999995</v>
      </c>
      <c r="C400" s="1226">
        <v>0.63549999999999995</v>
      </c>
      <c r="D400" s="1226">
        <v>0.59409999999999996</v>
      </c>
      <c r="E400" s="1226">
        <v>0.59409999999999996</v>
      </c>
      <c r="F400" s="1226">
        <v>0.59409999999999996</v>
      </c>
      <c r="G400" s="1226">
        <v>0.51880000000000004</v>
      </c>
      <c r="H400" s="1226">
        <v>0.51880000000000004</v>
      </c>
      <c r="I400" s="1226">
        <v>0.44159999999999999</v>
      </c>
      <c r="J400" s="1226">
        <v>0.44159999999999999</v>
      </c>
      <c r="K400" s="1226">
        <v>0.44159999999999999</v>
      </c>
      <c r="L400" s="1226">
        <v>0.44159999999999999</v>
      </c>
      <c r="M400" s="1226">
        <v>0.44159999999999999</v>
      </c>
    </row>
    <row r="401" spans="1:13">
      <c r="A401" s="1227">
        <v>9.3000000000000007</v>
      </c>
      <c r="B401" s="1226">
        <v>0.63449999999999995</v>
      </c>
      <c r="C401" s="1226">
        <v>0.63449999999999995</v>
      </c>
      <c r="D401" s="1226">
        <v>0.59279999999999999</v>
      </c>
      <c r="E401" s="1226">
        <v>0.59279999999999999</v>
      </c>
      <c r="F401" s="1226">
        <v>0.59279999999999999</v>
      </c>
      <c r="G401" s="1226">
        <v>0.51739999999999997</v>
      </c>
      <c r="H401" s="1226">
        <v>0.51739999999999997</v>
      </c>
      <c r="I401" s="1226">
        <v>0.44019999999999998</v>
      </c>
      <c r="J401" s="1226">
        <v>0.44019999999999998</v>
      </c>
      <c r="K401" s="1226">
        <v>0.44019999999999998</v>
      </c>
      <c r="L401" s="1226">
        <v>0.44019999999999998</v>
      </c>
      <c r="M401" s="1226">
        <v>0.44019999999999998</v>
      </c>
    </row>
    <row r="402" spans="1:13">
      <c r="A402" s="1227">
        <v>9.4</v>
      </c>
      <c r="B402" s="1226">
        <v>0.63349999999999995</v>
      </c>
      <c r="C402" s="1226">
        <v>0.63349999999999995</v>
      </c>
      <c r="D402" s="1226">
        <v>0.59150000000000003</v>
      </c>
      <c r="E402" s="1226">
        <v>0.59150000000000003</v>
      </c>
      <c r="F402" s="1226">
        <v>0.59150000000000003</v>
      </c>
      <c r="G402" s="1226">
        <v>0.51600000000000001</v>
      </c>
      <c r="H402" s="1226">
        <v>0.51600000000000001</v>
      </c>
      <c r="I402" s="1226">
        <v>0.43880000000000002</v>
      </c>
      <c r="J402" s="1226">
        <v>0.43880000000000002</v>
      </c>
      <c r="K402" s="1226">
        <v>0.43880000000000002</v>
      </c>
      <c r="L402" s="1226">
        <v>0.43880000000000002</v>
      </c>
      <c r="M402" s="1226">
        <v>0.43880000000000002</v>
      </c>
    </row>
    <row r="403" spans="1:13">
      <c r="A403" s="1227">
        <v>9.5</v>
      </c>
      <c r="B403" s="1226">
        <v>0.63249999999999995</v>
      </c>
      <c r="C403" s="1226">
        <v>0.63249999999999995</v>
      </c>
      <c r="D403" s="1226">
        <v>0.59030000000000005</v>
      </c>
      <c r="E403" s="1226">
        <v>0.59030000000000005</v>
      </c>
      <c r="F403" s="1226">
        <v>0.59030000000000005</v>
      </c>
      <c r="G403" s="1226">
        <v>0.51470000000000005</v>
      </c>
      <c r="H403" s="1226">
        <v>0.51470000000000005</v>
      </c>
      <c r="I403" s="1226">
        <v>0.4375</v>
      </c>
      <c r="J403" s="1226">
        <v>0.4375</v>
      </c>
      <c r="K403" s="1226">
        <v>0.4375</v>
      </c>
      <c r="L403" s="1226">
        <v>0.4375</v>
      </c>
      <c r="M403" s="1226">
        <v>0.4375</v>
      </c>
    </row>
    <row r="404" spans="1:13">
      <c r="A404" s="1227">
        <v>9.6</v>
      </c>
      <c r="B404" s="1226">
        <v>0.63149999999999995</v>
      </c>
      <c r="C404" s="1226">
        <v>0.63149999999999995</v>
      </c>
      <c r="D404" s="1226">
        <v>0.58909999999999996</v>
      </c>
      <c r="E404" s="1226">
        <v>0.58909999999999996</v>
      </c>
      <c r="F404" s="1226">
        <v>0.58909999999999996</v>
      </c>
      <c r="G404" s="1226">
        <v>0.51329999999999998</v>
      </c>
      <c r="H404" s="1226">
        <v>0.51329999999999998</v>
      </c>
      <c r="I404" s="1226">
        <v>0.43609999999999999</v>
      </c>
      <c r="J404" s="1226">
        <v>0.43609999999999999</v>
      </c>
      <c r="K404" s="1226">
        <v>0.43609999999999999</v>
      </c>
      <c r="L404" s="1226">
        <v>0.43609999999999999</v>
      </c>
      <c r="M404" s="1226">
        <v>0.43609999999999999</v>
      </c>
    </row>
    <row r="405" spans="1:13">
      <c r="A405" s="1227">
        <v>9.6999999999999993</v>
      </c>
      <c r="B405" s="1226">
        <v>0.63049999999999995</v>
      </c>
      <c r="C405" s="1226">
        <v>0.63049999999999995</v>
      </c>
      <c r="D405" s="1226">
        <v>0.58789999999999998</v>
      </c>
      <c r="E405" s="1226">
        <v>0.58789999999999998</v>
      </c>
      <c r="F405" s="1226">
        <v>0.58789999999999998</v>
      </c>
      <c r="G405" s="1226">
        <v>0.51200000000000001</v>
      </c>
      <c r="H405" s="1226">
        <v>0.51200000000000001</v>
      </c>
      <c r="I405" s="1226">
        <v>0.43480000000000002</v>
      </c>
      <c r="J405" s="1226">
        <v>0.43480000000000002</v>
      </c>
      <c r="K405" s="1226">
        <v>0.43480000000000002</v>
      </c>
      <c r="L405" s="1226">
        <v>0.43480000000000002</v>
      </c>
      <c r="M405" s="1226">
        <v>0.43480000000000002</v>
      </c>
    </row>
    <row r="406" spans="1:13">
      <c r="A406" s="1227">
        <v>9.8000000000000007</v>
      </c>
      <c r="B406" s="1226">
        <v>0.62949999999999995</v>
      </c>
      <c r="C406" s="1226">
        <v>0.62949999999999995</v>
      </c>
      <c r="D406" s="1226">
        <v>0.5867</v>
      </c>
      <c r="E406" s="1226">
        <v>0.5867</v>
      </c>
      <c r="F406" s="1226">
        <v>0.5867</v>
      </c>
      <c r="G406" s="1226">
        <v>0.51060000000000005</v>
      </c>
      <c r="H406" s="1226">
        <v>0.51060000000000005</v>
      </c>
      <c r="I406" s="1226">
        <v>0.43340000000000001</v>
      </c>
      <c r="J406" s="1226">
        <v>0.43340000000000001</v>
      </c>
      <c r="K406" s="1226">
        <v>0.43340000000000001</v>
      </c>
      <c r="L406" s="1226">
        <v>0.43340000000000001</v>
      </c>
      <c r="M406" s="1226">
        <v>0.43340000000000001</v>
      </c>
    </row>
    <row r="407" spans="1:13">
      <c r="A407" s="1227">
        <v>9.9</v>
      </c>
      <c r="B407" s="1226">
        <v>0.62849999999999995</v>
      </c>
      <c r="C407" s="1226">
        <v>0.62849999999999995</v>
      </c>
      <c r="D407" s="1226">
        <v>0.58550000000000002</v>
      </c>
      <c r="E407" s="1226">
        <v>0.58550000000000002</v>
      </c>
      <c r="F407" s="1226">
        <v>0.58550000000000002</v>
      </c>
      <c r="G407" s="1226">
        <v>0.50919999999999999</v>
      </c>
      <c r="H407" s="1226">
        <v>0.50919999999999999</v>
      </c>
      <c r="I407" s="1226">
        <v>0.432</v>
      </c>
      <c r="J407" s="1226">
        <v>0.432</v>
      </c>
      <c r="K407" s="1226">
        <v>0.432</v>
      </c>
      <c r="L407" s="1226">
        <v>0.432</v>
      </c>
      <c r="M407" s="1226">
        <v>0.432</v>
      </c>
    </row>
    <row r="408" spans="1:13">
      <c r="A408" s="1227">
        <v>10</v>
      </c>
      <c r="B408" s="1226">
        <v>0.62749999999999995</v>
      </c>
      <c r="C408" s="1226">
        <v>0.62749999999999995</v>
      </c>
      <c r="D408" s="1226">
        <v>0.58430000000000004</v>
      </c>
      <c r="E408" s="1226">
        <v>0.58430000000000004</v>
      </c>
      <c r="F408" s="1226">
        <v>0.58430000000000004</v>
      </c>
      <c r="G408" s="1226">
        <v>0.50790000000000002</v>
      </c>
      <c r="H408" s="1226">
        <v>0.50790000000000002</v>
      </c>
      <c r="I408" s="1226">
        <v>0.43070000000000003</v>
      </c>
      <c r="J408" s="1226">
        <v>0.43070000000000003</v>
      </c>
      <c r="K408" s="1226">
        <v>0.43070000000000003</v>
      </c>
      <c r="L408" s="1226">
        <v>0.43070000000000003</v>
      </c>
      <c r="M408" s="1226">
        <v>0.43070000000000003</v>
      </c>
    </row>
  </sheetData>
  <sheetProtection password="C66D" sheet="1" objects="1" scenarios="1" formatCells="0" formatColumns="0" formatRows="0"/>
  <phoneticPr fontId="23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344"/>
  <sheetViews>
    <sheetView workbookViewId="0">
      <selection activeCell="G23" sqref="G23"/>
    </sheetView>
  </sheetViews>
  <sheetFormatPr defaultColWidth="9" defaultRowHeight="13.5"/>
  <cols>
    <col min="1" max="1" width="12.625" style="1188" customWidth="1"/>
    <col min="2" max="2" width="10.25" style="1189" customWidth="1"/>
  </cols>
  <sheetData>
    <row r="1" spans="1:6">
      <c r="A1" s="3816" t="s">
        <v>1837</v>
      </c>
      <c r="B1" s="3816"/>
    </row>
    <row r="2" spans="1:6">
      <c r="A2" s="1190"/>
      <c r="B2" s="1190"/>
    </row>
    <row r="3" spans="1:6">
      <c r="A3" s="1190"/>
      <c r="B3" s="1190"/>
      <c r="C3" s="1191" t="s">
        <v>369</v>
      </c>
      <c r="D3" s="1191" t="s">
        <v>370</v>
      </c>
      <c r="E3" s="1191" t="s">
        <v>368</v>
      </c>
      <c r="F3" s="1191" t="s">
        <v>164</v>
      </c>
    </row>
    <row r="4" spans="1:6">
      <c r="A4" s="1192" t="s">
        <v>1503</v>
      </c>
      <c r="B4" s="1193" t="s">
        <v>415</v>
      </c>
      <c r="C4" s="1191"/>
      <c r="D4" s="1191"/>
      <c r="E4" s="1191"/>
      <c r="F4" s="1191"/>
    </row>
    <row r="5" spans="1:6">
      <c r="A5" s="1194" t="s">
        <v>240</v>
      </c>
      <c r="B5" s="1195" t="s">
        <v>1492</v>
      </c>
      <c r="C5" s="1196">
        <v>8.8999999999999996E-2</v>
      </c>
      <c r="D5" s="1196">
        <v>7.3999999999999996E-2</v>
      </c>
      <c r="E5" s="1196">
        <v>7.4999999999999997E-2</v>
      </c>
      <c r="F5" s="1197">
        <v>0.1</v>
      </c>
    </row>
    <row r="6" spans="1:6">
      <c r="A6" s="1194" t="s">
        <v>240</v>
      </c>
      <c r="B6" s="1198" t="s">
        <v>1504</v>
      </c>
      <c r="C6" s="1199">
        <v>0.1</v>
      </c>
      <c r="D6" s="1199">
        <v>9.0999999999999998E-2</v>
      </c>
      <c r="E6" s="1199">
        <v>9.0999999999999998E-2</v>
      </c>
      <c r="F6" s="1200">
        <v>0.1</v>
      </c>
    </row>
    <row r="7" spans="1:6">
      <c r="A7" s="1194" t="s">
        <v>240</v>
      </c>
      <c r="B7" s="1201" t="s">
        <v>1517</v>
      </c>
      <c r="C7" s="1199">
        <v>8.5999999999999993E-2</v>
      </c>
      <c r="D7" s="1199">
        <v>9.6000000000000002E-2</v>
      </c>
      <c r="E7" s="1199">
        <v>7.5999999999999998E-2</v>
      </c>
      <c r="F7" s="1200">
        <v>0.1</v>
      </c>
    </row>
    <row r="8" spans="1:6">
      <c r="A8" s="1194" t="s">
        <v>240</v>
      </c>
      <c r="B8" s="1198" t="s">
        <v>1529</v>
      </c>
      <c r="C8" s="1199">
        <v>9.9000000000000005E-2</v>
      </c>
      <c r="D8" s="1199">
        <v>9.8000000000000004E-2</v>
      </c>
      <c r="E8" s="1199">
        <v>9.8000000000000004E-2</v>
      </c>
      <c r="F8" s="1200">
        <v>0.1</v>
      </c>
    </row>
    <row r="9" spans="1:6">
      <c r="A9" s="1202" t="s">
        <v>240</v>
      </c>
      <c r="B9" s="1203" t="s">
        <v>1541</v>
      </c>
      <c r="C9" s="1204">
        <v>0.05</v>
      </c>
      <c r="D9" s="1205"/>
      <c r="E9" s="1205"/>
      <c r="F9" s="1206"/>
    </row>
    <row r="10" spans="1:6">
      <c r="A10" s="1194" t="s">
        <v>253</v>
      </c>
      <c r="B10" s="1195" t="s">
        <v>1493</v>
      </c>
      <c r="C10" s="1196">
        <v>8.8999999999999996E-2</v>
      </c>
      <c r="D10" s="1196">
        <v>7.2999999999999995E-2</v>
      </c>
      <c r="E10" s="1196">
        <v>8.2000000000000003E-2</v>
      </c>
      <c r="F10" s="1197">
        <v>0.1</v>
      </c>
    </row>
    <row r="11" spans="1:6">
      <c r="A11" s="1194" t="s">
        <v>253</v>
      </c>
      <c r="B11" s="1201" t="s">
        <v>1505</v>
      </c>
      <c r="C11" s="1199">
        <v>8.8999999999999996E-2</v>
      </c>
      <c r="D11" s="1199">
        <v>7.2999999999999995E-2</v>
      </c>
      <c r="E11" s="1199">
        <v>8.2000000000000003E-2</v>
      </c>
      <c r="F11" s="1200">
        <v>0.1</v>
      </c>
    </row>
    <row r="12" spans="1:6">
      <c r="A12" s="1194" t="s">
        <v>253</v>
      </c>
      <c r="B12" s="1201" t="s">
        <v>1518</v>
      </c>
      <c r="C12" s="1199">
        <v>6.0999999999999999E-2</v>
      </c>
      <c r="D12" s="1199">
        <v>7.0999999999999994E-2</v>
      </c>
      <c r="E12" s="1199">
        <v>9.6000000000000002E-2</v>
      </c>
      <c r="F12" s="1200">
        <v>0.1</v>
      </c>
    </row>
    <row r="13" spans="1:6">
      <c r="A13" s="1194" t="s">
        <v>253</v>
      </c>
      <c r="B13" s="1201" t="s">
        <v>1530</v>
      </c>
      <c r="C13" s="1199">
        <v>6.9000000000000006E-2</v>
      </c>
      <c r="D13" s="1199">
        <v>6.5000000000000002E-2</v>
      </c>
      <c r="E13" s="1199">
        <v>6.6000000000000003E-2</v>
      </c>
      <c r="F13" s="1200">
        <v>0.1</v>
      </c>
    </row>
    <row r="14" spans="1:6">
      <c r="A14" s="1194" t="s">
        <v>253</v>
      </c>
      <c r="B14" s="1201" t="s">
        <v>1542</v>
      </c>
      <c r="C14" s="1199">
        <v>0.1</v>
      </c>
      <c r="D14" s="1199">
        <v>6.5000000000000002E-2</v>
      </c>
      <c r="E14" s="1199">
        <v>7.0000000000000007E-2</v>
      </c>
      <c r="F14" s="1200">
        <v>0.1</v>
      </c>
    </row>
    <row r="15" spans="1:6">
      <c r="A15" s="1194" t="s">
        <v>253</v>
      </c>
      <c r="B15" s="1201" t="s">
        <v>1553</v>
      </c>
      <c r="C15" s="1199">
        <v>9.8000000000000004E-2</v>
      </c>
      <c r="D15" s="1199">
        <v>8.8999999999999996E-2</v>
      </c>
      <c r="E15" s="1199">
        <v>8.8999999999999996E-2</v>
      </c>
      <c r="F15" s="1200">
        <v>0.1</v>
      </c>
    </row>
    <row r="16" spans="1:6">
      <c r="A16" s="1194" t="s">
        <v>253</v>
      </c>
      <c r="B16" s="1201" t="s">
        <v>1564</v>
      </c>
      <c r="C16" s="1199">
        <v>7.0000000000000007E-2</v>
      </c>
      <c r="D16" s="1199">
        <v>9.2999999999999999E-2</v>
      </c>
      <c r="E16" s="1199">
        <v>9.6000000000000002E-2</v>
      </c>
      <c r="F16" s="1200">
        <v>0.1</v>
      </c>
    </row>
    <row r="17" spans="1:6">
      <c r="A17" s="1194" t="s">
        <v>253</v>
      </c>
      <c r="B17" s="1201" t="s">
        <v>1575</v>
      </c>
      <c r="C17" s="1199">
        <v>9.5000000000000001E-2</v>
      </c>
      <c r="D17" s="1199">
        <v>0.1</v>
      </c>
      <c r="E17" s="1199">
        <v>0.1</v>
      </c>
      <c r="F17" s="1207"/>
    </row>
    <row r="18" spans="1:6">
      <c r="A18" s="1194" t="s">
        <v>253</v>
      </c>
      <c r="B18" s="1201" t="s">
        <v>1585</v>
      </c>
      <c r="C18" s="1199">
        <v>7.3999999999999996E-2</v>
      </c>
      <c r="D18" s="1199">
        <v>9.9000000000000005E-2</v>
      </c>
      <c r="E18" s="1199">
        <v>0.1</v>
      </c>
      <c r="F18" s="1207"/>
    </row>
    <row r="19" spans="1:6">
      <c r="A19" s="1194" t="s">
        <v>253</v>
      </c>
      <c r="B19" s="1201" t="s">
        <v>1595</v>
      </c>
      <c r="C19" s="1199">
        <v>9.9000000000000005E-2</v>
      </c>
      <c r="D19" s="1199">
        <v>7.5999999999999998E-2</v>
      </c>
      <c r="E19" s="1199">
        <v>8.6999999999999994E-2</v>
      </c>
      <c r="F19" s="1207"/>
    </row>
    <row r="20" spans="1:6">
      <c r="A20" s="1194" t="s">
        <v>253</v>
      </c>
      <c r="B20" s="1201" t="s">
        <v>1605</v>
      </c>
      <c r="C20" s="1199">
        <v>9.8000000000000004E-2</v>
      </c>
      <c r="D20" s="1199">
        <v>8.5000000000000006E-2</v>
      </c>
      <c r="E20" s="1199">
        <v>8.2000000000000003E-2</v>
      </c>
      <c r="F20" s="1207"/>
    </row>
    <row r="21" spans="1:6">
      <c r="A21" s="1194" t="s">
        <v>253</v>
      </c>
      <c r="B21" s="1201" t="s">
        <v>1615</v>
      </c>
      <c r="C21" s="1199">
        <v>6.6000000000000003E-2</v>
      </c>
      <c r="D21" s="1199">
        <v>6.4000000000000001E-2</v>
      </c>
      <c r="E21" s="1199">
        <v>6.5000000000000002E-2</v>
      </c>
      <c r="F21" s="1207"/>
    </row>
    <row r="22" spans="1:6">
      <c r="A22" s="1194" t="s">
        <v>253</v>
      </c>
      <c r="B22" s="1201" t="s">
        <v>1625</v>
      </c>
      <c r="C22" s="1199">
        <v>0.08</v>
      </c>
      <c r="D22" s="1199">
        <v>9.8000000000000004E-2</v>
      </c>
      <c r="E22" s="1199">
        <v>9.8000000000000004E-2</v>
      </c>
      <c r="F22" s="1207"/>
    </row>
    <row r="23" spans="1:6">
      <c r="A23" s="1194" t="s">
        <v>253</v>
      </c>
      <c r="B23" s="1201" t="s">
        <v>1635</v>
      </c>
      <c r="C23" s="1199">
        <v>9.9000000000000005E-2</v>
      </c>
      <c r="D23" s="1199">
        <v>9.8000000000000004E-2</v>
      </c>
      <c r="E23" s="1199">
        <v>9.0999999999999998E-2</v>
      </c>
      <c r="F23" s="1207"/>
    </row>
    <row r="24" spans="1:6">
      <c r="A24" s="1194" t="s">
        <v>253</v>
      </c>
      <c r="B24" s="1201" t="s">
        <v>1645</v>
      </c>
      <c r="C24" s="1199">
        <v>8.8999999999999996E-2</v>
      </c>
      <c r="D24" s="1199">
        <v>9.7000000000000003E-2</v>
      </c>
      <c r="E24" s="1199">
        <v>7.0000000000000007E-2</v>
      </c>
      <c r="F24" s="1207"/>
    </row>
    <row r="25" spans="1:6">
      <c r="A25" s="1194" t="s">
        <v>253</v>
      </c>
      <c r="B25" s="1201" t="s">
        <v>1655</v>
      </c>
      <c r="C25" s="1199">
        <v>8.8999999999999996E-2</v>
      </c>
      <c r="D25" s="1199">
        <v>0.1</v>
      </c>
      <c r="E25" s="1199">
        <v>8.1000000000000003E-2</v>
      </c>
      <c r="F25" s="1207"/>
    </row>
    <row r="26" spans="1:6">
      <c r="A26" s="1194" t="s">
        <v>253</v>
      </c>
      <c r="B26" s="1201" t="s">
        <v>1665</v>
      </c>
      <c r="C26" s="1208"/>
      <c r="D26" s="1199">
        <v>9.6000000000000002E-2</v>
      </c>
      <c r="E26" s="1199">
        <v>9.2999999999999999E-2</v>
      </c>
      <c r="F26" s="1207"/>
    </row>
    <row r="27" spans="1:6">
      <c r="A27" s="1194" t="s">
        <v>253</v>
      </c>
      <c r="B27" s="1201" t="s">
        <v>1675</v>
      </c>
      <c r="C27" s="1208"/>
      <c r="D27" s="1199">
        <v>7.5999999999999998E-2</v>
      </c>
      <c r="E27" s="1199">
        <v>9.1999999999999998E-2</v>
      </c>
      <c r="F27" s="1207"/>
    </row>
    <row r="28" spans="1:6">
      <c r="A28" s="1202" t="s">
        <v>253</v>
      </c>
      <c r="B28" s="1203" t="s">
        <v>1685</v>
      </c>
      <c r="C28" s="1205"/>
      <c r="D28" s="1204">
        <v>7.5999999999999998E-2</v>
      </c>
      <c r="E28" s="1204">
        <v>9.1999999999999998E-2</v>
      </c>
      <c r="F28" s="1206"/>
    </row>
    <row r="29" spans="1:6">
      <c r="A29" s="1194" t="s">
        <v>265</v>
      </c>
      <c r="B29" s="1195" t="s">
        <v>1494</v>
      </c>
      <c r="C29" s="1196">
        <v>6.4000000000000001E-2</v>
      </c>
      <c r="D29" s="1196">
        <v>6.5000000000000002E-2</v>
      </c>
      <c r="E29" s="1196">
        <v>6.9000000000000006E-2</v>
      </c>
      <c r="F29" s="1197">
        <v>0.1</v>
      </c>
    </row>
    <row r="30" spans="1:6">
      <c r="A30" s="1194" t="s">
        <v>265</v>
      </c>
      <c r="B30" s="1201" t="s">
        <v>1506</v>
      </c>
      <c r="C30" s="1199">
        <v>6.4000000000000001E-2</v>
      </c>
      <c r="D30" s="1199">
        <v>9.9000000000000005E-2</v>
      </c>
      <c r="E30" s="1199">
        <v>0.1</v>
      </c>
      <c r="F30" s="1200">
        <v>0.1</v>
      </c>
    </row>
    <row r="31" spans="1:6">
      <c r="A31" s="1194" t="s">
        <v>265</v>
      </c>
      <c r="B31" s="1201" t="s">
        <v>1519</v>
      </c>
      <c r="C31" s="1199">
        <v>0.1</v>
      </c>
      <c r="D31" s="1199">
        <v>9.5000000000000001E-2</v>
      </c>
      <c r="E31" s="1199">
        <v>8.8999999999999996E-2</v>
      </c>
      <c r="F31" s="1200">
        <v>0.1</v>
      </c>
    </row>
    <row r="32" spans="1:6">
      <c r="A32" s="1194" t="s">
        <v>265</v>
      </c>
      <c r="B32" s="1201" t="s">
        <v>1531</v>
      </c>
      <c r="C32" s="1199">
        <v>0.05</v>
      </c>
      <c r="D32" s="1199">
        <v>0.05</v>
      </c>
      <c r="E32" s="1199">
        <v>8.7999999999999995E-2</v>
      </c>
      <c r="F32" s="1200">
        <v>0.1</v>
      </c>
    </row>
    <row r="33" spans="1:6">
      <c r="A33" s="1194" t="s">
        <v>265</v>
      </c>
      <c r="B33" s="1201" t="s">
        <v>1543</v>
      </c>
      <c r="C33" s="1199">
        <v>7.4999999999999997E-2</v>
      </c>
      <c r="D33" s="1199">
        <v>9.4E-2</v>
      </c>
      <c r="E33" s="1199">
        <v>9.7000000000000003E-2</v>
      </c>
      <c r="F33" s="1200">
        <v>0.1</v>
      </c>
    </row>
    <row r="34" spans="1:6">
      <c r="A34" s="1194" t="s">
        <v>265</v>
      </c>
      <c r="B34" s="1201" t="s">
        <v>1554</v>
      </c>
      <c r="C34" s="1199">
        <v>9.8000000000000004E-2</v>
      </c>
      <c r="D34" s="1199">
        <v>8.5999999999999993E-2</v>
      </c>
      <c r="E34" s="1199">
        <v>9.7000000000000003E-2</v>
      </c>
      <c r="F34" s="1200">
        <v>0.1</v>
      </c>
    </row>
    <row r="35" spans="1:6">
      <c r="A35" s="1194" t="s">
        <v>265</v>
      </c>
      <c r="B35" s="1201" t="s">
        <v>1565</v>
      </c>
      <c r="C35" s="1199">
        <v>5.8999999999999997E-2</v>
      </c>
      <c r="D35" s="1199">
        <v>6.5000000000000002E-2</v>
      </c>
      <c r="E35" s="1199">
        <v>7.0000000000000007E-2</v>
      </c>
      <c r="F35" s="1200">
        <v>0.1</v>
      </c>
    </row>
    <row r="36" spans="1:6">
      <c r="A36" s="1194" t="s">
        <v>265</v>
      </c>
      <c r="B36" s="1201" t="s">
        <v>1576</v>
      </c>
      <c r="C36" s="1199">
        <v>6.3E-2</v>
      </c>
      <c r="D36" s="1199">
        <v>0.1</v>
      </c>
      <c r="E36" s="1199">
        <v>0.1</v>
      </c>
      <c r="F36" s="1200">
        <v>0.1</v>
      </c>
    </row>
    <row r="37" spans="1:6">
      <c r="A37" s="1194" t="s">
        <v>265</v>
      </c>
      <c r="B37" s="1201" t="s">
        <v>1586</v>
      </c>
      <c r="C37" s="1199">
        <v>7.3999999999999996E-2</v>
      </c>
      <c r="D37" s="1199">
        <v>0.1</v>
      </c>
      <c r="E37" s="1199">
        <v>0.1</v>
      </c>
      <c r="F37" s="1200">
        <v>0.1</v>
      </c>
    </row>
    <row r="38" spans="1:6">
      <c r="A38" s="1194" t="s">
        <v>265</v>
      </c>
      <c r="B38" s="1201" t="s">
        <v>1596</v>
      </c>
      <c r="C38" s="1199">
        <v>0.1</v>
      </c>
      <c r="D38" s="1199">
        <v>9.6000000000000002E-2</v>
      </c>
      <c r="E38" s="1199">
        <v>9.6000000000000002E-2</v>
      </c>
      <c r="F38" s="1207"/>
    </row>
    <row r="39" spans="1:6">
      <c r="A39" s="1194" t="s">
        <v>265</v>
      </c>
      <c r="B39" s="1201" t="s">
        <v>1606</v>
      </c>
      <c r="C39" s="1199">
        <v>0.1</v>
      </c>
      <c r="D39" s="1199">
        <v>9.6000000000000002E-2</v>
      </c>
      <c r="E39" s="1199">
        <v>9.6000000000000002E-2</v>
      </c>
      <c r="F39" s="1207"/>
    </row>
    <row r="40" spans="1:6">
      <c r="A40" s="1194" t="s">
        <v>265</v>
      </c>
      <c r="B40" s="1201" t="s">
        <v>1616</v>
      </c>
      <c r="C40" s="1199">
        <v>9.6000000000000002E-2</v>
      </c>
      <c r="D40" s="1199">
        <v>0.1</v>
      </c>
      <c r="E40" s="1199">
        <v>9.9000000000000005E-2</v>
      </c>
      <c r="F40" s="1207"/>
    </row>
    <row r="41" spans="1:6">
      <c r="A41" s="1194" t="s">
        <v>265</v>
      </c>
      <c r="B41" s="1201" t="s">
        <v>1626</v>
      </c>
      <c r="C41" s="1199">
        <v>9.6000000000000002E-2</v>
      </c>
      <c r="D41" s="1199">
        <v>9.8000000000000004E-2</v>
      </c>
      <c r="E41" s="1199">
        <v>9.8000000000000004E-2</v>
      </c>
      <c r="F41" s="1207"/>
    </row>
    <row r="42" spans="1:6">
      <c r="A42" s="1194" t="s">
        <v>265</v>
      </c>
      <c r="B42" s="1201" t="s">
        <v>1636</v>
      </c>
      <c r="C42" s="1199">
        <v>0.1</v>
      </c>
      <c r="D42" s="1199">
        <v>8.7999999999999995E-2</v>
      </c>
      <c r="E42" s="1199">
        <v>0.1</v>
      </c>
      <c r="F42" s="1207"/>
    </row>
    <row r="43" spans="1:6">
      <c r="A43" s="1194" t="s">
        <v>265</v>
      </c>
      <c r="B43" s="1201" t="s">
        <v>1646</v>
      </c>
      <c r="C43" s="1199">
        <v>9.8000000000000004E-2</v>
      </c>
      <c r="D43" s="1199">
        <v>9.7000000000000003E-2</v>
      </c>
      <c r="E43" s="1199">
        <v>9.6000000000000002E-2</v>
      </c>
      <c r="F43" s="1207"/>
    </row>
    <row r="44" spans="1:6">
      <c r="A44" s="1194" t="s">
        <v>265</v>
      </c>
      <c r="B44" s="1201" t="s">
        <v>1656</v>
      </c>
      <c r="C44" s="1199">
        <v>8.5999999999999993E-2</v>
      </c>
      <c r="D44" s="1199">
        <v>7.9000000000000001E-2</v>
      </c>
      <c r="E44" s="1199">
        <v>7.0999999999999994E-2</v>
      </c>
      <c r="F44" s="1207"/>
    </row>
    <row r="45" spans="1:6">
      <c r="A45" s="1194" t="s">
        <v>265</v>
      </c>
      <c r="B45" s="1201" t="s">
        <v>1666</v>
      </c>
      <c r="C45" s="1199">
        <v>9.8000000000000004E-2</v>
      </c>
      <c r="D45" s="1199">
        <v>9.6000000000000002E-2</v>
      </c>
      <c r="E45" s="1199">
        <v>9.6000000000000002E-2</v>
      </c>
      <c r="F45" s="1207"/>
    </row>
    <row r="46" spans="1:6">
      <c r="A46" s="1194" t="s">
        <v>265</v>
      </c>
      <c r="B46" s="1201" t="s">
        <v>1676</v>
      </c>
      <c r="C46" s="1199">
        <v>8.5999999999999993E-2</v>
      </c>
      <c r="D46" s="1199">
        <v>9.8000000000000004E-2</v>
      </c>
      <c r="E46" s="1199">
        <v>8.7999999999999995E-2</v>
      </c>
      <c r="F46" s="1207"/>
    </row>
    <row r="47" spans="1:6">
      <c r="A47" s="1194" t="s">
        <v>265</v>
      </c>
      <c r="B47" s="1201" t="s">
        <v>1686</v>
      </c>
      <c r="C47" s="1199">
        <v>9.6000000000000002E-2</v>
      </c>
      <c r="D47" s="1208"/>
      <c r="E47" s="1199">
        <v>6.9000000000000006E-2</v>
      </c>
      <c r="F47" s="1207"/>
    </row>
    <row r="48" spans="1:6">
      <c r="A48" s="1202" t="s">
        <v>265</v>
      </c>
      <c r="B48" s="1203" t="s">
        <v>1695</v>
      </c>
      <c r="C48" s="1204">
        <v>9.8000000000000004E-2</v>
      </c>
      <c r="D48" s="1205"/>
      <c r="E48" s="1204">
        <v>9.5000000000000001E-2</v>
      </c>
      <c r="F48" s="1206"/>
    </row>
    <row r="49" spans="1:6">
      <c r="A49" s="1194" t="s">
        <v>275</v>
      </c>
      <c r="B49" s="1195" t="s">
        <v>1495</v>
      </c>
      <c r="C49" s="1196">
        <v>9.7000000000000003E-2</v>
      </c>
      <c r="D49" s="1196">
        <v>9.5000000000000001E-2</v>
      </c>
      <c r="E49" s="1196">
        <v>9.7000000000000003E-2</v>
      </c>
      <c r="F49" s="1197">
        <v>0.1</v>
      </c>
    </row>
    <row r="50" spans="1:6">
      <c r="A50" s="1194" t="s">
        <v>275</v>
      </c>
      <c r="B50" s="1198" t="s">
        <v>1507</v>
      </c>
      <c r="C50" s="1199">
        <v>7.4999999999999997E-2</v>
      </c>
      <c r="D50" s="1199">
        <v>9.5000000000000001E-2</v>
      </c>
      <c r="E50" s="1199">
        <v>0.1</v>
      </c>
      <c r="F50" s="1200">
        <v>0.1</v>
      </c>
    </row>
    <row r="51" spans="1:6">
      <c r="A51" s="1194" t="s">
        <v>275</v>
      </c>
      <c r="B51" s="1198" t="s">
        <v>1520</v>
      </c>
      <c r="C51" s="1199">
        <v>9.8000000000000004E-2</v>
      </c>
      <c r="D51" s="1199">
        <v>8.8999999999999996E-2</v>
      </c>
      <c r="E51" s="1199">
        <v>0.1</v>
      </c>
      <c r="F51" s="1200">
        <v>0.1</v>
      </c>
    </row>
    <row r="52" spans="1:6">
      <c r="A52" s="1194" t="s">
        <v>275</v>
      </c>
      <c r="B52" s="1198" t="s">
        <v>1532</v>
      </c>
      <c r="C52" s="1199">
        <v>9.8000000000000004E-2</v>
      </c>
      <c r="D52" s="1199">
        <v>9.7000000000000003E-2</v>
      </c>
      <c r="E52" s="1199">
        <v>8.1000000000000003E-2</v>
      </c>
      <c r="F52" s="1200">
        <v>0.1</v>
      </c>
    </row>
    <row r="53" spans="1:6">
      <c r="A53" s="1194" t="s">
        <v>275</v>
      </c>
      <c r="B53" s="1198" t="s">
        <v>1544</v>
      </c>
      <c r="C53" s="1199">
        <v>9.7000000000000003E-2</v>
      </c>
      <c r="D53" s="1199">
        <v>7.5999999999999998E-2</v>
      </c>
      <c r="E53" s="1199">
        <v>7.0999999999999994E-2</v>
      </c>
      <c r="F53" s="1200">
        <v>0.1</v>
      </c>
    </row>
    <row r="54" spans="1:6">
      <c r="A54" s="1194" t="s">
        <v>275</v>
      </c>
      <c r="B54" s="1198" t="s">
        <v>1555</v>
      </c>
      <c r="C54" s="1199">
        <v>7.5999999999999998E-2</v>
      </c>
      <c r="D54" s="1199">
        <v>0.1</v>
      </c>
      <c r="E54" s="1199">
        <v>9.9000000000000005E-2</v>
      </c>
      <c r="F54" s="1200">
        <v>0.1</v>
      </c>
    </row>
    <row r="55" spans="1:6">
      <c r="A55" s="1194" t="s">
        <v>275</v>
      </c>
      <c r="B55" s="1198" t="s">
        <v>1566</v>
      </c>
      <c r="C55" s="1199">
        <v>0.1</v>
      </c>
      <c r="D55" s="1199">
        <v>0.1</v>
      </c>
      <c r="E55" s="1199">
        <v>9.6000000000000002E-2</v>
      </c>
      <c r="F55" s="1200">
        <v>0.1</v>
      </c>
    </row>
    <row r="56" spans="1:6">
      <c r="A56" s="1194" t="s">
        <v>275</v>
      </c>
      <c r="B56" s="1198" t="s">
        <v>1577</v>
      </c>
      <c r="C56" s="1199">
        <v>0.1</v>
      </c>
      <c r="D56" s="1199">
        <v>9.6000000000000002E-2</v>
      </c>
      <c r="E56" s="1199">
        <v>5.1999999999999998E-2</v>
      </c>
      <c r="F56" s="1200">
        <v>0.1</v>
      </c>
    </row>
    <row r="57" spans="1:6">
      <c r="A57" s="1194" t="s">
        <v>275</v>
      </c>
      <c r="B57" s="1198" t="s">
        <v>1587</v>
      </c>
      <c r="C57" s="1199">
        <v>9.7000000000000003E-2</v>
      </c>
      <c r="D57" s="1199">
        <v>9.6000000000000002E-2</v>
      </c>
      <c r="E57" s="1199">
        <v>9.6000000000000002E-2</v>
      </c>
      <c r="F57" s="1200">
        <v>0.1</v>
      </c>
    </row>
    <row r="58" spans="1:6">
      <c r="A58" s="1194" t="s">
        <v>275</v>
      </c>
      <c r="B58" s="1198" t="s">
        <v>1597</v>
      </c>
      <c r="C58" s="1199">
        <v>9.6000000000000002E-2</v>
      </c>
      <c r="D58" s="1199">
        <v>9.9000000000000005E-2</v>
      </c>
      <c r="E58" s="1199">
        <v>9.6000000000000002E-2</v>
      </c>
      <c r="F58" s="1200">
        <v>0.1</v>
      </c>
    </row>
    <row r="59" spans="1:6">
      <c r="A59" s="1194" t="s">
        <v>275</v>
      </c>
      <c r="B59" s="1198" t="s">
        <v>1607</v>
      </c>
      <c r="C59" s="1199">
        <v>7.1999999999999995E-2</v>
      </c>
      <c r="D59" s="1199">
        <v>9.6000000000000002E-2</v>
      </c>
      <c r="E59" s="1199">
        <v>7.0999999999999994E-2</v>
      </c>
      <c r="F59" s="1200">
        <v>0.1</v>
      </c>
    </row>
    <row r="60" spans="1:6">
      <c r="A60" s="1194" t="s">
        <v>275</v>
      </c>
      <c r="B60" s="1198" t="s">
        <v>1617</v>
      </c>
      <c r="C60" s="1199">
        <v>9.6000000000000002E-2</v>
      </c>
      <c r="D60" s="1199">
        <v>8.8999999999999996E-2</v>
      </c>
      <c r="E60" s="1199">
        <v>9.6000000000000002E-2</v>
      </c>
      <c r="F60" s="1200">
        <v>0.1</v>
      </c>
    </row>
    <row r="61" spans="1:6">
      <c r="A61" s="1194" t="s">
        <v>275</v>
      </c>
      <c r="B61" s="1198" t="s">
        <v>1627</v>
      </c>
      <c r="C61" s="1199">
        <v>8.8999999999999996E-2</v>
      </c>
      <c r="D61" s="1199">
        <v>9.8000000000000004E-2</v>
      </c>
      <c r="E61" s="1199">
        <v>8.7999999999999995E-2</v>
      </c>
      <c r="F61" s="1207"/>
    </row>
    <row r="62" spans="1:6">
      <c r="A62" s="1194" t="s">
        <v>275</v>
      </c>
      <c r="B62" s="1198" t="s">
        <v>1637</v>
      </c>
      <c r="C62" s="1199">
        <v>9.8000000000000004E-2</v>
      </c>
      <c r="D62" s="1199">
        <v>9.2999999999999999E-2</v>
      </c>
      <c r="E62" s="1199">
        <v>9.7000000000000003E-2</v>
      </c>
      <c r="F62" s="1207"/>
    </row>
    <row r="63" spans="1:6">
      <c r="A63" s="1194" t="s">
        <v>275</v>
      </c>
      <c r="B63" s="1198" t="s">
        <v>1647</v>
      </c>
      <c r="C63" s="1199">
        <v>9.6000000000000002E-2</v>
      </c>
      <c r="D63" s="1199">
        <v>9.8000000000000004E-2</v>
      </c>
      <c r="E63" s="1199">
        <v>0.09</v>
      </c>
      <c r="F63" s="1207"/>
    </row>
    <row r="64" spans="1:6">
      <c r="A64" s="1194" t="s">
        <v>275</v>
      </c>
      <c r="B64" s="1198" t="s">
        <v>1657</v>
      </c>
      <c r="C64" s="1199">
        <v>9.9000000000000005E-2</v>
      </c>
      <c r="D64" s="1199">
        <v>9.7000000000000003E-2</v>
      </c>
      <c r="E64" s="1199">
        <v>9.9000000000000005E-2</v>
      </c>
      <c r="F64" s="1207"/>
    </row>
    <row r="65" spans="1:6">
      <c r="A65" s="1194" t="s">
        <v>275</v>
      </c>
      <c r="B65" s="1198" t="s">
        <v>1667</v>
      </c>
      <c r="C65" s="1199">
        <v>9.8000000000000004E-2</v>
      </c>
      <c r="D65" s="1199">
        <v>9.6000000000000002E-2</v>
      </c>
      <c r="E65" s="1199">
        <v>9.6000000000000002E-2</v>
      </c>
      <c r="F65" s="1207"/>
    </row>
    <row r="66" spans="1:6">
      <c r="A66" s="1194" t="s">
        <v>275</v>
      </c>
      <c r="B66" s="1198" t="s">
        <v>1677</v>
      </c>
      <c r="C66" s="1199">
        <v>9.6000000000000002E-2</v>
      </c>
      <c r="D66" s="1199">
        <v>9.1999999999999998E-2</v>
      </c>
      <c r="E66" s="1199">
        <v>9.6000000000000002E-2</v>
      </c>
      <c r="F66" s="1207"/>
    </row>
    <row r="67" spans="1:6">
      <c r="A67" s="1194" t="s">
        <v>275</v>
      </c>
      <c r="B67" s="1198" t="s">
        <v>1687</v>
      </c>
      <c r="C67" s="1199">
        <v>9.4E-2</v>
      </c>
      <c r="D67" s="1199">
        <v>0.1</v>
      </c>
      <c r="E67" s="1199">
        <v>8.7999999999999995E-2</v>
      </c>
      <c r="F67" s="1207"/>
    </row>
    <row r="68" spans="1:6">
      <c r="A68" s="1194" t="s">
        <v>275</v>
      </c>
      <c r="B68" s="1198" t="s">
        <v>1696</v>
      </c>
      <c r="C68" s="1199">
        <v>0.1</v>
      </c>
      <c r="D68" s="1199">
        <v>8.7999999999999995E-2</v>
      </c>
      <c r="E68" s="1199">
        <v>9.7000000000000003E-2</v>
      </c>
      <c r="F68" s="1207"/>
    </row>
    <row r="69" spans="1:6">
      <c r="A69" s="1194" t="s">
        <v>275</v>
      </c>
      <c r="B69" s="1198" t="s">
        <v>1704</v>
      </c>
      <c r="C69" s="1199">
        <v>6.4000000000000001E-2</v>
      </c>
      <c r="D69" s="1199">
        <v>0.1</v>
      </c>
      <c r="E69" s="1199">
        <v>0.1</v>
      </c>
      <c r="F69" s="1207"/>
    </row>
    <row r="70" spans="1:6">
      <c r="A70" s="1194" t="s">
        <v>275</v>
      </c>
      <c r="B70" s="1198" t="s">
        <v>1712</v>
      </c>
      <c r="C70" s="1199">
        <v>9.0999999999999998E-2</v>
      </c>
      <c r="D70" s="1208"/>
      <c r="E70" s="1208"/>
      <c r="F70" s="1207"/>
    </row>
    <row r="71" spans="1:6">
      <c r="A71" s="1194" t="s">
        <v>275</v>
      </c>
      <c r="B71" s="1198" t="s">
        <v>1719</v>
      </c>
      <c r="C71" s="1199">
        <v>0.1</v>
      </c>
      <c r="D71" s="1208"/>
      <c r="E71" s="1208"/>
      <c r="F71" s="1207"/>
    </row>
    <row r="72" spans="1:6">
      <c r="A72" s="1194" t="s">
        <v>275</v>
      </c>
      <c r="B72" s="1198" t="s">
        <v>1726</v>
      </c>
      <c r="C72" s="1208"/>
      <c r="D72" s="1208"/>
      <c r="E72" s="1208"/>
      <c r="F72" s="1200">
        <v>0.05</v>
      </c>
    </row>
    <row r="73" spans="1:6">
      <c r="A73" s="1194" t="s">
        <v>275</v>
      </c>
      <c r="B73" s="1198" t="s">
        <v>1733</v>
      </c>
      <c r="C73" s="1208"/>
      <c r="D73" s="1208"/>
      <c r="E73" s="1208"/>
      <c r="F73" s="1200">
        <v>0.05</v>
      </c>
    </row>
    <row r="74" spans="1:6">
      <c r="A74" s="1194" t="s">
        <v>275</v>
      </c>
      <c r="B74" s="1198" t="s">
        <v>1740</v>
      </c>
      <c r="C74" s="1208"/>
      <c r="D74" s="1208"/>
      <c r="E74" s="1208"/>
      <c r="F74" s="1200">
        <v>0.05</v>
      </c>
    </row>
    <row r="75" spans="1:6">
      <c r="A75" s="1202" t="s">
        <v>275</v>
      </c>
      <c r="B75" s="1209" t="s">
        <v>1747</v>
      </c>
      <c r="C75" s="1205"/>
      <c r="D75" s="1205"/>
      <c r="E75" s="1205"/>
      <c r="F75" s="1210">
        <v>0.05</v>
      </c>
    </row>
    <row r="76" spans="1:6">
      <c r="A76" s="1194" t="s">
        <v>284</v>
      </c>
      <c r="B76" s="1195" t="s">
        <v>1496</v>
      </c>
      <c r="C76" s="1196">
        <v>0.1</v>
      </c>
      <c r="D76" s="1196">
        <v>0.1</v>
      </c>
      <c r="E76" s="1196">
        <v>0.1</v>
      </c>
      <c r="F76" s="1197">
        <v>0.1</v>
      </c>
    </row>
    <row r="77" spans="1:6">
      <c r="A77" s="1194" t="s">
        <v>284</v>
      </c>
      <c r="B77" s="1198" t="s">
        <v>1508</v>
      </c>
      <c r="C77" s="1199">
        <v>8.7999999999999995E-2</v>
      </c>
      <c r="D77" s="1199">
        <v>8.6999999999999994E-2</v>
      </c>
      <c r="E77" s="1199">
        <v>7.9000000000000001E-2</v>
      </c>
      <c r="F77" s="1200">
        <v>0.1</v>
      </c>
    </row>
    <row r="78" spans="1:6">
      <c r="A78" s="1194" t="s">
        <v>284</v>
      </c>
      <c r="B78" s="1198" t="s">
        <v>1521</v>
      </c>
      <c r="C78" s="1199">
        <v>8.6999999999999994E-2</v>
      </c>
      <c r="D78" s="1199">
        <v>8.4000000000000005E-2</v>
      </c>
      <c r="E78" s="1199">
        <v>9.6000000000000002E-2</v>
      </c>
      <c r="F78" s="1200">
        <v>0.1</v>
      </c>
    </row>
    <row r="79" spans="1:6">
      <c r="A79" s="1194" t="s">
        <v>284</v>
      </c>
      <c r="B79" s="1198" t="s">
        <v>1533</v>
      </c>
      <c r="C79" s="1199">
        <v>9.8000000000000004E-2</v>
      </c>
      <c r="D79" s="1199">
        <v>9.8000000000000004E-2</v>
      </c>
      <c r="E79" s="1199">
        <v>9.0999999999999998E-2</v>
      </c>
      <c r="F79" s="1200">
        <v>0.1</v>
      </c>
    </row>
    <row r="80" spans="1:6">
      <c r="A80" s="1194" t="s">
        <v>284</v>
      </c>
      <c r="B80" s="1198" t="s">
        <v>1545</v>
      </c>
      <c r="C80" s="1199">
        <v>9.6000000000000002E-2</v>
      </c>
      <c r="D80" s="1199">
        <v>9.6000000000000002E-2</v>
      </c>
      <c r="E80" s="1199">
        <v>0.1</v>
      </c>
      <c r="F80" s="1200">
        <v>0.1</v>
      </c>
    </row>
    <row r="81" spans="1:6">
      <c r="A81" s="1194" t="s">
        <v>284</v>
      </c>
      <c r="B81" s="1198" t="s">
        <v>1556</v>
      </c>
      <c r="C81" s="1199">
        <v>9.9000000000000005E-2</v>
      </c>
      <c r="D81" s="1199">
        <v>9.9000000000000005E-2</v>
      </c>
      <c r="E81" s="1199">
        <v>9.8000000000000004E-2</v>
      </c>
      <c r="F81" s="1200">
        <v>0.1</v>
      </c>
    </row>
    <row r="82" spans="1:6">
      <c r="A82" s="1194" t="s">
        <v>284</v>
      </c>
      <c r="B82" s="1198" t="s">
        <v>1567</v>
      </c>
      <c r="C82" s="1199">
        <v>9.9000000000000005E-2</v>
      </c>
      <c r="D82" s="1199">
        <v>9.9000000000000005E-2</v>
      </c>
      <c r="E82" s="1199">
        <v>9.7000000000000003E-2</v>
      </c>
      <c r="F82" s="1200">
        <v>0.1</v>
      </c>
    </row>
    <row r="83" spans="1:6">
      <c r="A83" s="1194" t="s">
        <v>284</v>
      </c>
      <c r="B83" s="1198" t="s">
        <v>1578</v>
      </c>
      <c r="C83" s="1199">
        <v>9.8000000000000004E-2</v>
      </c>
      <c r="D83" s="1199">
        <v>9.8000000000000004E-2</v>
      </c>
      <c r="E83" s="1199">
        <v>9.8000000000000004E-2</v>
      </c>
      <c r="F83" s="1200">
        <v>0.1</v>
      </c>
    </row>
    <row r="84" spans="1:6">
      <c r="A84" s="1194" t="s">
        <v>284</v>
      </c>
      <c r="B84" s="1198" t="s">
        <v>1588</v>
      </c>
      <c r="C84" s="1199">
        <v>9.9000000000000005E-2</v>
      </c>
      <c r="D84" s="1199">
        <v>9.9000000000000005E-2</v>
      </c>
      <c r="E84" s="1199">
        <v>9.9000000000000005E-2</v>
      </c>
      <c r="F84" s="1200">
        <v>0.1</v>
      </c>
    </row>
    <row r="85" spans="1:6">
      <c r="A85" s="1194" t="s">
        <v>284</v>
      </c>
      <c r="B85" s="1198" t="s">
        <v>1598</v>
      </c>
      <c r="C85" s="1199">
        <v>9.9000000000000005E-2</v>
      </c>
      <c r="D85" s="1199">
        <v>9.9000000000000005E-2</v>
      </c>
      <c r="E85" s="1199">
        <v>9.9000000000000005E-2</v>
      </c>
      <c r="F85" s="1200">
        <v>0.1</v>
      </c>
    </row>
    <row r="86" spans="1:6">
      <c r="A86" s="1194" t="s">
        <v>284</v>
      </c>
      <c r="B86" s="1198" t="s">
        <v>1608</v>
      </c>
      <c r="C86" s="1199">
        <v>0.1</v>
      </c>
      <c r="D86" s="1199">
        <v>0.1</v>
      </c>
      <c r="E86" s="1199">
        <v>7.6999999999999999E-2</v>
      </c>
      <c r="F86" s="1200">
        <v>0.1</v>
      </c>
    </row>
    <row r="87" spans="1:6">
      <c r="A87" s="1194" t="s">
        <v>284</v>
      </c>
      <c r="B87" s="1198" t="s">
        <v>1618</v>
      </c>
      <c r="C87" s="1199">
        <v>0.1</v>
      </c>
      <c r="D87" s="1199">
        <v>0.1</v>
      </c>
      <c r="E87" s="1199">
        <v>9.8000000000000004E-2</v>
      </c>
      <c r="F87" s="1207"/>
    </row>
    <row r="88" spans="1:6">
      <c r="A88" s="1194" t="s">
        <v>284</v>
      </c>
      <c r="B88" s="1198" t="s">
        <v>1628</v>
      </c>
      <c r="C88" s="1199">
        <v>9.1999999999999998E-2</v>
      </c>
      <c r="D88" s="1199">
        <v>8.5000000000000006E-2</v>
      </c>
      <c r="E88" s="1199">
        <v>9.6000000000000002E-2</v>
      </c>
      <c r="F88" s="1207"/>
    </row>
    <row r="89" spans="1:6">
      <c r="A89" s="1194" t="s">
        <v>284</v>
      </c>
      <c r="B89" s="1198" t="s">
        <v>1638</v>
      </c>
      <c r="C89" s="1199">
        <v>0.1</v>
      </c>
      <c r="D89" s="1199">
        <v>0.1</v>
      </c>
      <c r="E89" s="1199">
        <v>9.7000000000000003E-2</v>
      </c>
      <c r="F89" s="1207"/>
    </row>
    <row r="90" spans="1:6">
      <c r="A90" s="1194" t="s">
        <v>284</v>
      </c>
      <c r="B90" s="1198" t="s">
        <v>1648</v>
      </c>
      <c r="C90" s="1199">
        <v>9.8000000000000004E-2</v>
      </c>
      <c r="D90" s="1199">
        <v>9.8000000000000004E-2</v>
      </c>
      <c r="E90" s="1199">
        <v>8.7999999999999995E-2</v>
      </c>
      <c r="F90" s="1207"/>
    </row>
    <row r="91" spans="1:6">
      <c r="A91" s="1194" t="s">
        <v>284</v>
      </c>
      <c r="B91" s="1198" t="s">
        <v>1658</v>
      </c>
      <c r="C91" s="1199">
        <v>9.9000000000000005E-2</v>
      </c>
      <c r="D91" s="1199">
        <v>9.9000000000000005E-2</v>
      </c>
      <c r="E91" s="1199">
        <v>9.0999999999999998E-2</v>
      </c>
      <c r="F91" s="1207"/>
    </row>
    <row r="92" spans="1:6">
      <c r="A92" s="1194" t="s">
        <v>284</v>
      </c>
      <c r="B92" s="1198" t="s">
        <v>1668</v>
      </c>
      <c r="C92" s="1199">
        <v>9.6000000000000002E-2</v>
      </c>
      <c r="D92" s="1199">
        <v>9.6000000000000002E-2</v>
      </c>
      <c r="E92" s="1199">
        <v>7.2999999999999995E-2</v>
      </c>
      <c r="F92" s="1207"/>
    </row>
    <row r="93" spans="1:6">
      <c r="A93" s="1194" t="s">
        <v>284</v>
      </c>
      <c r="B93" s="1198" t="s">
        <v>1678</v>
      </c>
      <c r="C93" s="1199">
        <v>9.6000000000000002E-2</v>
      </c>
      <c r="D93" s="1199">
        <v>9.6000000000000002E-2</v>
      </c>
      <c r="E93" s="1199">
        <v>9.9000000000000005E-2</v>
      </c>
      <c r="F93" s="1207"/>
    </row>
    <row r="94" spans="1:6">
      <c r="A94" s="1194" t="s">
        <v>284</v>
      </c>
      <c r="B94" s="1198" t="s">
        <v>1688</v>
      </c>
      <c r="C94" s="1199">
        <v>7.5999999999999998E-2</v>
      </c>
      <c r="D94" s="1199">
        <v>7.3999999999999996E-2</v>
      </c>
      <c r="E94" s="1199">
        <v>9.7000000000000003E-2</v>
      </c>
      <c r="F94" s="1207"/>
    </row>
    <row r="95" spans="1:6">
      <c r="A95" s="1194" t="s">
        <v>284</v>
      </c>
      <c r="B95" s="1198" t="s">
        <v>1697</v>
      </c>
      <c r="C95" s="1199">
        <v>9.9000000000000005E-2</v>
      </c>
      <c r="D95" s="1199">
        <v>9.4E-2</v>
      </c>
      <c r="E95" s="1199">
        <v>9.6000000000000002E-2</v>
      </c>
      <c r="F95" s="1207"/>
    </row>
    <row r="96" spans="1:6">
      <c r="A96" s="1194" t="s">
        <v>284</v>
      </c>
      <c r="B96" s="1198" t="s">
        <v>1705</v>
      </c>
      <c r="C96" s="1199">
        <v>9.9000000000000005E-2</v>
      </c>
      <c r="D96" s="1199">
        <v>9.9000000000000005E-2</v>
      </c>
      <c r="E96" s="1199">
        <v>9.9000000000000005E-2</v>
      </c>
      <c r="F96" s="1207"/>
    </row>
    <row r="97" spans="1:6">
      <c r="A97" s="1194" t="s">
        <v>284</v>
      </c>
      <c r="B97" s="1198" t="s">
        <v>1713</v>
      </c>
      <c r="C97" s="1199">
        <v>9.8000000000000004E-2</v>
      </c>
      <c r="D97" s="1199">
        <v>9.8000000000000004E-2</v>
      </c>
      <c r="E97" s="1199">
        <v>9.7000000000000003E-2</v>
      </c>
      <c r="F97" s="1207"/>
    </row>
    <row r="98" spans="1:6">
      <c r="A98" s="1194" t="s">
        <v>284</v>
      </c>
      <c r="B98" s="1198" t="s">
        <v>1720</v>
      </c>
      <c r="C98" s="1199">
        <v>0.1</v>
      </c>
      <c r="D98" s="1199">
        <v>0.1</v>
      </c>
      <c r="E98" s="1199">
        <v>9.7000000000000003E-2</v>
      </c>
      <c r="F98" s="1207"/>
    </row>
    <row r="99" spans="1:6">
      <c r="A99" s="1194" t="s">
        <v>284</v>
      </c>
      <c r="B99" s="1198" t="s">
        <v>1727</v>
      </c>
      <c r="C99" s="1199">
        <v>0.1</v>
      </c>
      <c r="D99" s="1199">
        <v>0.1</v>
      </c>
      <c r="E99" s="1208"/>
      <c r="F99" s="1207"/>
    </row>
    <row r="100" spans="1:6">
      <c r="A100" s="1194" t="s">
        <v>284</v>
      </c>
      <c r="B100" s="1198" t="s">
        <v>1734</v>
      </c>
      <c r="C100" s="1199">
        <v>0.09</v>
      </c>
      <c r="D100" s="1199">
        <v>8.8999999999999996E-2</v>
      </c>
      <c r="E100" s="1208"/>
      <c r="F100" s="1207"/>
    </row>
    <row r="101" spans="1:6">
      <c r="A101" s="1194" t="s">
        <v>284</v>
      </c>
      <c r="B101" s="1198" t="s">
        <v>1741</v>
      </c>
      <c r="C101" s="1199">
        <v>9.8000000000000004E-2</v>
      </c>
      <c r="D101" s="1199">
        <v>9.7000000000000003E-2</v>
      </c>
      <c r="E101" s="1208"/>
      <c r="F101" s="1207"/>
    </row>
    <row r="102" spans="1:6">
      <c r="A102" s="1194" t="s">
        <v>284</v>
      </c>
      <c r="B102" s="1198" t="s">
        <v>1748</v>
      </c>
      <c r="C102" s="1208"/>
      <c r="D102" s="1208"/>
      <c r="E102" s="1208"/>
      <c r="F102" s="1200">
        <v>0.05</v>
      </c>
    </row>
    <row r="103" spans="1:6" ht="24">
      <c r="A103" s="1194" t="s">
        <v>284</v>
      </c>
      <c r="B103" s="1198" t="s">
        <v>1753</v>
      </c>
      <c r="C103" s="1208"/>
      <c r="D103" s="1208"/>
      <c r="E103" s="1208"/>
      <c r="F103" s="1200">
        <v>0.05</v>
      </c>
    </row>
    <row r="104" spans="1:6">
      <c r="A104" s="1194" t="s">
        <v>284</v>
      </c>
      <c r="B104" s="1198" t="s">
        <v>1758</v>
      </c>
      <c r="C104" s="1208"/>
      <c r="D104" s="1208"/>
      <c r="E104" s="1208"/>
      <c r="F104" s="1200">
        <v>0.05</v>
      </c>
    </row>
    <row r="105" spans="1:6">
      <c r="A105" s="1194" t="s">
        <v>284</v>
      </c>
      <c r="B105" s="1198" t="s">
        <v>1763</v>
      </c>
      <c r="C105" s="1208"/>
      <c r="D105" s="1208"/>
      <c r="E105" s="1208"/>
      <c r="F105" s="1200">
        <v>0.05</v>
      </c>
    </row>
    <row r="106" spans="1:6">
      <c r="A106" s="1194" t="s">
        <v>284</v>
      </c>
      <c r="B106" s="1198" t="s">
        <v>1768</v>
      </c>
      <c r="C106" s="1208"/>
      <c r="D106" s="1208"/>
      <c r="E106" s="1208"/>
      <c r="F106" s="1200">
        <v>0.05</v>
      </c>
    </row>
    <row r="107" spans="1:6" ht="24">
      <c r="A107" s="1194" t="s">
        <v>284</v>
      </c>
      <c r="B107" s="1198" t="s">
        <v>1773</v>
      </c>
      <c r="C107" s="1208"/>
      <c r="D107" s="1208"/>
      <c r="E107" s="1208"/>
      <c r="F107" s="1200">
        <v>0.05</v>
      </c>
    </row>
    <row r="108" spans="1:6" ht="24">
      <c r="A108" s="1194" t="s">
        <v>284</v>
      </c>
      <c r="B108" s="1198" t="s">
        <v>1778</v>
      </c>
      <c r="C108" s="1208"/>
      <c r="D108" s="1208"/>
      <c r="E108" s="1208"/>
      <c r="F108" s="1200">
        <v>0.05</v>
      </c>
    </row>
    <row r="109" spans="1:6" ht="24">
      <c r="A109" s="1202" t="s">
        <v>284</v>
      </c>
      <c r="B109" s="1209" t="s">
        <v>1783</v>
      </c>
      <c r="C109" s="1205"/>
      <c r="D109" s="1205"/>
      <c r="E109" s="1205"/>
      <c r="F109" s="1210">
        <v>0.05</v>
      </c>
    </row>
    <row r="110" spans="1:6">
      <c r="A110" s="1194" t="s">
        <v>292</v>
      </c>
      <c r="B110" s="1195" t="s">
        <v>1497</v>
      </c>
      <c r="C110" s="1196">
        <v>0.129</v>
      </c>
      <c r="D110" s="1196">
        <v>0.129</v>
      </c>
      <c r="E110" s="1196">
        <v>0.126</v>
      </c>
      <c r="F110" s="1197">
        <v>0.13</v>
      </c>
    </row>
    <row r="111" spans="1:6">
      <c r="A111" s="1194" t="s">
        <v>292</v>
      </c>
      <c r="B111" s="1198" t="s">
        <v>1509</v>
      </c>
      <c r="C111" s="1199">
        <v>0.11</v>
      </c>
      <c r="D111" s="1199">
        <v>0.11</v>
      </c>
      <c r="E111" s="1199">
        <v>9.9000000000000005E-2</v>
      </c>
      <c r="F111" s="1200">
        <v>0.128</v>
      </c>
    </row>
    <row r="112" spans="1:6">
      <c r="A112" s="1194" t="s">
        <v>292</v>
      </c>
      <c r="B112" s="1198" t="s">
        <v>1522</v>
      </c>
      <c r="C112" s="1199">
        <v>0.125</v>
      </c>
      <c r="D112" s="1199">
        <v>0.125</v>
      </c>
      <c r="E112" s="1199">
        <v>0.12</v>
      </c>
      <c r="F112" s="1200">
        <v>0.125</v>
      </c>
    </row>
    <row r="113" spans="1:6">
      <c r="A113" s="1194" t="s">
        <v>292</v>
      </c>
      <c r="B113" s="1198" t="s">
        <v>1534</v>
      </c>
      <c r="C113" s="1199">
        <v>0.13</v>
      </c>
      <c r="D113" s="1199">
        <v>0.13</v>
      </c>
      <c r="E113" s="1199">
        <v>0.13</v>
      </c>
      <c r="F113" s="1200">
        <v>0.13</v>
      </c>
    </row>
    <row r="114" spans="1:6">
      <c r="A114" s="1194" t="s">
        <v>292</v>
      </c>
      <c r="B114" s="1198" t="s">
        <v>1546</v>
      </c>
      <c r="C114" s="1199">
        <v>0.123</v>
      </c>
      <c r="D114" s="1199">
        <v>0.123</v>
      </c>
      <c r="E114" s="1199">
        <v>0.12</v>
      </c>
      <c r="F114" s="1200">
        <v>0.13</v>
      </c>
    </row>
    <row r="115" spans="1:6">
      <c r="A115" s="1194" t="s">
        <v>292</v>
      </c>
      <c r="B115" s="1198" t="s">
        <v>1557</v>
      </c>
      <c r="C115" s="1199">
        <v>0.125</v>
      </c>
      <c r="D115" s="1199">
        <v>0.125</v>
      </c>
      <c r="E115" s="1199">
        <v>0.11700000000000001</v>
      </c>
      <c r="F115" s="1200">
        <v>0.13</v>
      </c>
    </row>
    <row r="116" spans="1:6">
      <c r="A116" s="1194" t="s">
        <v>292</v>
      </c>
      <c r="B116" s="1198" t="s">
        <v>1568</v>
      </c>
      <c r="C116" s="1199">
        <v>0.11700000000000001</v>
      </c>
      <c r="D116" s="1199">
        <v>0.11700000000000001</v>
      </c>
      <c r="E116" s="1199">
        <v>8.7999999999999995E-2</v>
      </c>
      <c r="F116" s="1200">
        <v>0.13</v>
      </c>
    </row>
    <row r="117" spans="1:6">
      <c r="A117" s="1194" t="s">
        <v>292</v>
      </c>
      <c r="B117" s="1198" t="s">
        <v>1579</v>
      </c>
      <c r="C117" s="1199">
        <v>0.13</v>
      </c>
      <c r="D117" s="1199">
        <v>0.13</v>
      </c>
      <c r="E117" s="1199">
        <v>0.129</v>
      </c>
      <c r="F117" s="1200">
        <v>0.13</v>
      </c>
    </row>
    <row r="118" spans="1:6">
      <c r="A118" s="1194" t="s">
        <v>292</v>
      </c>
      <c r="B118" s="1198" t="s">
        <v>1589</v>
      </c>
      <c r="C118" s="1199">
        <v>0.123</v>
      </c>
      <c r="D118" s="1199">
        <v>0.123</v>
      </c>
      <c r="E118" s="1199">
        <v>0.11600000000000001</v>
      </c>
      <c r="F118" s="1200">
        <v>0.13</v>
      </c>
    </row>
    <row r="119" spans="1:6">
      <c r="A119" s="1194" t="s">
        <v>292</v>
      </c>
      <c r="B119" s="1198" t="s">
        <v>1599</v>
      </c>
      <c r="C119" s="1199">
        <v>0.127</v>
      </c>
      <c r="D119" s="1199">
        <v>0.127</v>
      </c>
      <c r="E119" s="1199">
        <v>0.124</v>
      </c>
      <c r="F119" s="1200">
        <v>0.13</v>
      </c>
    </row>
    <row r="120" spans="1:6">
      <c r="A120" s="1194" t="s">
        <v>292</v>
      </c>
      <c r="B120" s="1198" t="s">
        <v>1609</v>
      </c>
      <c r="C120" s="1199">
        <v>0.125</v>
      </c>
      <c r="D120" s="1199">
        <v>0.125</v>
      </c>
      <c r="E120" s="1199">
        <v>0.122</v>
      </c>
      <c r="F120" s="1200">
        <v>0.13</v>
      </c>
    </row>
    <row r="121" spans="1:6">
      <c r="A121" s="1194" t="s">
        <v>292</v>
      </c>
      <c r="B121" s="1198" t="s">
        <v>1619</v>
      </c>
      <c r="C121" s="1199">
        <v>0.13</v>
      </c>
      <c r="D121" s="1199">
        <v>0.13</v>
      </c>
      <c r="E121" s="1199">
        <v>0.13</v>
      </c>
      <c r="F121" s="1200">
        <v>0.13</v>
      </c>
    </row>
    <row r="122" spans="1:6">
      <c r="A122" s="1194" t="s">
        <v>292</v>
      </c>
      <c r="B122" s="1198" t="s">
        <v>1629</v>
      </c>
      <c r="C122" s="1199">
        <v>0.13</v>
      </c>
      <c r="D122" s="1199">
        <v>0.13</v>
      </c>
      <c r="E122" s="1199">
        <v>0.125</v>
      </c>
      <c r="F122" s="1200">
        <v>0.13</v>
      </c>
    </row>
    <row r="123" spans="1:6">
      <c r="A123" s="1194" t="s">
        <v>292</v>
      </c>
      <c r="B123" s="1198" t="s">
        <v>1639</v>
      </c>
      <c r="C123" s="1199">
        <v>0.129</v>
      </c>
      <c r="D123" s="1199">
        <v>0.129</v>
      </c>
      <c r="E123" s="1199">
        <v>0.123</v>
      </c>
      <c r="F123" s="1200">
        <v>0.13</v>
      </c>
    </row>
    <row r="124" spans="1:6">
      <c r="A124" s="1194" t="s">
        <v>292</v>
      </c>
      <c r="B124" s="1198" t="s">
        <v>1649</v>
      </c>
      <c r="C124" s="1199">
        <v>0.10199999999999999</v>
      </c>
      <c r="D124" s="1199">
        <v>0.10100000000000001</v>
      </c>
      <c r="E124" s="1199">
        <v>0.08</v>
      </c>
      <c r="F124" s="1207"/>
    </row>
    <row r="125" spans="1:6">
      <c r="A125" s="1194" t="s">
        <v>292</v>
      </c>
      <c r="B125" s="1198" t="s">
        <v>1659</v>
      </c>
      <c r="C125" s="1199">
        <v>0.13</v>
      </c>
      <c r="D125" s="1199">
        <v>0.13</v>
      </c>
      <c r="E125" s="1199">
        <v>0.129</v>
      </c>
      <c r="F125" s="1207"/>
    </row>
    <row r="126" spans="1:6">
      <c r="A126" s="1194" t="s">
        <v>292</v>
      </c>
      <c r="B126" s="1198" t="s">
        <v>1669</v>
      </c>
      <c r="C126" s="1199">
        <v>0.13</v>
      </c>
      <c r="D126" s="1199">
        <v>0.13</v>
      </c>
      <c r="E126" s="1199">
        <v>0.126</v>
      </c>
      <c r="F126" s="1207"/>
    </row>
    <row r="127" spans="1:6">
      <c r="A127" s="1194" t="s">
        <v>292</v>
      </c>
      <c r="B127" s="1198" t="s">
        <v>1679</v>
      </c>
      <c r="C127" s="1199">
        <v>0.125</v>
      </c>
      <c r="D127" s="1199">
        <v>0.125</v>
      </c>
      <c r="E127" s="1199">
        <v>0.121</v>
      </c>
      <c r="F127" s="1207"/>
    </row>
    <row r="128" spans="1:6">
      <c r="A128" s="1194" t="s">
        <v>292</v>
      </c>
      <c r="B128" s="1198" t="s">
        <v>1689</v>
      </c>
      <c r="C128" s="1199">
        <v>0.12</v>
      </c>
      <c r="D128" s="1199">
        <v>0.12</v>
      </c>
      <c r="E128" s="1199">
        <v>0.105</v>
      </c>
      <c r="F128" s="1207"/>
    </row>
    <row r="129" spans="1:6">
      <c r="A129" s="1194" t="s">
        <v>292</v>
      </c>
      <c r="B129" s="1198" t="s">
        <v>1698</v>
      </c>
      <c r="C129" s="1199">
        <v>0.13</v>
      </c>
      <c r="D129" s="1199">
        <v>0.13</v>
      </c>
      <c r="E129" s="1199">
        <v>0.126</v>
      </c>
      <c r="F129" s="1207"/>
    </row>
    <row r="130" spans="1:6">
      <c r="A130" s="1194" t="s">
        <v>292</v>
      </c>
      <c r="B130" s="1198" t="s">
        <v>1706</v>
      </c>
      <c r="C130" s="1199">
        <v>0.125</v>
      </c>
      <c r="D130" s="1199">
        <v>0.125</v>
      </c>
      <c r="E130" s="1199">
        <v>0.122</v>
      </c>
      <c r="F130" s="1207"/>
    </row>
    <row r="131" spans="1:6">
      <c r="A131" s="1194" t="s">
        <v>292</v>
      </c>
      <c r="B131" s="1198" t="s">
        <v>1714</v>
      </c>
      <c r="C131" s="1199">
        <v>0.127</v>
      </c>
      <c r="D131" s="1199">
        <v>0.126</v>
      </c>
      <c r="E131" s="1199">
        <v>0.123</v>
      </c>
      <c r="F131" s="1207"/>
    </row>
    <row r="132" spans="1:6">
      <c r="A132" s="1194" t="s">
        <v>292</v>
      </c>
      <c r="B132" s="1198" t="s">
        <v>1721</v>
      </c>
      <c r="C132" s="1199">
        <v>9.0999999999999998E-2</v>
      </c>
      <c r="D132" s="1199">
        <v>0.121</v>
      </c>
      <c r="E132" s="1199">
        <v>9.9000000000000005E-2</v>
      </c>
      <c r="F132" s="1207"/>
    </row>
    <row r="133" spans="1:6">
      <c r="A133" s="1194" t="s">
        <v>292</v>
      </c>
      <c r="B133" s="1198" t="s">
        <v>1728</v>
      </c>
      <c r="C133" s="1199">
        <v>0.13</v>
      </c>
      <c r="D133" s="1199">
        <v>0.13</v>
      </c>
      <c r="E133" s="1199">
        <v>0.129</v>
      </c>
      <c r="F133" s="1207"/>
    </row>
    <row r="134" spans="1:6">
      <c r="A134" s="1194" t="s">
        <v>292</v>
      </c>
      <c r="B134" s="1198" t="s">
        <v>1735</v>
      </c>
      <c r="C134" s="1199">
        <v>6.8000000000000005E-2</v>
      </c>
      <c r="D134" s="1199">
        <v>6.5000000000000002E-2</v>
      </c>
      <c r="E134" s="1199">
        <v>6.5000000000000002E-2</v>
      </c>
      <c r="F134" s="1200">
        <v>0.13</v>
      </c>
    </row>
    <row r="135" spans="1:6">
      <c r="A135" s="1194" t="s">
        <v>292</v>
      </c>
      <c r="B135" s="1198" t="s">
        <v>1742</v>
      </c>
      <c r="C135" s="1199">
        <v>0.123</v>
      </c>
      <c r="D135" s="1199">
        <v>0.123</v>
      </c>
      <c r="E135" s="1199">
        <v>0.11</v>
      </c>
      <c r="F135" s="1207"/>
    </row>
    <row r="136" spans="1:6">
      <c r="A136" s="1194" t="s">
        <v>292</v>
      </c>
      <c r="B136" s="1198" t="s">
        <v>1749</v>
      </c>
      <c r="C136" s="1199">
        <v>0.13</v>
      </c>
      <c r="D136" s="1199">
        <v>0.13</v>
      </c>
      <c r="E136" s="1199">
        <v>0.125</v>
      </c>
      <c r="F136" s="1207"/>
    </row>
    <row r="137" spans="1:6">
      <c r="A137" s="1194" t="s">
        <v>292</v>
      </c>
      <c r="B137" s="1198" t="s">
        <v>1754</v>
      </c>
      <c r="C137" s="1199">
        <v>0.121</v>
      </c>
      <c r="D137" s="1199">
        <v>0.122</v>
      </c>
      <c r="E137" s="1199">
        <v>0.115</v>
      </c>
      <c r="F137" s="1207"/>
    </row>
    <row r="138" spans="1:6">
      <c r="A138" s="1194" t="s">
        <v>292</v>
      </c>
      <c r="B138" s="1198" t="s">
        <v>1759</v>
      </c>
      <c r="C138" s="1199">
        <v>0.105</v>
      </c>
      <c r="D138" s="1199">
        <v>0.125</v>
      </c>
      <c r="E138" s="1199">
        <v>0.112</v>
      </c>
      <c r="F138" s="1207"/>
    </row>
    <row r="139" spans="1:6">
      <c r="A139" s="1194" t="s">
        <v>292</v>
      </c>
      <c r="B139" s="1198" t="s">
        <v>1764</v>
      </c>
      <c r="C139" s="1199">
        <v>0.127</v>
      </c>
      <c r="D139" s="1199">
        <v>0.127</v>
      </c>
      <c r="E139" s="1199">
        <v>0.122</v>
      </c>
      <c r="F139" s="1200">
        <v>0.13</v>
      </c>
    </row>
    <row r="140" spans="1:6">
      <c r="A140" s="1194" t="s">
        <v>292</v>
      </c>
      <c r="B140" s="1198" t="s">
        <v>1769</v>
      </c>
      <c r="C140" s="1199">
        <v>0.125</v>
      </c>
      <c r="D140" s="1199">
        <v>0.125</v>
      </c>
      <c r="E140" s="1199">
        <v>0.11899999999999999</v>
      </c>
      <c r="F140" s="1200">
        <v>0.13</v>
      </c>
    </row>
    <row r="141" spans="1:6">
      <c r="A141" s="1194" t="s">
        <v>292</v>
      </c>
      <c r="B141" s="1198" t="s">
        <v>1774</v>
      </c>
      <c r="C141" s="1199">
        <v>0.125</v>
      </c>
      <c r="D141" s="1199">
        <v>0.125</v>
      </c>
      <c r="E141" s="1199">
        <v>0.11700000000000001</v>
      </c>
      <c r="F141" s="1207"/>
    </row>
    <row r="142" spans="1:6">
      <c r="A142" s="1194" t="s">
        <v>292</v>
      </c>
      <c r="B142" s="1198" t="s">
        <v>1779</v>
      </c>
      <c r="C142" s="1199">
        <v>0.125</v>
      </c>
      <c r="D142" s="1199">
        <v>0.125</v>
      </c>
      <c r="E142" s="1199">
        <v>0.115</v>
      </c>
      <c r="F142" s="1207"/>
    </row>
    <row r="143" spans="1:6">
      <c r="A143" s="1194" t="s">
        <v>292</v>
      </c>
      <c r="B143" s="1198" t="s">
        <v>1784</v>
      </c>
      <c r="C143" s="1199">
        <v>0.121</v>
      </c>
      <c r="D143" s="1199">
        <v>0.121</v>
      </c>
      <c r="E143" s="1199">
        <v>0.108</v>
      </c>
      <c r="F143" s="1207"/>
    </row>
    <row r="144" spans="1:6">
      <c r="A144" s="1194" t="s">
        <v>292</v>
      </c>
      <c r="B144" s="1211" t="s">
        <v>1788</v>
      </c>
      <c r="C144" s="1212">
        <v>0.126</v>
      </c>
      <c r="D144" s="1212">
        <v>0.126</v>
      </c>
      <c r="E144" s="1212">
        <v>0.121</v>
      </c>
      <c r="F144" s="1207"/>
    </row>
    <row r="145" spans="1:6">
      <c r="A145" s="1202" t="s">
        <v>292</v>
      </c>
      <c r="B145" s="1213" t="s">
        <v>1792</v>
      </c>
      <c r="C145" s="1214"/>
      <c r="D145" s="1214"/>
      <c r="E145" s="1214"/>
      <c r="F145" s="1215">
        <v>0.05</v>
      </c>
    </row>
    <row r="146" spans="1:6" ht="24">
      <c r="A146" s="1216" t="s">
        <v>292</v>
      </c>
      <c r="B146" s="1201" t="s">
        <v>1796</v>
      </c>
      <c r="C146" s="1208"/>
      <c r="D146" s="1208"/>
      <c r="E146" s="1208"/>
      <c r="F146" s="1217">
        <v>0.05</v>
      </c>
    </row>
    <row r="147" spans="1:6" ht="24">
      <c r="A147" s="1194" t="s">
        <v>292</v>
      </c>
      <c r="B147" s="1198" t="s">
        <v>1800</v>
      </c>
      <c r="C147" s="1208"/>
      <c r="D147" s="1208"/>
      <c r="E147" s="1208"/>
      <c r="F147" s="1200">
        <v>0.05</v>
      </c>
    </row>
    <row r="148" spans="1:6" ht="24">
      <c r="A148" s="1194" t="s">
        <v>292</v>
      </c>
      <c r="B148" s="1198" t="s">
        <v>1804</v>
      </c>
      <c r="C148" s="1208"/>
      <c r="D148" s="1208"/>
      <c r="E148" s="1208"/>
      <c r="F148" s="1200">
        <v>0.05</v>
      </c>
    </row>
    <row r="149" spans="1:6" ht="24">
      <c r="A149" s="1194" t="s">
        <v>292</v>
      </c>
      <c r="B149" s="1198" t="s">
        <v>1808</v>
      </c>
      <c r="C149" s="1208"/>
      <c r="D149" s="1208"/>
      <c r="E149" s="1208"/>
      <c r="F149" s="1200">
        <v>0.05</v>
      </c>
    </row>
    <row r="150" spans="1:6" ht="24">
      <c r="A150" s="1194" t="s">
        <v>292</v>
      </c>
      <c r="B150" s="1198" t="s">
        <v>1811</v>
      </c>
      <c r="C150" s="1208"/>
      <c r="D150" s="1208"/>
      <c r="E150" s="1208"/>
      <c r="F150" s="1200">
        <v>0.05</v>
      </c>
    </row>
    <row r="151" spans="1:6" ht="24">
      <c r="A151" s="1194" t="s">
        <v>292</v>
      </c>
      <c r="B151" s="1198" t="s">
        <v>1814</v>
      </c>
      <c r="C151" s="1208"/>
      <c r="D151" s="1208"/>
      <c r="E151" s="1208"/>
      <c r="F151" s="1200">
        <v>0.05</v>
      </c>
    </row>
    <row r="152" spans="1:6" ht="24">
      <c r="A152" s="1194" t="s">
        <v>292</v>
      </c>
      <c r="B152" s="1198" t="s">
        <v>1817</v>
      </c>
      <c r="C152" s="1208"/>
      <c r="D152" s="1208"/>
      <c r="E152" s="1208"/>
      <c r="F152" s="1200">
        <v>0.05</v>
      </c>
    </row>
    <row r="153" spans="1:6">
      <c r="A153" s="1194" t="s">
        <v>292</v>
      </c>
      <c r="B153" s="1198" t="s">
        <v>1820</v>
      </c>
      <c r="C153" s="1208"/>
      <c r="D153" s="1208"/>
      <c r="E153" s="1208"/>
      <c r="F153" s="1200">
        <v>0.05</v>
      </c>
    </row>
    <row r="154" spans="1:6">
      <c r="A154" s="1194" t="s">
        <v>292</v>
      </c>
      <c r="B154" s="1198" t="s">
        <v>1823</v>
      </c>
      <c r="C154" s="1208"/>
      <c r="D154" s="1208"/>
      <c r="E154" s="1208"/>
      <c r="F154" s="1200">
        <v>0.05</v>
      </c>
    </row>
    <row r="155" spans="1:6" ht="24">
      <c r="A155" s="1194" t="s">
        <v>292</v>
      </c>
      <c r="B155" s="1198" t="s">
        <v>1826</v>
      </c>
      <c r="C155" s="1208"/>
      <c r="D155" s="1208"/>
      <c r="E155" s="1208"/>
      <c r="F155" s="1200">
        <v>0.05</v>
      </c>
    </row>
    <row r="156" spans="1:6" ht="24">
      <c r="A156" s="1194" t="s">
        <v>292</v>
      </c>
      <c r="B156" s="1198" t="s">
        <v>1828</v>
      </c>
      <c r="C156" s="1208"/>
      <c r="D156" s="1208"/>
      <c r="E156" s="1208"/>
      <c r="F156" s="1200">
        <v>0.05</v>
      </c>
    </row>
    <row r="157" spans="1:6">
      <c r="A157" s="1202" t="s">
        <v>292</v>
      </c>
      <c r="B157" s="1209" t="s">
        <v>1830</v>
      </c>
      <c r="C157" s="1205"/>
      <c r="D157" s="1205"/>
      <c r="E157" s="1205"/>
      <c r="F157" s="1210">
        <v>0.05</v>
      </c>
    </row>
    <row r="158" spans="1:6">
      <c r="A158" s="1194" t="s">
        <v>297</v>
      </c>
      <c r="B158" s="1195" t="s">
        <v>416</v>
      </c>
      <c r="C158" s="1196">
        <v>0.13</v>
      </c>
      <c r="D158" s="1196">
        <v>0.13</v>
      </c>
      <c r="E158" s="1196">
        <v>0.13</v>
      </c>
      <c r="F158" s="1197">
        <v>0.13</v>
      </c>
    </row>
    <row r="159" spans="1:6">
      <c r="A159" s="1194" t="s">
        <v>297</v>
      </c>
      <c r="B159" s="1198" t="s">
        <v>1510</v>
      </c>
      <c r="C159" s="1199">
        <v>0.13</v>
      </c>
      <c r="D159" s="1199">
        <v>0.13</v>
      </c>
      <c r="E159" s="1199">
        <v>0.13</v>
      </c>
      <c r="F159" s="1200">
        <v>0.13</v>
      </c>
    </row>
    <row r="160" spans="1:6">
      <c r="A160" s="1194" t="s">
        <v>297</v>
      </c>
      <c r="B160" s="1198" t="s">
        <v>1523</v>
      </c>
      <c r="C160" s="1199">
        <v>0.13</v>
      </c>
      <c r="D160" s="1199">
        <v>0.13</v>
      </c>
      <c r="E160" s="1199">
        <v>0.129</v>
      </c>
      <c r="F160" s="1200">
        <v>0.13</v>
      </c>
    </row>
    <row r="161" spans="1:6">
      <c r="A161" s="1194" t="s">
        <v>297</v>
      </c>
      <c r="B161" s="1198" t="s">
        <v>1535</v>
      </c>
      <c r="C161" s="1199">
        <v>0.128</v>
      </c>
      <c r="D161" s="1199">
        <v>0.128</v>
      </c>
      <c r="E161" s="1199">
        <v>0.125</v>
      </c>
      <c r="F161" s="1200">
        <v>0.13</v>
      </c>
    </row>
    <row r="162" spans="1:6">
      <c r="A162" s="1194" t="s">
        <v>297</v>
      </c>
      <c r="B162" s="1198" t="s">
        <v>1547</v>
      </c>
      <c r="C162" s="1199">
        <v>0.122</v>
      </c>
      <c r="D162" s="1199">
        <v>0.122</v>
      </c>
      <c r="E162" s="1199">
        <v>0.126</v>
      </c>
      <c r="F162" s="1200">
        <v>0.122</v>
      </c>
    </row>
    <row r="163" spans="1:6">
      <c r="A163" s="1194" t="s">
        <v>297</v>
      </c>
      <c r="B163" s="1198" t="s">
        <v>1558</v>
      </c>
      <c r="C163" s="1199">
        <v>0.13</v>
      </c>
      <c r="D163" s="1199">
        <v>0.13</v>
      </c>
      <c r="E163" s="1199">
        <v>0.125</v>
      </c>
      <c r="F163" s="1200">
        <v>0.13</v>
      </c>
    </row>
    <row r="164" spans="1:6">
      <c r="A164" s="1194" t="s">
        <v>297</v>
      </c>
      <c r="B164" s="1198" t="s">
        <v>1569</v>
      </c>
      <c r="C164" s="1199">
        <v>0.13</v>
      </c>
      <c r="D164" s="1199">
        <v>0.13</v>
      </c>
      <c r="E164" s="1199">
        <v>0.13</v>
      </c>
      <c r="F164" s="1200">
        <v>0.13</v>
      </c>
    </row>
    <row r="165" spans="1:6">
      <c r="A165" s="1194" t="s">
        <v>297</v>
      </c>
      <c r="B165" s="1198" t="s">
        <v>1580</v>
      </c>
      <c r="C165" s="1199">
        <v>0.13</v>
      </c>
      <c r="D165" s="1199">
        <v>0.13</v>
      </c>
      <c r="E165" s="1199">
        <v>0.124</v>
      </c>
      <c r="F165" s="1200">
        <v>0.13</v>
      </c>
    </row>
    <row r="166" spans="1:6">
      <c r="A166" s="1194" t="s">
        <v>297</v>
      </c>
      <c r="B166" s="1198" t="s">
        <v>1590</v>
      </c>
      <c r="C166" s="1199">
        <v>0.13</v>
      </c>
      <c r="D166" s="1199">
        <v>0.13</v>
      </c>
      <c r="E166" s="1199">
        <v>0.13</v>
      </c>
      <c r="F166" s="1200">
        <v>0.13</v>
      </c>
    </row>
    <row r="167" spans="1:6">
      <c r="A167" s="1194" t="s">
        <v>297</v>
      </c>
      <c r="B167" s="1198" t="s">
        <v>1600</v>
      </c>
      <c r="C167" s="1199">
        <v>0.125</v>
      </c>
      <c r="D167" s="1199">
        <v>0.125</v>
      </c>
      <c r="E167" s="1199">
        <v>0.121</v>
      </c>
      <c r="F167" s="1207"/>
    </row>
    <row r="168" spans="1:6">
      <c r="A168" s="1194" t="s">
        <v>297</v>
      </c>
      <c r="B168" s="1198" t="s">
        <v>1610</v>
      </c>
      <c r="C168" s="1199">
        <v>0.13</v>
      </c>
      <c r="D168" s="1199">
        <v>0.13</v>
      </c>
      <c r="E168" s="1199">
        <v>0.126</v>
      </c>
      <c r="F168" s="1207"/>
    </row>
    <row r="169" spans="1:6">
      <c r="A169" s="1194" t="s">
        <v>297</v>
      </c>
      <c r="B169" s="1198" t="s">
        <v>1620</v>
      </c>
      <c r="C169" s="1199">
        <v>0.128</v>
      </c>
      <c r="D169" s="1199">
        <v>0.129</v>
      </c>
      <c r="E169" s="1199">
        <v>0.13</v>
      </c>
      <c r="F169" s="1207"/>
    </row>
    <row r="170" spans="1:6">
      <c r="A170" s="1194" t="s">
        <v>297</v>
      </c>
      <c r="B170" s="1198" t="s">
        <v>1630</v>
      </c>
      <c r="C170" s="1199">
        <v>0.14099999999999999</v>
      </c>
      <c r="D170" s="1199">
        <v>0.13</v>
      </c>
      <c r="E170" s="1199">
        <v>0.125</v>
      </c>
      <c r="F170" s="1207"/>
    </row>
    <row r="171" spans="1:6">
      <c r="A171" s="1194" t="s">
        <v>297</v>
      </c>
      <c r="B171" s="1198" t="s">
        <v>1640</v>
      </c>
      <c r="C171" s="1199">
        <v>0.127</v>
      </c>
      <c r="D171" s="1199">
        <v>0.126</v>
      </c>
      <c r="E171" s="1199">
        <v>0.126</v>
      </c>
      <c r="F171" s="1200">
        <v>0.11799999999999999</v>
      </c>
    </row>
    <row r="172" spans="1:6">
      <c r="A172" s="1194" t="s">
        <v>297</v>
      </c>
      <c r="B172" s="1198" t="s">
        <v>1650</v>
      </c>
      <c r="C172" s="1199">
        <v>0.13</v>
      </c>
      <c r="D172" s="1199">
        <v>0.13</v>
      </c>
      <c r="E172" s="1199">
        <v>0.13</v>
      </c>
      <c r="F172" s="1207"/>
    </row>
    <row r="173" spans="1:6">
      <c r="A173" s="1194" t="s">
        <v>297</v>
      </c>
      <c r="B173" s="1198" t="s">
        <v>1660</v>
      </c>
      <c r="C173" s="1199">
        <v>0.13</v>
      </c>
      <c r="D173" s="1199">
        <v>0.13</v>
      </c>
      <c r="E173" s="1199">
        <v>0.13</v>
      </c>
      <c r="F173" s="1207"/>
    </row>
    <row r="174" spans="1:6">
      <c r="A174" s="1194" t="s">
        <v>297</v>
      </c>
      <c r="B174" s="1198" t="s">
        <v>1670</v>
      </c>
      <c r="C174" s="1199">
        <v>0.13</v>
      </c>
      <c r="D174" s="1199">
        <v>0.13</v>
      </c>
      <c r="E174" s="1199">
        <v>0.13</v>
      </c>
      <c r="F174" s="1200">
        <v>0.13</v>
      </c>
    </row>
    <row r="175" spans="1:6">
      <c r="A175" s="1194" t="s">
        <v>297</v>
      </c>
      <c r="B175" s="1198" t="s">
        <v>1680</v>
      </c>
      <c r="C175" s="1199">
        <v>0.13</v>
      </c>
      <c r="D175" s="1199">
        <v>0.13</v>
      </c>
      <c r="E175" s="1199">
        <v>0.13</v>
      </c>
      <c r="F175" s="1200">
        <v>0.13</v>
      </c>
    </row>
    <row r="176" spans="1:6">
      <c r="A176" s="1194" t="s">
        <v>297</v>
      </c>
      <c r="B176" s="1198" t="s">
        <v>1690</v>
      </c>
      <c r="C176" s="1199">
        <v>0.13</v>
      </c>
      <c r="D176" s="1199">
        <v>0.13</v>
      </c>
      <c r="E176" s="1199">
        <v>0.13</v>
      </c>
      <c r="F176" s="1200">
        <v>0.13</v>
      </c>
    </row>
    <row r="177" spans="1:6">
      <c r="A177" s="1194" t="s">
        <v>297</v>
      </c>
      <c r="B177" s="1198" t="s">
        <v>1699</v>
      </c>
      <c r="C177" s="1199">
        <v>0.13</v>
      </c>
      <c r="D177" s="1199">
        <v>0.13</v>
      </c>
      <c r="E177" s="1199">
        <v>0.13</v>
      </c>
      <c r="F177" s="1200">
        <v>0.13</v>
      </c>
    </row>
    <row r="178" spans="1:6">
      <c r="A178" s="1194" t="s">
        <v>297</v>
      </c>
      <c r="B178" s="1198" t="s">
        <v>1707</v>
      </c>
      <c r="C178" s="1199">
        <v>0.13</v>
      </c>
      <c r="D178" s="1199">
        <v>0.13</v>
      </c>
      <c r="E178" s="1199">
        <v>0.13</v>
      </c>
      <c r="F178" s="1200">
        <v>0.127</v>
      </c>
    </row>
    <row r="179" spans="1:6">
      <c r="A179" s="1194" t="s">
        <v>297</v>
      </c>
      <c r="B179" s="1198" t="s">
        <v>1715</v>
      </c>
      <c r="C179" s="1199">
        <v>0.13</v>
      </c>
      <c r="D179" s="1199">
        <v>0.13</v>
      </c>
      <c r="E179" s="1199">
        <v>0.13</v>
      </c>
      <c r="F179" s="1207"/>
    </row>
    <row r="180" spans="1:6">
      <c r="A180" s="1194" t="s">
        <v>297</v>
      </c>
      <c r="B180" s="1198" t="s">
        <v>1722</v>
      </c>
      <c r="C180" s="1199">
        <v>0.13</v>
      </c>
      <c r="D180" s="1199">
        <v>0.13</v>
      </c>
      <c r="E180" s="1199">
        <v>0.125</v>
      </c>
      <c r="F180" s="1200">
        <v>0.13</v>
      </c>
    </row>
    <row r="181" spans="1:6">
      <c r="A181" s="1194" t="s">
        <v>297</v>
      </c>
      <c r="B181" s="1198" t="s">
        <v>1729</v>
      </c>
      <c r="C181" s="1199">
        <v>0.122</v>
      </c>
      <c r="D181" s="1199">
        <v>0.123</v>
      </c>
      <c r="E181" s="1199">
        <v>0.126</v>
      </c>
      <c r="F181" s="1200">
        <v>0.121</v>
      </c>
    </row>
    <row r="182" spans="1:6">
      <c r="A182" s="1194" t="s">
        <v>297</v>
      </c>
      <c r="B182" s="1198" t="s">
        <v>1736</v>
      </c>
      <c r="C182" s="1199">
        <v>0.125</v>
      </c>
      <c r="D182" s="1199">
        <v>0.125</v>
      </c>
      <c r="E182" s="1199">
        <v>0.11700000000000001</v>
      </c>
      <c r="F182" s="1200">
        <v>0.13</v>
      </c>
    </row>
    <row r="183" spans="1:6">
      <c r="A183" s="1194" t="s">
        <v>297</v>
      </c>
      <c r="B183" s="1198" t="s">
        <v>1743</v>
      </c>
      <c r="C183" s="1199">
        <v>0.127</v>
      </c>
      <c r="D183" s="1199">
        <v>0.127</v>
      </c>
      <c r="E183" s="1199">
        <v>0.128</v>
      </c>
      <c r="F183" s="1207"/>
    </row>
    <row r="184" spans="1:6">
      <c r="A184" s="1194" t="s">
        <v>297</v>
      </c>
      <c r="B184" s="1198" t="s">
        <v>1750</v>
      </c>
      <c r="C184" s="1199">
        <v>0.125</v>
      </c>
      <c r="D184" s="1199">
        <v>0.125</v>
      </c>
      <c r="E184" s="1199">
        <v>0.127</v>
      </c>
      <c r="F184" s="1207"/>
    </row>
    <row r="185" spans="1:6">
      <c r="A185" s="1194" t="s">
        <v>297</v>
      </c>
      <c r="B185" s="1198" t="s">
        <v>1755</v>
      </c>
      <c r="C185" s="1199">
        <v>0.127</v>
      </c>
      <c r="D185" s="1199">
        <v>0.127</v>
      </c>
      <c r="E185" s="1199">
        <v>0.128</v>
      </c>
      <c r="F185" s="1200">
        <v>0.13</v>
      </c>
    </row>
    <row r="186" spans="1:6" ht="24">
      <c r="A186" s="1194" t="s">
        <v>297</v>
      </c>
      <c r="B186" s="1198" t="s">
        <v>1760</v>
      </c>
      <c r="C186" s="1208"/>
      <c r="D186" s="1208"/>
      <c r="E186" s="1208"/>
      <c r="F186" s="1200">
        <v>0.05</v>
      </c>
    </row>
    <row r="187" spans="1:6">
      <c r="A187" s="1194" t="s">
        <v>297</v>
      </c>
      <c r="B187" s="1198" t="s">
        <v>1765</v>
      </c>
      <c r="C187" s="1208"/>
      <c r="D187" s="1208"/>
      <c r="E187" s="1208"/>
      <c r="F187" s="1200">
        <v>0.05</v>
      </c>
    </row>
    <row r="188" spans="1:6">
      <c r="A188" s="1194" t="s">
        <v>297</v>
      </c>
      <c r="B188" s="1198" t="s">
        <v>1770</v>
      </c>
      <c r="C188" s="1208"/>
      <c r="D188" s="1208"/>
      <c r="E188" s="1208"/>
      <c r="F188" s="1200">
        <v>0.05</v>
      </c>
    </row>
    <row r="189" spans="1:6" ht="24">
      <c r="A189" s="1194" t="s">
        <v>297</v>
      </c>
      <c r="B189" s="1198" t="s">
        <v>1775</v>
      </c>
      <c r="C189" s="1208"/>
      <c r="D189" s="1208"/>
      <c r="E189" s="1208"/>
      <c r="F189" s="1200">
        <v>0.05</v>
      </c>
    </row>
    <row r="190" spans="1:6" ht="24">
      <c r="A190" s="1194" t="s">
        <v>297</v>
      </c>
      <c r="B190" s="1198" t="s">
        <v>1780</v>
      </c>
      <c r="C190" s="1208"/>
      <c r="D190" s="1208"/>
      <c r="E190" s="1208"/>
      <c r="F190" s="1200">
        <v>0.05</v>
      </c>
    </row>
    <row r="191" spans="1:6" ht="24">
      <c r="A191" s="1194" t="s">
        <v>297</v>
      </c>
      <c r="B191" s="1198" t="s">
        <v>1785</v>
      </c>
      <c r="C191" s="1208"/>
      <c r="D191" s="1208"/>
      <c r="E191" s="1208"/>
      <c r="F191" s="1200">
        <v>0.05</v>
      </c>
    </row>
    <row r="192" spans="1:6" ht="24">
      <c r="A192" s="1194" t="s">
        <v>297</v>
      </c>
      <c r="B192" s="1198" t="s">
        <v>1789</v>
      </c>
      <c r="C192" s="1208"/>
      <c r="D192" s="1208"/>
      <c r="E192" s="1208"/>
      <c r="F192" s="1200">
        <v>0.05</v>
      </c>
    </row>
    <row r="193" spans="1:6" ht="24">
      <c r="A193" s="1194" t="s">
        <v>297</v>
      </c>
      <c r="B193" s="1198" t="s">
        <v>1793</v>
      </c>
      <c r="C193" s="1208"/>
      <c r="D193" s="1208"/>
      <c r="E193" s="1208"/>
      <c r="F193" s="1200">
        <v>0.05</v>
      </c>
    </row>
    <row r="194" spans="1:6" ht="24">
      <c r="A194" s="1194" t="s">
        <v>297</v>
      </c>
      <c r="B194" s="1198" t="s">
        <v>1797</v>
      </c>
      <c r="C194" s="1208"/>
      <c r="D194" s="1208"/>
      <c r="E194" s="1208"/>
      <c r="F194" s="1200">
        <v>0.05</v>
      </c>
    </row>
    <row r="195" spans="1:6">
      <c r="A195" s="1194" t="s">
        <v>297</v>
      </c>
      <c r="B195" s="1198" t="s">
        <v>1801</v>
      </c>
      <c r="C195" s="1208"/>
      <c r="D195" s="1208"/>
      <c r="E195" s="1208"/>
      <c r="F195" s="1200">
        <v>0.05</v>
      </c>
    </row>
    <row r="196" spans="1:6" ht="24">
      <c r="A196" s="1194" t="s">
        <v>297</v>
      </c>
      <c r="B196" s="1198" t="s">
        <v>1805</v>
      </c>
      <c r="C196" s="1208"/>
      <c r="D196" s="1208"/>
      <c r="E196" s="1208"/>
      <c r="F196" s="1200">
        <v>0.05</v>
      </c>
    </row>
    <row r="197" spans="1:6" ht="24">
      <c r="A197" s="1194" t="s">
        <v>297</v>
      </c>
      <c r="B197" s="1198" t="s">
        <v>1809</v>
      </c>
      <c r="C197" s="1208"/>
      <c r="D197" s="1208"/>
      <c r="E197" s="1208"/>
      <c r="F197" s="1200">
        <v>0.05</v>
      </c>
    </row>
    <row r="198" spans="1:6" ht="24">
      <c r="A198" s="1194" t="s">
        <v>297</v>
      </c>
      <c r="B198" s="1198" t="s">
        <v>1812</v>
      </c>
      <c r="C198" s="1208"/>
      <c r="D198" s="1208"/>
      <c r="E198" s="1208"/>
      <c r="F198" s="1200">
        <v>0.05</v>
      </c>
    </row>
    <row r="199" spans="1:6" ht="24">
      <c r="A199" s="1194" t="s">
        <v>297</v>
      </c>
      <c r="B199" s="1198" t="s">
        <v>1815</v>
      </c>
      <c r="C199" s="1208"/>
      <c r="D199" s="1208"/>
      <c r="E199" s="1208"/>
      <c r="F199" s="1200">
        <v>0.05</v>
      </c>
    </row>
    <row r="200" spans="1:6" ht="24">
      <c r="A200" s="1194" t="s">
        <v>297</v>
      </c>
      <c r="B200" s="1198" t="s">
        <v>1818</v>
      </c>
      <c r="C200" s="1208"/>
      <c r="D200" s="1208"/>
      <c r="E200" s="1208"/>
      <c r="F200" s="1200">
        <v>0.05</v>
      </c>
    </row>
    <row r="201" spans="1:6" ht="24">
      <c r="A201" s="1194" t="s">
        <v>297</v>
      </c>
      <c r="B201" s="1198" t="s">
        <v>1821</v>
      </c>
      <c r="C201" s="1208"/>
      <c r="D201" s="1208"/>
      <c r="E201" s="1208"/>
      <c r="F201" s="1200">
        <v>0.05</v>
      </c>
    </row>
    <row r="202" spans="1:6" ht="24">
      <c r="A202" s="1194" t="s">
        <v>297</v>
      </c>
      <c r="B202" s="1198" t="s">
        <v>1824</v>
      </c>
      <c r="C202" s="1208"/>
      <c r="D202" s="1208"/>
      <c r="E202" s="1208"/>
      <c r="F202" s="1200">
        <v>0.05</v>
      </c>
    </row>
    <row r="203" spans="1:6" ht="24">
      <c r="A203" s="1194" t="s">
        <v>297</v>
      </c>
      <c r="B203" s="1198" t="s">
        <v>1827</v>
      </c>
      <c r="C203" s="1208"/>
      <c r="D203" s="1208"/>
      <c r="E203" s="1208"/>
      <c r="F203" s="1200">
        <v>0.05</v>
      </c>
    </row>
    <row r="204" spans="1:6">
      <c r="A204" s="1194" t="s">
        <v>297</v>
      </c>
      <c r="B204" s="1198" t="s">
        <v>1829</v>
      </c>
      <c r="C204" s="1208"/>
      <c r="D204" s="1208"/>
      <c r="E204" s="1208"/>
      <c r="F204" s="1200">
        <v>0.05</v>
      </c>
    </row>
    <row r="205" spans="1:6">
      <c r="A205" s="1202" t="s">
        <v>297</v>
      </c>
      <c r="B205" s="1209" t="s">
        <v>1831</v>
      </c>
      <c r="C205" s="1205"/>
      <c r="D205" s="1205"/>
      <c r="E205" s="1205"/>
      <c r="F205" s="1210">
        <v>0.05</v>
      </c>
    </row>
    <row r="206" spans="1:6">
      <c r="A206" s="1194" t="s">
        <v>302</v>
      </c>
      <c r="B206" s="1195" t="s">
        <v>1498</v>
      </c>
      <c r="C206" s="1196">
        <v>0.15</v>
      </c>
      <c r="D206" s="1196">
        <v>0.15</v>
      </c>
      <c r="E206" s="1196">
        <v>0.15</v>
      </c>
      <c r="F206" s="1197">
        <v>0.15</v>
      </c>
    </row>
    <row r="207" spans="1:6">
      <c r="A207" s="1194" t="s">
        <v>302</v>
      </c>
      <c r="B207" s="1198" t="s">
        <v>1511</v>
      </c>
      <c r="C207" s="1199">
        <v>0.15</v>
      </c>
      <c r="D207" s="1199">
        <v>0.15</v>
      </c>
      <c r="E207" s="1199">
        <v>0.15</v>
      </c>
      <c r="F207" s="1200">
        <v>0.14399999999999999</v>
      </c>
    </row>
    <row r="208" spans="1:6">
      <c r="A208" s="1194" t="s">
        <v>302</v>
      </c>
      <c r="B208" s="1198" t="s">
        <v>1524</v>
      </c>
      <c r="C208" s="1199">
        <v>0.15</v>
      </c>
      <c r="D208" s="1199">
        <v>0.15</v>
      </c>
      <c r="E208" s="1199">
        <v>0.15</v>
      </c>
      <c r="F208" s="1200">
        <v>0.15</v>
      </c>
    </row>
    <row r="209" spans="1:6">
      <c r="A209" s="1194" t="s">
        <v>302</v>
      </c>
      <c r="B209" s="1198" t="s">
        <v>1536</v>
      </c>
      <c r="C209" s="1199">
        <v>0.13700000000000001</v>
      </c>
      <c r="D209" s="1199">
        <v>0.13700000000000001</v>
      </c>
      <c r="E209" s="1199">
        <v>0.14000000000000001</v>
      </c>
      <c r="F209" s="1200">
        <v>0.11700000000000001</v>
      </c>
    </row>
    <row r="210" spans="1:6">
      <c r="A210" s="1194" t="s">
        <v>302</v>
      </c>
      <c r="B210" s="1198" t="s">
        <v>1548</v>
      </c>
      <c r="C210" s="1199">
        <v>0.15</v>
      </c>
      <c r="D210" s="1199">
        <v>0.15</v>
      </c>
      <c r="E210" s="1199">
        <v>0.15</v>
      </c>
      <c r="F210" s="1200">
        <v>0.13800000000000001</v>
      </c>
    </row>
    <row r="211" spans="1:6">
      <c r="A211" s="1194" t="s">
        <v>302</v>
      </c>
      <c r="B211" s="1198" t="s">
        <v>1559</v>
      </c>
      <c r="C211" s="1199">
        <v>0.13700000000000001</v>
      </c>
      <c r="D211" s="1199">
        <v>0.13500000000000001</v>
      </c>
      <c r="E211" s="1199">
        <v>0.13600000000000001</v>
      </c>
      <c r="F211" s="1200">
        <v>0.1</v>
      </c>
    </row>
    <row r="212" spans="1:6">
      <c r="A212" s="1194" t="s">
        <v>302</v>
      </c>
      <c r="B212" s="1198" t="s">
        <v>1570</v>
      </c>
      <c r="C212" s="1199">
        <v>0.15</v>
      </c>
      <c r="D212" s="1199">
        <v>0.15</v>
      </c>
      <c r="E212" s="1199">
        <v>0.14799999999999999</v>
      </c>
      <c r="F212" s="1200">
        <v>0.13600000000000001</v>
      </c>
    </row>
    <row r="213" spans="1:6">
      <c r="A213" s="1194" t="s">
        <v>302</v>
      </c>
      <c r="B213" s="1198" t="s">
        <v>1581</v>
      </c>
      <c r="C213" s="1199">
        <v>0.15</v>
      </c>
      <c r="D213" s="1199">
        <v>0.15</v>
      </c>
      <c r="E213" s="1199">
        <v>0.15</v>
      </c>
      <c r="F213" s="1200">
        <v>0.13800000000000001</v>
      </c>
    </row>
    <row r="214" spans="1:6">
      <c r="A214" s="1194" t="s">
        <v>302</v>
      </c>
      <c r="B214" s="1198" t="s">
        <v>1591</v>
      </c>
      <c r="C214" s="1199">
        <v>9.0999999999999998E-2</v>
      </c>
      <c r="D214" s="1199">
        <v>0.09</v>
      </c>
      <c r="E214" s="1199">
        <v>9.1999999999999998E-2</v>
      </c>
      <c r="F214" s="1207"/>
    </row>
    <row r="215" spans="1:6">
      <c r="A215" s="1194" t="s">
        <v>302</v>
      </c>
      <c r="B215" s="1198" t="s">
        <v>1601</v>
      </c>
      <c r="C215" s="1199">
        <v>0.15</v>
      </c>
      <c r="D215" s="1199">
        <v>0.15</v>
      </c>
      <c r="E215" s="1199">
        <v>0.15</v>
      </c>
      <c r="F215" s="1200">
        <v>0.15</v>
      </c>
    </row>
    <row r="216" spans="1:6">
      <c r="A216" s="1194" t="s">
        <v>302</v>
      </c>
      <c r="B216" s="1198" t="s">
        <v>1611</v>
      </c>
      <c r="C216" s="1199">
        <v>0.14699999999999999</v>
      </c>
      <c r="D216" s="1199">
        <v>0.14699999999999999</v>
      </c>
      <c r="E216" s="1199">
        <v>0.15</v>
      </c>
      <c r="F216" s="1200">
        <v>0.14000000000000001</v>
      </c>
    </row>
    <row r="217" spans="1:6">
      <c r="A217" s="1194" t="s">
        <v>302</v>
      </c>
      <c r="B217" s="1198" t="s">
        <v>1621</v>
      </c>
      <c r="C217" s="1199">
        <v>0.15</v>
      </c>
      <c r="D217" s="1199">
        <v>0.15</v>
      </c>
      <c r="E217" s="1199">
        <v>0.15</v>
      </c>
      <c r="F217" s="1200">
        <v>0.15</v>
      </c>
    </row>
    <row r="218" spans="1:6">
      <c r="A218" s="1194" t="s">
        <v>302</v>
      </c>
      <c r="B218" s="1198" t="s">
        <v>1631</v>
      </c>
      <c r="C218" s="1199">
        <v>0.15</v>
      </c>
      <c r="D218" s="1199">
        <v>0.15</v>
      </c>
      <c r="E218" s="1199">
        <v>0.15</v>
      </c>
      <c r="F218" s="1200">
        <v>0.15</v>
      </c>
    </row>
    <row r="219" spans="1:6">
      <c r="A219" s="1194" t="s">
        <v>302</v>
      </c>
      <c r="B219" s="1198" t="s">
        <v>1641</v>
      </c>
      <c r="C219" s="1199">
        <v>0.15</v>
      </c>
      <c r="D219" s="1199">
        <v>0.15</v>
      </c>
      <c r="E219" s="1199">
        <v>0.15</v>
      </c>
      <c r="F219" s="1200">
        <v>0.14799999999999999</v>
      </c>
    </row>
    <row r="220" spans="1:6">
      <c r="A220" s="1194" t="s">
        <v>302</v>
      </c>
      <c r="B220" s="1198" t="s">
        <v>1651</v>
      </c>
      <c r="C220" s="1199">
        <v>0.15</v>
      </c>
      <c r="D220" s="1199">
        <v>0.15</v>
      </c>
      <c r="E220" s="1199">
        <v>0.15</v>
      </c>
      <c r="F220" s="1200">
        <v>0.15</v>
      </c>
    </row>
    <row r="221" spans="1:6">
      <c r="A221" s="1194" t="s">
        <v>302</v>
      </c>
      <c r="B221" s="1198" t="s">
        <v>1661</v>
      </c>
      <c r="C221" s="1199"/>
      <c r="D221" s="1208"/>
      <c r="E221" s="1208"/>
      <c r="F221" s="1200">
        <v>0.14799999999999999</v>
      </c>
    </row>
    <row r="222" spans="1:6">
      <c r="A222" s="1194" t="s">
        <v>302</v>
      </c>
      <c r="B222" s="1198" t="s">
        <v>1671</v>
      </c>
      <c r="C222" s="1199"/>
      <c r="D222" s="1208"/>
      <c r="E222" s="1208"/>
      <c r="F222" s="1200">
        <v>0.1</v>
      </c>
    </row>
    <row r="223" spans="1:6">
      <c r="A223" s="1194" t="s">
        <v>302</v>
      </c>
      <c r="B223" s="1198" t="s">
        <v>1681</v>
      </c>
      <c r="C223" s="1199"/>
      <c r="D223" s="1208"/>
      <c r="E223" s="1208"/>
      <c r="F223" s="1200">
        <v>0.15</v>
      </c>
    </row>
    <row r="224" spans="1:6">
      <c r="A224" s="1194" t="s">
        <v>302</v>
      </c>
      <c r="B224" s="1198" t="s">
        <v>1691</v>
      </c>
      <c r="C224" s="1199"/>
      <c r="D224" s="1208"/>
      <c r="E224" s="1208"/>
      <c r="F224" s="1200">
        <v>0.15</v>
      </c>
    </row>
    <row r="225" spans="1:6">
      <c r="A225" s="1194" t="s">
        <v>302</v>
      </c>
      <c r="B225" s="1198" t="s">
        <v>1700</v>
      </c>
      <c r="C225" s="1199">
        <v>0.15</v>
      </c>
      <c r="D225" s="1199">
        <v>0.15</v>
      </c>
      <c r="E225" s="1199">
        <v>0.15</v>
      </c>
      <c r="F225" s="1200">
        <v>0.15</v>
      </c>
    </row>
    <row r="226" spans="1:6">
      <c r="A226" s="1194" t="s">
        <v>302</v>
      </c>
      <c r="B226" s="1198" t="s">
        <v>1708</v>
      </c>
      <c r="C226" s="1199">
        <v>0.15</v>
      </c>
      <c r="D226" s="1199">
        <v>0.15</v>
      </c>
      <c r="E226" s="1199">
        <v>0.15</v>
      </c>
      <c r="F226" s="1200">
        <v>0.14799999999999999</v>
      </c>
    </row>
    <row r="227" spans="1:6">
      <c r="A227" s="1194" t="s">
        <v>302</v>
      </c>
      <c r="B227" s="1198" t="s">
        <v>1716</v>
      </c>
      <c r="C227" s="1199">
        <v>0.15</v>
      </c>
      <c r="D227" s="1199">
        <v>0.15</v>
      </c>
      <c r="E227" s="1199">
        <v>0.15</v>
      </c>
      <c r="F227" s="1200">
        <v>0.15</v>
      </c>
    </row>
    <row r="228" spans="1:6">
      <c r="A228" s="1194" t="s">
        <v>302</v>
      </c>
      <c r="B228" s="1198" t="s">
        <v>1723</v>
      </c>
      <c r="C228" s="1199">
        <v>0.15</v>
      </c>
      <c r="D228" s="1199">
        <v>0.15</v>
      </c>
      <c r="E228" s="1199">
        <v>0.15</v>
      </c>
      <c r="F228" s="1200">
        <v>0.15</v>
      </c>
    </row>
    <row r="229" spans="1:6">
      <c r="A229" s="1194" t="s">
        <v>302</v>
      </c>
      <c r="B229" s="1198" t="s">
        <v>1730</v>
      </c>
      <c r="C229" s="1199">
        <v>0.15</v>
      </c>
      <c r="D229" s="1199">
        <v>0.15</v>
      </c>
      <c r="E229" s="1199">
        <v>0.15</v>
      </c>
      <c r="F229" s="1207"/>
    </row>
    <row r="230" spans="1:6">
      <c r="A230" s="1194" t="s">
        <v>302</v>
      </c>
      <c r="B230" s="1198" t="s">
        <v>1737</v>
      </c>
      <c r="C230" s="1199">
        <v>0.14499999999999999</v>
      </c>
      <c r="D230" s="1199">
        <v>0.14499999999999999</v>
      </c>
      <c r="E230" s="1199">
        <v>0.14399999999999999</v>
      </c>
      <c r="F230" s="1207"/>
    </row>
    <row r="231" spans="1:6">
      <c r="A231" s="1194" t="s">
        <v>302</v>
      </c>
      <c r="B231" s="1198" t="s">
        <v>1744</v>
      </c>
      <c r="C231" s="1199">
        <v>0.128</v>
      </c>
      <c r="D231" s="1199">
        <v>0.125</v>
      </c>
      <c r="E231" s="1199">
        <v>0.13200000000000001</v>
      </c>
      <c r="F231" s="1207"/>
    </row>
    <row r="232" spans="1:6">
      <c r="A232" s="1194" t="s">
        <v>302</v>
      </c>
      <c r="B232" s="1198" t="s">
        <v>1751</v>
      </c>
      <c r="C232" s="1199">
        <v>0.14499999999999999</v>
      </c>
      <c r="D232" s="1199">
        <v>0.14399999999999999</v>
      </c>
      <c r="E232" s="1199">
        <v>0.14599999999999999</v>
      </c>
      <c r="F232" s="1200">
        <v>0.13800000000000001</v>
      </c>
    </row>
    <row r="233" spans="1:6">
      <c r="A233" s="1194" t="s">
        <v>302</v>
      </c>
      <c r="B233" s="1198" t="s">
        <v>1756</v>
      </c>
      <c r="C233" s="1199">
        <v>0.14499999999999999</v>
      </c>
      <c r="D233" s="1199">
        <v>0.14299999999999999</v>
      </c>
      <c r="E233" s="1199">
        <v>0.14199999999999999</v>
      </c>
      <c r="F233" s="1207"/>
    </row>
    <row r="234" spans="1:6">
      <c r="A234" s="1194" t="s">
        <v>302</v>
      </c>
      <c r="B234" s="1198" t="s">
        <v>1838</v>
      </c>
      <c r="C234" s="1199">
        <v>0.14000000000000001</v>
      </c>
      <c r="D234" s="1199">
        <v>0.14000000000000001</v>
      </c>
      <c r="E234" s="1199">
        <v>0.14399999999999999</v>
      </c>
      <c r="F234" s="1207"/>
    </row>
    <row r="235" spans="1:6">
      <c r="A235" s="1194" t="s">
        <v>302</v>
      </c>
      <c r="B235" s="1198" t="s">
        <v>1766</v>
      </c>
      <c r="C235" s="1199">
        <v>0.14099999999999999</v>
      </c>
      <c r="D235" s="1199">
        <v>0.14199999999999999</v>
      </c>
      <c r="E235" s="1199">
        <v>0.14499999999999999</v>
      </c>
      <c r="F235" s="1200">
        <v>0.15</v>
      </c>
    </row>
    <row r="236" spans="1:6">
      <c r="A236" s="1194" t="s">
        <v>302</v>
      </c>
      <c r="B236" s="1198" t="s">
        <v>1771</v>
      </c>
      <c r="C236" s="1208"/>
      <c r="D236" s="1208"/>
      <c r="E236" s="1208"/>
      <c r="F236" s="1200">
        <v>0.14299999999999999</v>
      </c>
    </row>
    <row r="237" spans="1:6" ht="24">
      <c r="A237" s="1194" t="s">
        <v>302</v>
      </c>
      <c r="B237" s="1198" t="s">
        <v>1776</v>
      </c>
      <c r="C237" s="1208"/>
      <c r="D237" s="1208"/>
      <c r="E237" s="1208"/>
      <c r="F237" s="1200">
        <v>0.05</v>
      </c>
    </row>
    <row r="238" spans="1:6" ht="24">
      <c r="A238" s="1194" t="s">
        <v>302</v>
      </c>
      <c r="B238" s="1198" t="s">
        <v>1781</v>
      </c>
      <c r="C238" s="1208"/>
      <c r="D238" s="1208"/>
      <c r="E238" s="1208"/>
      <c r="F238" s="1200">
        <v>0.05</v>
      </c>
    </row>
    <row r="239" spans="1:6" ht="24">
      <c r="A239" s="1194" t="s">
        <v>302</v>
      </c>
      <c r="B239" s="1198" t="s">
        <v>1786</v>
      </c>
      <c r="C239" s="1208"/>
      <c r="D239" s="1208"/>
      <c r="E239" s="1208"/>
      <c r="F239" s="1200">
        <v>0.05</v>
      </c>
    </row>
    <row r="240" spans="1:6" ht="24">
      <c r="A240" s="1194" t="s">
        <v>302</v>
      </c>
      <c r="B240" s="1198" t="s">
        <v>1790</v>
      </c>
      <c r="C240" s="1208"/>
      <c r="D240" s="1208"/>
      <c r="E240" s="1208"/>
      <c r="F240" s="1200">
        <v>0.05</v>
      </c>
    </row>
    <row r="241" spans="1:6" ht="24">
      <c r="A241" s="1194" t="s">
        <v>302</v>
      </c>
      <c r="B241" s="1198" t="s">
        <v>1794</v>
      </c>
      <c r="C241" s="1208"/>
      <c r="D241" s="1208"/>
      <c r="E241" s="1208"/>
      <c r="F241" s="1200">
        <v>0.05</v>
      </c>
    </row>
    <row r="242" spans="1:6" ht="24">
      <c r="A242" s="1194" t="s">
        <v>302</v>
      </c>
      <c r="B242" s="1198" t="s">
        <v>1798</v>
      </c>
      <c r="C242" s="1208"/>
      <c r="D242" s="1208"/>
      <c r="E242" s="1208"/>
      <c r="F242" s="1200">
        <v>0.05</v>
      </c>
    </row>
    <row r="243" spans="1:6" ht="24">
      <c r="A243" s="1194" t="s">
        <v>302</v>
      </c>
      <c r="B243" s="1198" t="s">
        <v>1802</v>
      </c>
      <c r="C243" s="1208"/>
      <c r="D243" s="1208"/>
      <c r="E243" s="1208"/>
      <c r="F243" s="1200">
        <v>0.05</v>
      </c>
    </row>
    <row r="244" spans="1:6" ht="24">
      <c r="A244" s="1202" t="s">
        <v>302</v>
      </c>
      <c r="B244" s="1209" t="s">
        <v>1806</v>
      </c>
      <c r="C244" s="1205"/>
      <c r="D244" s="1205"/>
      <c r="E244" s="1205"/>
      <c r="F244" s="1210">
        <v>0.05</v>
      </c>
    </row>
    <row r="245" spans="1:6">
      <c r="A245" s="1194" t="s">
        <v>305</v>
      </c>
      <c r="B245" s="1195" t="s">
        <v>1499</v>
      </c>
      <c r="C245" s="1196">
        <v>0.15</v>
      </c>
      <c r="D245" s="1196">
        <v>0.15</v>
      </c>
      <c r="E245" s="1196">
        <v>0.15</v>
      </c>
      <c r="F245" s="1197">
        <v>0.14299999999999999</v>
      </c>
    </row>
    <row r="246" spans="1:6">
      <c r="A246" s="1194" t="s">
        <v>305</v>
      </c>
      <c r="B246" s="1198" t="s">
        <v>1512</v>
      </c>
      <c r="C246" s="1199">
        <v>0.15</v>
      </c>
      <c r="D246" s="1199">
        <v>0.15</v>
      </c>
      <c r="E246" s="1199">
        <v>0.15</v>
      </c>
      <c r="F246" s="1200">
        <v>0.114</v>
      </c>
    </row>
    <row r="247" spans="1:6">
      <c r="A247" s="1194" t="s">
        <v>305</v>
      </c>
      <c r="B247" s="1198" t="s">
        <v>1525</v>
      </c>
      <c r="C247" s="1199">
        <v>0.15</v>
      </c>
      <c r="D247" s="1199">
        <v>0.15</v>
      </c>
      <c r="E247" s="1199">
        <v>0.15</v>
      </c>
      <c r="F247" s="1200">
        <v>0.15</v>
      </c>
    </row>
    <row r="248" spans="1:6">
      <c r="A248" s="1194" t="s">
        <v>305</v>
      </c>
      <c r="B248" s="1198" t="s">
        <v>1537</v>
      </c>
      <c r="C248" s="1199">
        <v>0.15</v>
      </c>
      <c r="D248" s="1199">
        <v>0.15</v>
      </c>
      <c r="E248" s="1199">
        <v>0.15</v>
      </c>
      <c r="F248" s="1200">
        <v>0.14000000000000001</v>
      </c>
    </row>
    <row r="249" spans="1:6">
      <c r="A249" s="1194" t="s">
        <v>305</v>
      </c>
      <c r="B249" s="1198" t="s">
        <v>1549</v>
      </c>
      <c r="C249" s="1199">
        <v>0.15</v>
      </c>
      <c r="D249" s="1199">
        <v>0.14899999999999999</v>
      </c>
      <c r="E249" s="1199">
        <v>0.15</v>
      </c>
      <c r="F249" s="1200">
        <v>0.1</v>
      </c>
    </row>
    <row r="250" spans="1:6">
      <c r="A250" s="1194" t="s">
        <v>305</v>
      </c>
      <c r="B250" s="1198" t="s">
        <v>1560</v>
      </c>
      <c r="C250" s="1199">
        <v>0.15</v>
      </c>
      <c r="D250" s="1199">
        <v>0.15</v>
      </c>
      <c r="E250" s="1199">
        <v>0.15</v>
      </c>
      <c r="F250" s="1200">
        <v>0.14399999999999999</v>
      </c>
    </row>
    <row r="251" spans="1:6">
      <c r="A251" s="1194" t="s">
        <v>305</v>
      </c>
      <c r="B251" s="1198" t="s">
        <v>1571</v>
      </c>
      <c r="C251" s="1199">
        <v>0.15</v>
      </c>
      <c r="D251" s="1199">
        <v>0.15</v>
      </c>
      <c r="E251" s="1199">
        <v>0.15</v>
      </c>
      <c r="F251" s="1200">
        <v>0.14299999999999999</v>
      </c>
    </row>
    <row r="252" spans="1:6">
      <c r="A252" s="1194" t="s">
        <v>305</v>
      </c>
      <c r="B252" s="1198" t="s">
        <v>1582</v>
      </c>
      <c r="C252" s="1199">
        <v>0.15</v>
      </c>
      <c r="D252" s="1199">
        <v>0.15</v>
      </c>
      <c r="E252" s="1199">
        <v>0.15</v>
      </c>
      <c r="F252" s="1200">
        <v>0.1</v>
      </c>
    </row>
    <row r="253" spans="1:6">
      <c r="A253" s="1194" t="s">
        <v>305</v>
      </c>
      <c r="B253" s="1198" t="s">
        <v>1592</v>
      </c>
      <c r="C253" s="1199">
        <v>0.15</v>
      </c>
      <c r="D253" s="1199">
        <v>0.15</v>
      </c>
      <c r="E253" s="1199">
        <v>0.15</v>
      </c>
      <c r="F253" s="1200">
        <v>0.1</v>
      </c>
    </row>
    <row r="254" spans="1:6">
      <c r="A254" s="1194" t="s">
        <v>305</v>
      </c>
      <c r="B254" s="1198" t="s">
        <v>1602</v>
      </c>
      <c r="C254" s="1208"/>
      <c r="D254" s="1208"/>
      <c r="E254" s="1208"/>
      <c r="F254" s="1200">
        <v>0.15</v>
      </c>
    </row>
    <row r="255" spans="1:6">
      <c r="A255" s="1194" t="s">
        <v>305</v>
      </c>
      <c r="B255" s="1198" t="s">
        <v>1612</v>
      </c>
      <c r="C255" s="1208"/>
      <c r="D255" s="1208"/>
      <c r="E255" s="1208"/>
      <c r="F255" s="1200">
        <v>0.14299999999999999</v>
      </c>
    </row>
    <row r="256" spans="1:6">
      <c r="A256" s="1194" t="s">
        <v>305</v>
      </c>
      <c r="B256" s="1198" t="s">
        <v>1622</v>
      </c>
      <c r="C256" s="1199">
        <v>0.14599999999999999</v>
      </c>
      <c r="D256" s="1199">
        <v>0.14699999999999999</v>
      </c>
      <c r="E256" s="1199">
        <v>0.15</v>
      </c>
      <c r="F256" s="1200">
        <v>0.13200000000000001</v>
      </c>
    </row>
    <row r="257" spans="1:6">
      <c r="A257" s="1194" t="s">
        <v>305</v>
      </c>
      <c r="B257" s="1198" t="s">
        <v>1632</v>
      </c>
      <c r="C257" s="1199">
        <v>0.15</v>
      </c>
      <c r="D257" s="1199">
        <v>0.15</v>
      </c>
      <c r="E257" s="1199">
        <v>0.15</v>
      </c>
      <c r="F257" s="1200">
        <v>0.13900000000000001</v>
      </c>
    </row>
    <row r="258" spans="1:6">
      <c r="A258" s="1194" t="s">
        <v>305</v>
      </c>
      <c r="B258" s="1198" t="s">
        <v>1642</v>
      </c>
      <c r="C258" s="1199">
        <v>0.15</v>
      </c>
      <c r="D258" s="1199">
        <v>0.15</v>
      </c>
      <c r="E258" s="1199">
        <v>0.15</v>
      </c>
      <c r="F258" s="1200">
        <v>0.13</v>
      </c>
    </row>
    <row r="259" spans="1:6">
      <c r="A259" s="1194" t="s">
        <v>305</v>
      </c>
      <c r="B259" s="1198" t="s">
        <v>1652</v>
      </c>
      <c r="C259" s="1199">
        <v>0.14799999999999999</v>
      </c>
      <c r="D259" s="1199">
        <v>0.14899999999999999</v>
      </c>
      <c r="E259" s="1199">
        <v>0.15</v>
      </c>
      <c r="F259" s="1200">
        <v>0.13700000000000001</v>
      </c>
    </row>
    <row r="260" spans="1:6">
      <c r="A260" s="1194" t="s">
        <v>305</v>
      </c>
      <c r="B260" s="1198" t="s">
        <v>1662</v>
      </c>
      <c r="C260" s="1199">
        <v>0.15</v>
      </c>
      <c r="D260" s="1199">
        <v>0.15</v>
      </c>
      <c r="E260" s="1199">
        <v>0.15</v>
      </c>
      <c r="F260" s="1200">
        <v>0.14199999999999999</v>
      </c>
    </row>
    <row r="261" spans="1:6">
      <c r="A261" s="1194" t="s">
        <v>305</v>
      </c>
      <c r="B261" s="1198" t="s">
        <v>1672</v>
      </c>
      <c r="C261" s="1199">
        <v>0.15</v>
      </c>
      <c r="D261" s="1199">
        <v>0.15</v>
      </c>
      <c r="E261" s="1199">
        <v>0.14899999999999999</v>
      </c>
      <c r="F261" s="1200">
        <v>0.14799999999999999</v>
      </c>
    </row>
    <row r="262" spans="1:6">
      <c r="A262" s="1194" t="s">
        <v>305</v>
      </c>
      <c r="B262" s="1198" t="s">
        <v>1682</v>
      </c>
      <c r="C262" s="1199">
        <v>0.15</v>
      </c>
      <c r="D262" s="1199">
        <v>0.15</v>
      </c>
      <c r="E262" s="1199">
        <v>0.15</v>
      </c>
      <c r="F262" s="1207"/>
    </row>
    <row r="263" spans="1:6">
      <c r="A263" s="1194" t="s">
        <v>305</v>
      </c>
      <c r="B263" s="1198" t="s">
        <v>1692</v>
      </c>
      <c r="C263" s="1199">
        <v>0.14899999999999999</v>
      </c>
      <c r="D263" s="1199">
        <v>0.14899999999999999</v>
      </c>
      <c r="E263" s="1199">
        <v>0.15</v>
      </c>
      <c r="F263" s="1200">
        <v>0.13</v>
      </c>
    </row>
    <row r="264" spans="1:6">
      <c r="A264" s="1194" t="s">
        <v>305</v>
      </c>
      <c r="B264" s="1198" t="s">
        <v>1701</v>
      </c>
      <c r="C264" s="1199">
        <v>0.14799999999999999</v>
      </c>
      <c r="D264" s="1199">
        <v>0.14699999999999999</v>
      </c>
      <c r="E264" s="1199">
        <v>0.15</v>
      </c>
      <c r="F264" s="1200">
        <v>7.8E-2</v>
      </c>
    </row>
    <row r="265" spans="1:6">
      <c r="A265" s="1194" t="s">
        <v>305</v>
      </c>
      <c r="B265" s="1198" t="s">
        <v>1709</v>
      </c>
      <c r="C265" s="1199">
        <v>0.15</v>
      </c>
      <c r="D265" s="1199">
        <v>0.15</v>
      </c>
      <c r="E265" s="1199">
        <v>0.15</v>
      </c>
      <c r="F265" s="1200">
        <v>7.3999999999999996E-2</v>
      </c>
    </row>
    <row r="266" spans="1:6">
      <c r="A266" s="1194" t="s">
        <v>305</v>
      </c>
      <c r="B266" s="1198" t="s">
        <v>1717</v>
      </c>
      <c r="C266" s="1199">
        <v>0.14699999999999999</v>
      </c>
      <c r="D266" s="1199">
        <v>0.14699999999999999</v>
      </c>
      <c r="E266" s="1199">
        <v>0.15</v>
      </c>
      <c r="F266" s="1200">
        <v>0.14299999999999999</v>
      </c>
    </row>
    <row r="267" spans="1:6">
      <c r="A267" s="1194" t="s">
        <v>305</v>
      </c>
      <c r="B267" s="1198" t="s">
        <v>1724</v>
      </c>
      <c r="C267" s="1199">
        <v>0.14199999999999999</v>
      </c>
      <c r="D267" s="1199">
        <v>0.14299999999999999</v>
      </c>
      <c r="E267" s="1199">
        <v>0.15</v>
      </c>
      <c r="F267" s="1207"/>
    </row>
    <row r="268" spans="1:6">
      <c r="A268" s="1194" t="s">
        <v>305</v>
      </c>
      <c r="B268" s="1198" t="s">
        <v>1731</v>
      </c>
      <c r="C268" s="1199">
        <v>0.15</v>
      </c>
      <c r="D268" s="1199">
        <v>0.15</v>
      </c>
      <c r="E268" s="1199">
        <v>0.15</v>
      </c>
      <c r="F268" s="1200">
        <v>0.13</v>
      </c>
    </row>
    <row r="269" spans="1:6">
      <c r="A269" s="1194" t="s">
        <v>305</v>
      </c>
      <c r="B269" s="1198" t="s">
        <v>1738</v>
      </c>
      <c r="C269" s="1199">
        <v>0.15</v>
      </c>
      <c r="D269" s="1199">
        <v>0.15</v>
      </c>
      <c r="E269" s="1199">
        <v>0.15</v>
      </c>
      <c r="F269" s="1200">
        <v>0.14299999999999999</v>
      </c>
    </row>
    <row r="270" spans="1:6">
      <c r="A270" s="1194" t="s">
        <v>305</v>
      </c>
      <c r="B270" s="1198" t="s">
        <v>1745</v>
      </c>
      <c r="C270" s="1199">
        <v>0.14499999999999999</v>
      </c>
      <c r="D270" s="1199">
        <v>0.14499999999999999</v>
      </c>
      <c r="E270" s="1199">
        <v>0.15</v>
      </c>
      <c r="F270" s="1200">
        <v>0.14699999999999999</v>
      </c>
    </row>
    <row r="271" spans="1:6">
      <c r="A271" s="1194" t="s">
        <v>305</v>
      </c>
      <c r="B271" s="1198" t="s">
        <v>1752</v>
      </c>
      <c r="C271" s="1199">
        <v>0.15</v>
      </c>
      <c r="D271" s="1199">
        <v>0.15</v>
      </c>
      <c r="E271" s="1199">
        <v>0.15</v>
      </c>
      <c r="F271" s="1200">
        <v>0.13800000000000001</v>
      </c>
    </row>
    <row r="272" spans="1:6">
      <c r="A272" s="1194" t="s">
        <v>305</v>
      </c>
      <c r="B272" s="1198" t="s">
        <v>1757</v>
      </c>
      <c r="C272" s="1208"/>
      <c r="D272" s="1208"/>
      <c r="E272" s="1208"/>
      <c r="F272" s="1200">
        <v>0.14000000000000001</v>
      </c>
    </row>
    <row r="273" spans="1:6">
      <c r="A273" s="1194" t="s">
        <v>305</v>
      </c>
      <c r="B273" s="1198" t="s">
        <v>1762</v>
      </c>
      <c r="C273" s="1199">
        <v>0.14199999999999999</v>
      </c>
      <c r="D273" s="1199">
        <v>0.14299999999999999</v>
      </c>
      <c r="E273" s="1199">
        <v>0.15</v>
      </c>
      <c r="F273" s="1200">
        <v>0.1</v>
      </c>
    </row>
    <row r="274" spans="1:6">
      <c r="A274" s="1194" t="s">
        <v>305</v>
      </c>
      <c r="B274" s="1198" t="s">
        <v>1767</v>
      </c>
      <c r="C274" s="1199">
        <v>0.14799999999999999</v>
      </c>
      <c r="D274" s="1199">
        <v>0.14799999999999999</v>
      </c>
      <c r="E274" s="1199">
        <v>0.15</v>
      </c>
      <c r="F274" s="1200">
        <v>6.7000000000000004E-2</v>
      </c>
    </row>
    <row r="275" spans="1:6">
      <c r="A275" s="1194" t="s">
        <v>305</v>
      </c>
      <c r="B275" s="1198" t="s">
        <v>1772</v>
      </c>
      <c r="C275" s="1199">
        <v>0.15</v>
      </c>
      <c r="D275" s="1199">
        <v>0.15</v>
      </c>
      <c r="E275" s="1199">
        <v>0.15</v>
      </c>
      <c r="F275" s="1200">
        <v>0.15</v>
      </c>
    </row>
    <row r="276" spans="1:6">
      <c r="A276" s="1194" t="s">
        <v>305</v>
      </c>
      <c r="B276" s="1198" t="s">
        <v>1777</v>
      </c>
      <c r="C276" s="1199">
        <v>0.14499999999999999</v>
      </c>
      <c r="D276" s="1199">
        <v>0.14299999999999999</v>
      </c>
      <c r="E276" s="1199">
        <v>0.15</v>
      </c>
      <c r="F276" s="1200">
        <v>5.8999999999999997E-2</v>
      </c>
    </row>
    <row r="277" spans="1:6">
      <c r="A277" s="1194" t="s">
        <v>305</v>
      </c>
      <c r="B277" s="1198" t="s">
        <v>1782</v>
      </c>
      <c r="C277" s="1199">
        <v>0.15</v>
      </c>
      <c r="D277" s="1199">
        <v>0.15</v>
      </c>
      <c r="E277" s="1199">
        <v>0.15</v>
      </c>
      <c r="F277" s="1200">
        <v>0.121</v>
      </c>
    </row>
    <row r="278" spans="1:6">
      <c r="A278" s="1194" t="s">
        <v>305</v>
      </c>
      <c r="B278" s="1198" t="s">
        <v>1787</v>
      </c>
      <c r="C278" s="1199">
        <v>0.15</v>
      </c>
      <c r="D278" s="1199">
        <v>0.15</v>
      </c>
      <c r="E278" s="1199">
        <v>0.15</v>
      </c>
      <c r="F278" s="1200">
        <v>0.13800000000000001</v>
      </c>
    </row>
    <row r="279" spans="1:6" ht="24">
      <c r="A279" s="1194" t="s">
        <v>305</v>
      </c>
      <c r="B279" s="1198" t="s">
        <v>1791</v>
      </c>
      <c r="C279" s="1208"/>
      <c r="D279" s="1208"/>
      <c r="E279" s="1208"/>
      <c r="F279" s="1200">
        <v>0.05</v>
      </c>
    </row>
    <row r="280" spans="1:6" ht="24">
      <c r="A280" s="1194" t="s">
        <v>305</v>
      </c>
      <c r="B280" s="1198" t="s">
        <v>1795</v>
      </c>
      <c r="C280" s="1208"/>
      <c r="D280" s="1208"/>
      <c r="E280" s="1208"/>
      <c r="F280" s="1200">
        <v>0.05</v>
      </c>
    </row>
    <row r="281" spans="1:6" ht="24">
      <c r="A281" s="1194" t="s">
        <v>305</v>
      </c>
      <c r="B281" s="1198" t="s">
        <v>1799</v>
      </c>
      <c r="C281" s="1208"/>
      <c r="D281" s="1208"/>
      <c r="E281" s="1208"/>
      <c r="F281" s="1200">
        <v>0.05</v>
      </c>
    </row>
    <row r="282" spans="1:6" ht="24">
      <c r="A282" s="1194" t="s">
        <v>305</v>
      </c>
      <c r="B282" s="1198" t="s">
        <v>1803</v>
      </c>
      <c r="C282" s="1208"/>
      <c r="D282" s="1208"/>
      <c r="E282" s="1208"/>
      <c r="F282" s="1200">
        <v>0.05</v>
      </c>
    </row>
    <row r="283" spans="1:6" ht="24">
      <c r="A283" s="1194" t="s">
        <v>305</v>
      </c>
      <c r="B283" s="1198" t="s">
        <v>1807</v>
      </c>
      <c r="C283" s="1208"/>
      <c r="D283" s="1208"/>
      <c r="E283" s="1208"/>
      <c r="F283" s="1200">
        <v>0.05</v>
      </c>
    </row>
    <row r="284" spans="1:6" ht="24">
      <c r="A284" s="1194" t="s">
        <v>305</v>
      </c>
      <c r="B284" s="1198" t="s">
        <v>1810</v>
      </c>
      <c r="C284" s="1208"/>
      <c r="D284" s="1208"/>
      <c r="E284" s="1208"/>
      <c r="F284" s="1200">
        <v>0.05</v>
      </c>
    </row>
    <row r="285" spans="1:6" ht="24">
      <c r="A285" s="1194" t="s">
        <v>305</v>
      </c>
      <c r="B285" s="1198" t="s">
        <v>1813</v>
      </c>
      <c r="C285" s="1208"/>
      <c r="D285" s="1208"/>
      <c r="E285" s="1208"/>
      <c r="F285" s="1200">
        <v>0.05</v>
      </c>
    </row>
    <row r="286" spans="1:6" ht="24">
      <c r="A286" s="1194" t="s">
        <v>305</v>
      </c>
      <c r="B286" s="1198" t="s">
        <v>1816</v>
      </c>
      <c r="C286" s="1208"/>
      <c r="D286" s="1208"/>
      <c r="E286" s="1208"/>
      <c r="F286" s="1200">
        <v>0.05</v>
      </c>
    </row>
    <row r="287" spans="1:6" ht="24">
      <c r="A287" s="1194" t="s">
        <v>305</v>
      </c>
      <c r="B287" s="1198" t="s">
        <v>1819</v>
      </c>
      <c r="C287" s="1208"/>
      <c r="D287" s="1208"/>
      <c r="E287" s="1208"/>
      <c r="F287" s="1200">
        <v>0.05</v>
      </c>
    </row>
    <row r="288" spans="1:6" ht="24">
      <c r="A288" s="1194" t="s">
        <v>305</v>
      </c>
      <c r="B288" s="1198" t="s">
        <v>1822</v>
      </c>
      <c r="C288" s="1208"/>
      <c r="D288" s="1208"/>
      <c r="E288" s="1208"/>
      <c r="F288" s="1200">
        <v>0.05</v>
      </c>
    </row>
    <row r="289" spans="1:6" ht="24">
      <c r="A289" s="1202" t="s">
        <v>305</v>
      </c>
      <c r="B289" s="1209" t="s">
        <v>1825</v>
      </c>
      <c r="C289" s="1205"/>
      <c r="D289" s="1205"/>
      <c r="E289" s="1205"/>
      <c r="F289" s="1210">
        <v>0.05</v>
      </c>
    </row>
    <row r="290" spans="1:6">
      <c r="A290" s="1194" t="s">
        <v>308</v>
      </c>
      <c r="B290" s="1195" t="s">
        <v>1500</v>
      </c>
      <c r="C290" s="1196">
        <v>0.15</v>
      </c>
      <c r="D290" s="1196">
        <v>0.15</v>
      </c>
      <c r="E290" s="1196">
        <v>0.15</v>
      </c>
      <c r="F290" s="1218"/>
    </row>
    <row r="291" spans="1:6">
      <c r="A291" s="1194" t="s">
        <v>308</v>
      </c>
      <c r="B291" s="1198" t="s">
        <v>1513</v>
      </c>
      <c r="C291" s="1199">
        <v>0.15</v>
      </c>
      <c r="D291" s="1199">
        <v>0.15</v>
      </c>
      <c r="E291" s="1199">
        <v>0.15</v>
      </c>
      <c r="F291" s="1207"/>
    </row>
    <row r="292" spans="1:6">
      <c r="A292" s="1194" t="s">
        <v>308</v>
      </c>
      <c r="B292" s="1198" t="s">
        <v>1526</v>
      </c>
      <c r="C292" s="1199">
        <v>0.15</v>
      </c>
      <c r="D292" s="1199">
        <v>0.15</v>
      </c>
      <c r="E292" s="1199">
        <v>0.15</v>
      </c>
      <c r="F292" s="1200">
        <v>0.14699999999999999</v>
      </c>
    </row>
    <row r="293" spans="1:6">
      <c r="A293" s="1194" t="s">
        <v>308</v>
      </c>
      <c r="B293" s="1198" t="s">
        <v>1832</v>
      </c>
      <c r="C293" s="1208"/>
      <c r="D293" s="1208"/>
      <c r="E293" s="1208"/>
      <c r="F293" s="1200">
        <v>0.1</v>
      </c>
    </row>
    <row r="294" spans="1:6">
      <c r="A294" s="1194" t="s">
        <v>308</v>
      </c>
      <c r="B294" s="1198" t="s">
        <v>1538</v>
      </c>
      <c r="C294" s="1199">
        <v>0.15</v>
      </c>
      <c r="D294" s="1199">
        <v>0.15</v>
      </c>
      <c r="E294" s="1199">
        <v>0.15</v>
      </c>
      <c r="F294" s="1200">
        <v>0.15</v>
      </c>
    </row>
    <row r="295" spans="1:6">
      <c r="A295" s="1194" t="s">
        <v>308</v>
      </c>
      <c r="B295" s="1198" t="s">
        <v>1550</v>
      </c>
      <c r="C295" s="1199">
        <v>0.15</v>
      </c>
      <c r="D295" s="1199">
        <v>0.15</v>
      </c>
      <c r="E295" s="1199">
        <v>0.15</v>
      </c>
      <c r="F295" s="1200">
        <v>0.15</v>
      </c>
    </row>
    <row r="296" spans="1:6">
      <c r="A296" s="1194" t="s">
        <v>308</v>
      </c>
      <c r="B296" s="1198" t="s">
        <v>1561</v>
      </c>
      <c r="C296" s="1199">
        <v>0.15</v>
      </c>
      <c r="D296" s="1199">
        <v>0.15</v>
      </c>
      <c r="E296" s="1199">
        <v>0.15</v>
      </c>
      <c r="F296" s="1200">
        <v>0.15</v>
      </c>
    </row>
    <row r="297" spans="1:6">
      <c r="A297" s="1194" t="s">
        <v>308</v>
      </c>
      <c r="B297" s="1198" t="s">
        <v>1572</v>
      </c>
      <c r="C297" s="1199">
        <v>0.14799999999999999</v>
      </c>
      <c r="D297" s="1199">
        <v>0.14899999999999999</v>
      </c>
      <c r="E297" s="1199">
        <v>0.15</v>
      </c>
      <c r="F297" s="1200">
        <v>0.13700000000000001</v>
      </c>
    </row>
    <row r="298" spans="1:6">
      <c r="A298" s="1194" t="s">
        <v>308</v>
      </c>
      <c r="B298" s="1198" t="s">
        <v>1583</v>
      </c>
      <c r="C298" s="1199">
        <v>0.13400000000000001</v>
      </c>
      <c r="D298" s="1199">
        <v>0.13400000000000001</v>
      </c>
      <c r="E298" s="1199">
        <v>0.14499999999999999</v>
      </c>
      <c r="F298" s="1200">
        <v>0.14799999999999999</v>
      </c>
    </row>
    <row r="299" spans="1:6">
      <c r="A299" s="1194" t="s">
        <v>308</v>
      </c>
      <c r="B299" s="1198" t="s">
        <v>1593</v>
      </c>
      <c r="C299" s="1199">
        <v>0.15</v>
      </c>
      <c r="D299" s="1199">
        <v>0.15</v>
      </c>
      <c r="E299" s="1199">
        <v>0.15</v>
      </c>
      <c r="F299" s="1207"/>
    </row>
    <row r="300" spans="1:6">
      <c r="A300" s="1194" t="s">
        <v>308</v>
      </c>
      <c r="B300" s="1198" t="s">
        <v>1603</v>
      </c>
      <c r="C300" s="1199">
        <v>0.15</v>
      </c>
      <c r="D300" s="1199">
        <v>0.15</v>
      </c>
      <c r="E300" s="1199">
        <v>0.15</v>
      </c>
      <c r="F300" s="1200">
        <v>0.15</v>
      </c>
    </row>
    <row r="301" spans="1:6">
      <c r="A301" s="1194" t="s">
        <v>308</v>
      </c>
      <c r="B301" s="1198" t="s">
        <v>1613</v>
      </c>
      <c r="C301" s="1199">
        <v>0.15</v>
      </c>
      <c r="D301" s="1199">
        <v>0.15</v>
      </c>
      <c r="E301" s="1199">
        <v>0.15</v>
      </c>
      <c r="F301" s="1207"/>
    </row>
    <row r="302" spans="1:6">
      <c r="A302" s="1194" t="s">
        <v>308</v>
      </c>
      <c r="B302" s="1198" t="s">
        <v>1623</v>
      </c>
      <c r="C302" s="1199">
        <v>0.15</v>
      </c>
      <c r="D302" s="1199">
        <v>0.15</v>
      </c>
      <c r="E302" s="1199">
        <v>0.15</v>
      </c>
      <c r="F302" s="1200">
        <v>0.15</v>
      </c>
    </row>
    <row r="303" spans="1:6">
      <c r="A303" s="1194" t="s">
        <v>308</v>
      </c>
      <c r="B303" s="1198" t="s">
        <v>1633</v>
      </c>
      <c r="C303" s="1199">
        <v>0.15</v>
      </c>
      <c r="D303" s="1199">
        <v>0.15</v>
      </c>
      <c r="E303" s="1199">
        <v>0.15</v>
      </c>
      <c r="F303" s="1200">
        <v>0.15</v>
      </c>
    </row>
    <row r="304" spans="1:6">
      <c r="A304" s="1194" t="s">
        <v>308</v>
      </c>
      <c r="B304" s="1198" t="s">
        <v>1643</v>
      </c>
      <c r="C304" s="1199">
        <v>0.15</v>
      </c>
      <c r="D304" s="1199">
        <v>0.15</v>
      </c>
      <c r="E304" s="1199">
        <v>0.15</v>
      </c>
      <c r="F304" s="1207"/>
    </row>
    <row r="305" spans="1:6">
      <c r="A305" s="1194" t="s">
        <v>308</v>
      </c>
      <c r="B305" s="1198" t="s">
        <v>1653</v>
      </c>
      <c r="C305" s="1199">
        <v>0.15</v>
      </c>
      <c r="D305" s="1199">
        <v>0.15</v>
      </c>
      <c r="E305" s="1199">
        <v>0.15</v>
      </c>
      <c r="F305" s="1200">
        <v>0.14000000000000001</v>
      </c>
    </row>
    <row r="306" spans="1:6">
      <c r="A306" s="1194" t="s">
        <v>308</v>
      </c>
      <c r="B306" s="1198" t="s">
        <v>1663</v>
      </c>
      <c r="C306" s="1199">
        <v>0.15</v>
      </c>
      <c r="D306" s="1199">
        <v>0.15</v>
      </c>
      <c r="E306" s="1199">
        <v>0.15</v>
      </c>
      <c r="F306" s="1207"/>
    </row>
    <row r="307" spans="1:6">
      <c r="A307" s="1194" t="s">
        <v>308</v>
      </c>
      <c r="B307" s="1198" t="s">
        <v>1673</v>
      </c>
      <c r="C307" s="1199">
        <v>0.15</v>
      </c>
      <c r="D307" s="1199">
        <v>0.15</v>
      </c>
      <c r="E307" s="1199">
        <v>0.15</v>
      </c>
      <c r="F307" s="1200">
        <v>0.14299999999999999</v>
      </c>
    </row>
    <row r="308" spans="1:6">
      <c r="A308" s="1194" t="s">
        <v>308</v>
      </c>
      <c r="B308" s="1198" t="s">
        <v>1683</v>
      </c>
      <c r="C308" s="1199">
        <v>0.15</v>
      </c>
      <c r="D308" s="1199">
        <v>0.15</v>
      </c>
      <c r="E308" s="1199">
        <v>0.15</v>
      </c>
      <c r="F308" s="1200">
        <v>0.15</v>
      </c>
    </row>
    <row r="309" spans="1:6">
      <c r="A309" s="1194" t="s">
        <v>308</v>
      </c>
      <c r="B309" s="1198" t="s">
        <v>1693</v>
      </c>
      <c r="C309" s="1199">
        <v>0.15</v>
      </c>
      <c r="D309" s="1199">
        <v>0.15</v>
      </c>
      <c r="E309" s="1199">
        <v>0.15</v>
      </c>
      <c r="F309" s="1207"/>
    </row>
    <row r="310" spans="1:6">
      <c r="A310" s="1194" t="s">
        <v>308</v>
      </c>
      <c r="B310" s="1198" t="s">
        <v>1702</v>
      </c>
      <c r="C310" s="1199">
        <v>0.15</v>
      </c>
      <c r="D310" s="1199">
        <v>0.15</v>
      </c>
      <c r="E310" s="1199">
        <v>0.15</v>
      </c>
      <c r="F310" s="1200">
        <v>0.13700000000000001</v>
      </c>
    </row>
    <row r="311" spans="1:6">
      <c r="A311" s="1194" t="s">
        <v>308</v>
      </c>
      <c r="B311" s="1198" t="s">
        <v>1710</v>
      </c>
      <c r="C311" s="1199">
        <v>0.15</v>
      </c>
      <c r="D311" s="1199">
        <v>0.15</v>
      </c>
      <c r="E311" s="1199">
        <v>0.15</v>
      </c>
      <c r="F311" s="1200">
        <v>0.15</v>
      </c>
    </row>
    <row r="312" spans="1:6">
      <c r="A312" s="1194" t="s">
        <v>308</v>
      </c>
      <c r="B312" s="1198" t="s">
        <v>1718</v>
      </c>
      <c r="C312" s="1199">
        <v>0.15</v>
      </c>
      <c r="D312" s="1199">
        <v>0.15</v>
      </c>
      <c r="E312" s="1199">
        <v>0.15</v>
      </c>
      <c r="F312" s="1200">
        <v>0.1</v>
      </c>
    </row>
    <row r="313" spans="1:6">
      <c r="A313" s="1194" t="s">
        <v>308</v>
      </c>
      <c r="B313" s="1198" t="s">
        <v>1725</v>
      </c>
      <c r="C313" s="1199">
        <v>0.15</v>
      </c>
      <c r="D313" s="1199">
        <v>0.15</v>
      </c>
      <c r="E313" s="1199">
        <v>0.15</v>
      </c>
      <c r="F313" s="1200">
        <v>0.15</v>
      </c>
    </row>
    <row r="314" spans="1:6" ht="24">
      <c r="A314" s="1194" t="s">
        <v>308</v>
      </c>
      <c r="B314" s="1198" t="s">
        <v>1732</v>
      </c>
      <c r="C314" s="1208"/>
      <c r="D314" s="1208"/>
      <c r="E314" s="1208"/>
      <c r="F314" s="1200">
        <v>0.05</v>
      </c>
    </row>
    <row r="315" spans="1:6" ht="24">
      <c r="A315" s="1194" t="s">
        <v>308</v>
      </c>
      <c r="B315" s="1198" t="s">
        <v>1739</v>
      </c>
      <c r="C315" s="1208"/>
      <c r="D315" s="1208"/>
      <c r="E315" s="1208"/>
      <c r="F315" s="1200">
        <v>0.05</v>
      </c>
    </row>
    <row r="316" spans="1:6" ht="24">
      <c r="A316" s="1202" t="s">
        <v>308</v>
      </c>
      <c r="B316" s="1209" t="s">
        <v>1746</v>
      </c>
      <c r="C316" s="1205"/>
      <c r="D316" s="1205"/>
      <c r="E316" s="1205"/>
      <c r="F316" s="1210">
        <v>0.05</v>
      </c>
    </row>
    <row r="317" spans="1:6">
      <c r="A317" s="1194" t="s">
        <v>311</v>
      </c>
      <c r="B317" s="1195" t="s">
        <v>1501</v>
      </c>
      <c r="C317" s="1196">
        <v>0.15</v>
      </c>
      <c r="D317" s="1196">
        <v>0.15</v>
      </c>
      <c r="E317" s="1196">
        <v>0.15</v>
      </c>
      <c r="F317" s="1197">
        <v>0.15</v>
      </c>
    </row>
    <row r="318" spans="1:6">
      <c r="A318" s="1194" t="s">
        <v>311</v>
      </c>
      <c r="B318" s="1198" t="s">
        <v>1514</v>
      </c>
      <c r="C318" s="1199">
        <v>0.107</v>
      </c>
      <c r="D318" s="1199">
        <v>0.11</v>
      </c>
      <c r="E318" s="1199">
        <v>0.112</v>
      </c>
      <c r="F318" s="1207"/>
    </row>
    <row r="319" spans="1:6">
      <c r="A319" s="1194" t="s">
        <v>311</v>
      </c>
      <c r="B319" s="1198" t="s">
        <v>1527</v>
      </c>
      <c r="C319" s="1199">
        <v>0.15</v>
      </c>
      <c r="D319" s="1199">
        <v>0.15</v>
      </c>
      <c r="E319" s="1199">
        <v>0.15</v>
      </c>
      <c r="F319" s="1200">
        <v>0.15</v>
      </c>
    </row>
    <row r="320" spans="1:6">
      <c r="A320" s="1194" t="s">
        <v>311</v>
      </c>
      <c r="B320" s="1198" t="s">
        <v>1539</v>
      </c>
      <c r="C320" s="1199">
        <v>0.15</v>
      </c>
      <c r="D320" s="1199">
        <v>0.15</v>
      </c>
      <c r="E320" s="1199">
        <v>0.15</v>
      </c>
      <c r="F320" s="1207"/>
    </row>
    <row r="321" spans="1:6">
      <c r="A321" s="1194" t="s">
        <v>311</v>
      </c>
      <c r="B321" s="1198" t="s">
        <v>1551</v>
      </c>
      <c r="C321" s="1199">
        <v>0.15</v>
      </c>
      <c r="D321" s="1199">
        <v>0.15</v>
      </c>
      <c r="E321" s="1199">
        <v>0.15</v>
      </c>
      <c r="F321" s="1207"/>
    </row>
    <row r="322" spans="1:6">
      <c r="A322" s="1194" t="s">
        <v>311</v>
      </c>
      <c r="B322" s="1198" t="s">
        <v>1562</v>
      </c>
      <c r="C322" s="1199">
        <v>0.15</v>
      </c>
      <c r="D322" s="1199">
        <v>0.15</v>
      </c>
      <c r="E322" s="1199">
        <v>0.15</v>
      </c>
      <c r="F322" s="1200">
        <v>0.15</v>
      </c>
    </row>
    <row r="323" spans="1:6">
      <c r="A323" s="1194" t="s">
        <v>311</v>
      </c>
      <c r="B323" s="1198" t="s">
        <v>1573</v>
      </c>
      <c r="C323" s="1199">
        <v>0.15</v>
      </c>
      <c r="D323" s="1199">
        <v>0.15</v>
      </c>
      <c r="E323" s="1199">
        <v>0.15</v>
      </c>
      <c r="F323" s="1207"/>
    </row>
    <row r="324" spans="1:6">
      <c r="A324" s="1194" t="s">
        <v>311</v>
      </c>
      <c r="B324" s="1198" t="s">
        <v>1584</v>
      </c>
      <c r="C324" s="1199">
        <v>0.15</v>
      </c>
      <c r="D324" s="1199">
        <v>0.15</v>
      </c>
      <c r="E324" s="1199">
        <v>0.15</v>
      </c>
      <c r="F324" s="1207"/>
    </row>
    <row r="325" spans="1:6">
      <c r="A325" s="1194" t="s">
        <v>311</v>
      </c>
      <c r="B325" s="1198" t="s">
        <v>1594</v>
      </c>
      <c r="C325" s="1199">
        <v>0.15</v>
      </c>
      <c r="D325" s="1199">
        <v>0.15</v>
      </c>
      <c r="E325" s="1199">
        <v>0.15</v>
      </c>
      <c r="F325" s="1200">
        <v>0.14699999999999999</v>
      </c>
    </row>
    <row r="326" spans="1:6">
      <c r="A326" s="1194" t="s">
        <v>311</v>
      </c>
      <c r="B326" s="1198" t="s">
        <v>1604</v>
      </c>
      <c r="C326" s="1199">
        <v>0.15</v>
      </c>
      <c r="D326" s="1199">
        <v>0.15</v>
      </c>
      <c r="E326" s="1199">
        <v>0.15</v>
      </c>
      <c r="F326" s="1207"/>
    </row>
    <row r="327" spans="1:6">
      <c r="A327" s="1194" t="s">
        <v>311</v>
      </c>
      <c r="B327" s="1198" t="s">
        <v>1614</v>
      </c>
      <c r="C327" s="1199">
        <v>0.15</v>
      </c>
      <c r="D327" s="1199">
        <v>0.15</v>
      </c>
      <c r="E327" s="1199">
        <v>0.15</v>
      </c>
      <c r="F327" s="1200">
        <v>0.15</v>
      </c>
    </row>
    <row r="328" spans="1:6">
      <c r="A328" s="1194" t="s">
        <v>311</v>
      </c>
      <c r="B328" s="1198" t="s">
        <v>1624</v>
      </c>
      <c r="C328" s="1199">
        <v>0.15</v>
      </c>
      <c r="D328" s="1199">
        <v>0.15</v>
      </c>
      <c r="E328" s="1199">
        <v>0.15</v>
      </c>
      <c r="F328" s="1200">
        <v>0.14099999999999999</v>
      </c>
    </row>
    <row r="329" spans="1:6">
      <c r="A329" s="1194" t="s">
        <v>311</v>
      </c>
      <c r="B329" s="1198" t="s">
        <v>1634</v>
      </c>
      <c r="C329" s="1199">
        <v>0.15</v>
      </c>
      <c r="D329" s="1199">
        <v>0.15</v>
      </c>
      <c r="E329" s="1199">
        <v>0.15</v>
      </c>
      <c r="F329" s="1200">
        <v>0.15</v>
      </c>
    </row>
    <row r="330" spans="1:6">
      <c r="A330" s="1194" t="s">
        <v>311</v>
      </c>
      <c r="B330" s="1198" t="s">
        <v>1644</v>
      </c>
      <c r="C330" s="1199">
        <v>0.15</v>
      </c>
      <c r="D330" s="1199">
        <v>0.15</v>
      </c>
      <c r="E330" s="1199">
        <v>0.15</v>
      </c>
      <c r="F330" s="1207"/>
    </row>
    <row r="331" spans="1:6">
      <c r="A331" s="1194" t="s">
        <v>311</v>
      </c>
      <c r="B331" s="1198" t="s">
        <v>1654</v>
      </c>
      <c r="C331" s="1199">
        <v>0.15</v>
      </c>
      <c r="D331" s="1199">
        <v>0.15</v>
      </c>
      <c r="E331" s="1199">
        <v>0.15</v>
      </c>
      <c r="F331" s="1200">
        <v>0.15</v>
      </c>
    </row>
    <row r="332" spans="1:6">
      <c r="A332" s="1194" t="s">
        <v>311</v>
      </c>
      <c r="B332" s="1198" t="s">
        <v>1664</v>
      </c>
      <c r="C332" s="1199">
        <v>0.15</v>
      </c>
      <c r="D332" s="1199">
        <v>0.15</v>
      </c>
      <c r="E332" s="1199">
        <v>0.15</v>
      </c>
      <c r="F332" s="1200">
        <v>0.15</v>
      </c>
    </row>
    <row r="333" spans="1:6">
      <c r="A333" s="1194" t="s">
        <v>311</v>
      </c>
      <c r="B333" s="1198" t="s">
        <v>1674</v>
      </c>
      <c r="C333" s="1199">
        <v>0.15</v>
      </c>
      <c r="D333" s="1199">
        <v>0.15</v>
      </c>
      <c r="E333" s="1199">
        <v>0.15</v>
      </c>
      <c r="F333" s="1200">
        <v>0.14099999999999999</v>
      </c>
    </row>
    <row r="334" spans="1:6">
      <c r="A334" s="1194" t="s">
        <v>311</v>
      </c>
      <c r="B334" s="1198" t="s">
        <v>1684</v>
      </c>
      <c r="C334" s="1199">
        <v>0.15</v>
      </c>
      <c r="D334" s="1199">
        <v>0.15</v>
      </c>
      <c r="E334" s="1199">
        <v>0.15</v>
      </c>
      <c r="F334" s="1200">
        <v>0.15</v>
      </c>
    </row>
    <row r="335" spans="1:6">
      <c r="A335" s="1194" t="s">
        <v>311</v>
      </c>
      <c r="B335" s="1198" t="s">
        <v>1694</v>
      </c>
      <c r="C335" s="1199">
        <v>0.15</v>
      </c>
      <c r="D335" s="1199">
        <v>0.15</v>
      </c>
      <c r="E335" s="1199">
        <v>0.15</v>
      </c>
      <c r="F335" s="1207"/>
    </row>
    <row r="336" spans="1:6">
      <c r="A336" s="1194" t="s">
        <v>311</v>
      </c>
      <c r="B336" s="1198" t="s">
        <v>1703</v>
      </c>
      <c r="C336" s="1199">
        <v>0.15</v>
      </c>
      <c r="D336" s="1199">
        <v>0.15</v>
      </c>
      <c r="E336" s="1199">
        <v>0.15</v>
      </c>
      <c r="F336" s="1200">
        <v>0.11799999999999999</v>
      </c>
    </row>
    <row r="337" spans="1:6">
      <c r="A337" s="1202" t="s">
        <v>311</v>
      </c>
      <c r="B337" s="1209" t="s">
        <v>1711</v>
      </c>
      <c r="C337" s="1205"/>
      <c r="D337" s="1205"/>
      <c r="E337" s="1205"/>
      <c r="F337" s="1210">
        <v>0.14299999999999999</v>
      </c>
    </row>
    <row r="338" spans="1:6">
      <c r="A338" s="1194" t="s">
        <v>314</v>
      </c>
      <c r="B338" s="1195" t="s">
        <v>1502</v>
      </c>
      <c r="C338" s="1196">
        <v>0.15</v>
      </c>
      <c r="D338" s="1196">
        <v>0.15</v>
      </c>
      <c r="E338" s="1196">
        <v>0.15</v>
      </c>
      <c r="F338" s="1218"/>
    </row>
    <row r="339" spans="1:6">
      <c r="A339" s="1194" t="s">
        <v>314</v>
      </c>
      <c r="B339" s="1198" t="s">
        <v>1515</v>
      </c>
      <c r="C339" s="1199">
        <v>0.15</v>
      </c>
      <c r="D339" s="1199">
        <v>0.15</v>
      </c>
      <c r="E339" s="1199">
        <v>0.15</v>
      </c>
      <c r="F339" s="1207"/>
    </row>
    <row r="340" spans="1:6">
      <c r="A340" s="1194" t="s">
        <v>314</v>
      </c>
      <c r="B340" s="1198" t="s">
        <v>1528</v>
      </c>
      <c r="C340" s="1199">
        <v>0.15</v>
      </c>
      <c r="D340" s="1199">
        <v>0.15</v>
      </c>
      <c r="E340" s="1199">
        <v>0.15</v>
      </c>
      <c r="F340" s="1207"/>
    </row>
    <row r="341" spans="1:6">
      <c r="A341" s="1194" t="s">
        <v>314</v>
      </c>
      <c r="B341" s="1198" t="s">
        <v>1540</v>
      </c>
      <c r="C341" s="1199">
        <v>0.15</v>
      </c>
      <c r="D341" s="1199">
        <v>0.15</v>
      </c>
      <c r="E341" s="1199">
        <v>0.15</v>
      </c>
      <c r="F341" s="1200">
        <v>0.15</v>
      </c>
    </row>
    <row r="342" spans="1:6">
      <c r="A342" s="1194" t="s">
        <v>314</v>
      </c>
      <c r="B342" s="1198" t="s">
        <v>1552</v>
      </c>
      <c r="C342" s="1199">
        <v>0.15</v>
      </c>
      <c r="D342" s="1199">
        <v>0.15</v>
      </c>
      <c r="E342" s="1199">
        <v>0.15</v>
      </c>
      <c r="F342" s="1200">
        <v>0.15</v>
      </c>
    </row>
    <row r="343" spans="1:6">
      <c r="A343" s="1194" t="s">
        <v>314</v>
      </c>
      <c r="B343" s="1198" t="s">
        <v>1563</v>
      </c>
      <c r="C343" s="1199">
        <v>0.15</v>
      </c>
      <c r="D343" s="1199">
        <v>0.15</v>
      </c>
      <c r="E343" s="1199">
        <v>0.15</v>
      </c>
      <c r="F343" s="1200">
        <v>0.15</v>
      </c>
    </row>
    <row r="344" spans="1:6">
      <c r="A344" s="1202" t="s">
        <v>314</v>
      </c>
      <c r="B344" s="1209" t="s">
        <v>1574</v>
      </c>
      <c r="C344" s="1204">
        <v>0.15</v>
      </c>
      <c r="D344" s="1204">
        <v>0.15</v>
      </c>
      <c r="E344" s="1204">
        <v>0.15</v>
      </c>
      <c r="F344" s="1210">
        <v>0.15</v>
      </c>
    </row>
  </sheetData>
  <sheetProtection password="C66D" sheet="1" objects="1" scenarios="1"/>
  <mergeCells count="1">
    <mergeCell ref="A1:B1"/>
  </mergeCells>
  <phoneticPr fontId="23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F252-399A-4E02-9AA0-DE07A7966B20}">
  <sheetPr>
    <tabColor rgb="FF92D050"/>
  </sheetPr>
  <dimension ref="A1:AR118"/>
  <sheetViews>
    <sheetView view="pageBreakPreview" topLeftCell="A10" zoomScale="85" zoomScaleNormal="60" workbookViewId="0">
      <selection activeCell="F17" sqref="F17"/>
    </sheetView>
  </sheetViews>
  <sheetFormatPr defaultColWidth="12" defaultRowHeight="12"/>
  <cols>
    <col min="1" max="1" width="9.75" style="1314" customWidth="1"/>
    <col min="2" max="2" width="20.875" style="1315" customWidth="1"/>
    <col min="3" max="4" width="12" style="1316"/>
    <col min="5" max="5" width="14.625" style="1316" customWidth="1"/>
    <col min="6" max="8" width="12" style="1316"/>
    <col min="9" max="9" width="12.25" style="1316" customWidth="1"/>
    <col min="10" max="10" width="12" style="1316"/>
    <col min="11" max="11" width="9.625" style="1313" customWidth="1"/>
    <col min="12" max="12" width="12" style="1316"/>
    <col min="13" max="14" width="10.625" style="1316" customWidth="1"/>
    <col min="15" max="17" width="12" style="1316"/>
    <col min="18" max="18" width="12" style="1314"/>
    <col min="19" max="22" width="15.5" style="1314" customWidth="1"/>
    <col min="23" max="28" width="12" style="1316"/>
    <col min="29" max="29" width="9.375" style="1314" customWidth="1"/>
    <col min="30" max="35" width="9.375" style="1317" customWidth="1"/>
    <col min="36" max="39" width="9.375" style="1314" customWidth="1"/>
    <col min="40" max="41" width="9.375" style="1316" customWidth="1"/>
    <col min="42" max="16384" width="12" style="1316"/>
  </cols>
  <sheetData>
    <row r="1" spans="1:39" ht="20.25">
      <c r="A1" s="1318" t="s">
        <v>1134</v>
      </c>
      <c r="B1" s="1319"/>
      <c r="C1" s="1320" t="s">
        <v>380</v>
      </c>
      <c r="D1" s="1321">
        <f>SUM(D29:D30,D33:D39)</f>
        <v>63500</v>
      </c>
      <c r="E1" s="1320" t="s">
        <v>383</v>
      </c>
      <c r="F1" s="1322"/>
      <c r="G1" s="1323"/>
      <c r="H1" s="1323"/>
      <c r="I1" s="1323"/>
      <c r="J1" s="1323"/>
      <c r="K1" s="1509"/>
      <c r="L1" s="1510" t="s">
        <v>1135</v>
      </c>
      <c r="M1" s="1511">
        <f>SUMPRODUCT((区片价!B5:B9=I2)*(区片价!C3:F3=E2)*(区片价!C5:F9))</f>
        <v>0</v>
      </c>
      <c r="N1" s="1512">
        <f>SUMPRODUCT((因素修正幅度!B5:B9=I2)*(因素修正幅度!C3:F3=E2)*(因素修正幅度!C5:F9))</f>
        <v>0</v>
      </c>
      <c r="O1" s="1509"/>
      <c r="P1" s="1509"/>
      <c r="Q1" s="1509"/>
      <c r="R1" s="1600" t="s">
        <v>1136</v>
      </c>
      <c r="S1" s="1600" t="s">
        <v>1137</v>
      </c>
      <c r="T1" s="1600" t="s">
        <v>1138</v>
      </c>
      <c r="U1" s="1600" t="s">
        <v>1139</v>
      </c>
      <c r="V1" s="1600" t="s">
        <v>602</v>
      </c>
      <c r="W1" s="1509"/>
      <c r="X1" s="1509"/>
      <c r="Y1" s="1509"/>
      <c r="Z1" s="1509"/>
      <c r="AA1" s="1509"/>
      <c r="AB1" s="1509"/>
      <c r="AC1" s="1610"/>
    </row>
    <row r="2" spans="1:39" ht="15.75">
      <c r="A2" s="1320" t="s">
        <v>1140</v>
      </c>
      <c r="B2" s="1324">
        <f ca="1">C26</f>
        <v>39510</v>
      </c>
      <c r="C2" s="1325" t="s">
        <v>1010</v>
      </c>
      <c r="D2" s="1326" t="s">
        <v>345</v>
      </c>
      <c r="E2" s="1327" t="s">
        <v>368</v>
      </c>
      <c r="F2" s="1326" t="s">
        <v>217</v>
      </c>
      <c r="G2" s="1328" t="str">
        <f>IF(E2="商业",项目基本情况!B43,IF(E2="办公",项目基本情况!C43,IF(E2="住宅",项目基本情况!D43,项目基本情况!E43)))</f>
        <v>八级</v>
      </c>
      <c r="H2" s="1326" t="s">
        <v>415</v>
      </c>
      <c r="I2" s="1513" t="str">
        <f>IF(E2="商业",项目基本情况!B44,IF(E2="办公",项目基本情况!C44,IF(E2="住宅",项目基本情况!D44,项目基本情况!E44)))</f>
        <v>Ⅷ-02</v>
      </c>
      <c r="J2" s="1514"/>
      <c r="K2" s="1515"/>
      <c r="L2" s="1516" t="s">
        <v>1141</v>
      </c>
      <c r="M2" s="1517">
        <f>SUMPRODUCT((区片价!B10:B28=I2)*(区片价!C3:F3=E2)*(区片价!C10:F28))</f>
        <v>0</v>
      </c>
      <c r="N2" s="1518">
        <f>SUMPRODUCT((因素修正幅度!B10:B28=I2)*(因素修正幅度!C3:F3=E2)*(因素修正幅度!C10:F28))</f>
        <v>0</v>
      </c>
      <c r="O2" s="1515"/>
      <c r="P2" s="1509"/>
      <c r="Q2" s="1509"/>
      <c r="R2" s="1601">
        <v>1</v>
      </c>
      <c r="S2" s="1601">
        <f>ROUND(IF(G3&gt;1,IF(R2&lt;7,SUMPRODUCT((B93:B98=R2)*(C92:N92=G2)*(C93:N98)),SUMIF(C92:N92,G2,C100:N100)),IF(R2&lt;7,SUMPRODUCT((B102:B107=R2)*(C92:N92=G2)*(C102:N107)),SUMIF(C92:N92,G2,C109:N109))),4)</f>
        <v>1.9419999999999999</v>
      </c>
      <c r="T2" s="1601">
        <f ca="1">ROUND($C$5*$C$18*$C$19*$C$20*S2*$C$24,0)</f>
        <v>13968</v>
      </c>
      <c r="U2" s="1602"/>
      <c r="V2" s="1601">
        <f ca="1">ROUND(T2*U2/10000,0)</f>
        <v>0</v>
      </c>
      <c r="W2" s="1509"/>
      <c r="X2" s="1509"/>
      <c r="Y2" s="1509"/>
      <c r="Z2" s="1509"/>
      <c r="AA2" s="1509"/>
      <c r="AB2" s="1509"/>
      <c r="AC2" s="1610"/>
    </row>
    <row r="3" spans="1:39" ht="24">
      <c r="A3" s="1329" t="s">
        <v>894</v>
      </c>
      <c r="B3" s="1324">
        <f ca="1">ROUND(B2*10000/D1,0)</f>
        <v>6222</v>
      </c>
      <c r="C3" s="1325" t="s">
        <v>1142</v>
      </c>
      <c r="D3" s="1326" t="s">
        <v>1143</v>
      </c>
      <c r="E3" s="1330" t="s">
        <v>1144</v>
      </c>
      <c r="F3" s="1331" t="s">
        <v>2664</v>
      </c>
      <c r="G3" s="1332">
        <f>IF(F3="宗地容积率",'数据-汇总表'!I4,IF(F3="估价对象容积率",'数据-汇总表'!I6,'数据-汇总表'!I7))</f>
        <v>2.5</v>
      </c>
      <c r="H3" s="1333" t="s">
        <v>1145</v>
      </c>
      <c r="I3" s="1519"/>
      <c r="J3" s="1514" t="s">
        <v>1146</v>
      </c>
      <c r="K3" s="1515"/>
      <c r="L3" s="1516" t="s">
        <v>1147</v>
      </c>
      <c r="M3" s="1517">
        <f>SUMPRODUCT((区片价!B29:B48=I2)*(区片价!C3:F3=E2)*(区片价!C29:F48))</f>
        <v>0</v>
      </c>
      <c r="N3" s="1518">
        <f>SUMPRODUCT((因素修正幅度!B29:B48=I2)*(因素修正幅度!C3:F3=E2)*(因素修正幅度!C29:F48))</f>
        <v>0</v>
      </c>
      <c r="O3" s="1515"/>
      <c r="P3" s="1509"/>
      <c r="Q3" s="1509"/>
      <c r="R3" s="1601">
        <v>2</v>
      </c>
      <c r="S3" s="1601">
        <f>ROUND(IF(G3&gt;1,IF(R3&lt;7,SUMPRODUCT((B93:B98=R3)*(C92:N92=G2)*(C93:N98)),SUMIF(C92:N92,G2,C100:N100)),IF(R3&lt;7,SUMPRODUCT((B102:B107=R3)*(C92:N92=G2)*(C102:N107)),SUMIF(C92:N92,G2,C109:N109))),4)</f>
        <v>1.2799</v>
      </c>
      <c r="T3" s="1601">
        <f t="shared" ref="T3:T16" ca="1" si="0">ROUND($C$5*$C$18*$C$19*$C$20*S3*$C$24,0)</f>
        <v>9205</v>
      </c>
      <c r="U3" s="1602"/>
      <c r="V3" s="1601">
        <f t="shared" ref="V3:V16" ca="1" si="1">ROUND(T3*U3/10000,0)</f>
        <v>0</v>
      </c>
      <c r="W3" s="1509"/>
      <c r="X3" s="1509"/>
      <c r="Y3" s="1509"/>
      <c r="Z3" s="1509"/>
      <c r="AA3" s="1509"/>
      <c r="AB3" s="1509"/>
      <c r="AC3" s="1610"/>
    </row>
    <row r="4" spans="1:39" ht="28.5">
      <c r="A4" s="1334" t="s">
        <v>1148</v>
      </c>
      <c r="B4" s="1335" t="e">
        <f ca="1">ROUND(B2*10000/F1,0)</f>
        <v>#DIV/0!</v>
      </c>
      <c r="C4" s="1336" t="s">
        <v>1142</v>
      </c>
      <c r="D4" s="1336" t="e">
        <f ca="1">ROUND(B2/(F1/666.67),0)</f>
        <v>#DIV/0!</v>
      </c>
      <c r="E4" s="1336" t="s">
        <v>1149</v>
      </c>
      <c r="F4" s="1337"/>
      <c r="G4" s="1337"/>
      <c r="H4" s="1337"/>
      <c r="I4" s="1337"/>
      <c r="J4" s="1520"/>
      <c r="K4" s="1521"/>
      <c r="L4" s="1516" t="s">
        <v>1150</v>
      </c>
      <c r="M4" s="1517">
        <f>SUMPRODUCT((区片价!B49:B75=I2)*(区片价!C3:F3=E2)*(区片价!C49:F75))</f>
        <v>0</v>
      </c>
      <c r="N4" s="1518">
        <f>SUMPRODUCT((因素修正幅度!B49:B75=I2)*(因素修正幅度!C3:F3=E2)*(因素修正幅度!C49:F75))</f>
        <v>0</v>
      </c>
      <c r="O4" s="1521"/>
      <c r="P4" s="1509"/>
      <c r="Q4" s="1509"/>
      <c r="R4" s="1601">
        <v>3</v>
      </c>
      <c r="S4" s="1601">
        <f>ROUND(IF(G3&gt;1,IF(R4&lt;7,SUMPRODUCT((B93:B98=R4)*(C92:N92=G2)*(C93:N98)),SUMIF(C92:N92,G2,C100:N100)),IF(R4&lt;7,SUMPRODUCT((B102:B107=R4)*(C92:N92=G2)*(C102:N107)),SUMIF(C92:N92,G2,C109:N109))),4)</f>
        <v>1.0072000000000001</v>
      </c>
      <c r="T4" s="1601">
        <f t="shared" ca="1" si="0"/>
        <v>7244</v>
      </c>
      <c r="U4" s="1602"/>
      <c r="V4" s="1601">
        <f t="shared" ca="1" si="1"/>
        <v>0</v>
      </c>
      <c r="W4" s="1509"/>
      <c r="X4" s="1509"/>
      <c r="Y4" s="1509"/>
      <c r="Z4" s="1509"/>
      <c r="AA4" s="1509"/>
      <c r="AB4" s="1509"/>
      <c r="AC4" s="1610"/>
    </row>
    <row r="5" spans="1:39" s="1312" customFormat="1" ht="15.75" thickBot="1">
      <c r="A5" s="1338" t="s">
        <v>826</v>
      </c>
      <c r="B5" s="1339" t="s">
        <v>1151</v>
      </c>
      <c r="C5" s="1340">
        <f>ROUND(IF(E2="商业",C6*C7+C16,(IF(E2="住宅",C6*C12+C16,C6+C16))),0)</f>
        <v>3890</v>
      </c>
      <c r="D5" s="1341">
        <f>ROUND(C6+C16,0)</f>
        <v>3890</v>
      </c>
      <c r="E5" s="1341"/>
      <c r="F5" s="1342"/>
      <c r="G5" s="1343"/>
      <c r="H5" s="1343"/>
      <c r="I5" s="1343"/>
      <c r="J5" s="1522"/>
      <c r="K5" s="1523"/>
      <c r="L5" s="1516" t="s">
        <v>1152</v>
      </c>
      <c r="M5" s="1517">
        <f>SUMPRODUCT((区片价!B76:B109=I2)*(区片价!C3:F3=E2)*(区片价!C76:F109))</f>
        <v>0</v>
      </c>
      <c r="N5" s="1518">
        <f>SUMPRODUCT((因素修正幅度!B76:B109=I2)*(因素修正幅度!C3:F3=E2)*(因素修正幅度!C76:F109))</f>
        <v>0</v>
      </c>
      <c r="O5" s="1523"/>
      <c r="P5" s="1524"/>
      <c r="Q5" s="1509"/>
      <c r="R5" s="1601">
        <v>4</v>
      </c>
      <c r="S5" s="1601">
        <f>ROUND(IF(G3&gt;1,IF(R5&lt;7,SUMPRODUCT((B93:B98=R5)*(C92:N92=G2)*(C93:N98)),SUMIF(C92:N92,G2,C100:N100)),IF(R5&lt;7,SUMPRODUCT((B102:B107=R5)*(C92:N92=G2)*(C102:N107)),SUMIF(C92:N92,G2,C109:N109))),4)</f>
        <v>0.75249999999999995</v>
      </c>
      <c r="T5" s="1601">
        <f t="shared" ca="1" si="0"/>
        <v>5412</v>
      </c>
      <c r="U5" s="1602"/>
      <c r="V5" s="1601">
        <f t="shared" ca="1" si="1"/>
        <v>0</v>
      </c>
      <c r="W5" s="1509"/>
      <c r="X5" s="1509"/>
      <c r="Y5" s="1509"/>
      <c r="Z5" s="1509"/>
      <c r="AA5" s="1509"/>
      <c r="AB5" s="1509"/>
      <c r="AC5" s="1612"/>
      <c r="AD5" s="1613"/>
      <c r="AE5" s="1613"/>
      <c r="AF5" s="1613"/>
      <c r="AG5" s="1613"/>
      <c r="AH5" s="1613"/>
      <c r="AI5" s="1613"/>
      <c r="AJ5" s="1622"/>
      <c r="AK5" s="1622"/>
      <c r="AL5" s="1622"/>
      <c r="AM5" s="1622"/>
    </row>
    <row r="6" spans="1:39" ht="15.75" thickBot="1">
      <c r="A6" s="1344" t="s">
        <v>1153</v>
      </c>
      <c r="B6" s="1345" t="s">
        <v>1151</v>
      </c>
      <c r="C6" s="1346">
        <v>3890</v>
      </c>
      <c r="D6" s="1347" t="s">
        <v>1154</v>
      </c>
      <c r="E6" s="1348"/>
      <c r="F6" s="1348"/>
      <c r="G6" s="1349"/>
      <c r="H6" s="1349"/>
      <c r="I6" s="1349"/>
      <c r="J6" s="1525"/>
      <c r="K6" s="1526"/>
      <c r="L6" s="1516" t="s">
        <v>1155</v>
      </c>
      <c r="M6" s="1517">
        <f>SUMPRODUCT((区片价!B110:B157=I2)*(区片价!C3:F3=E2)*(区片价!C110:F157))</f>
        <v>0</v>
      </c>
      <c r="N6" s="1518">
        <f>SUMPRODUCT((因素修正幅度!B110:B157=I2)*(因素修正幅度!C3:F3=E2)*(因素修正幅度!C110:F157))</f>
        <v>0</v>
      </c>
      <c r="O6" s="1526"/>
      <c r="P6" s="1527"/>
      <c r="Q6" s="1509"/>
      <c r="R6" s="1601">
        <v>5</v>
      </c>
      <c r="S6" s="1601">
        <f>ROUND(IF(G3&gt;1,IF(R6&lt;7,SUMPRODUCT((B93:B98=R6)*(C92:N92=G2)*(C93:N98)),SUMIF(C92:N92,G2,C100:N100)),IF(R6&lt;7,SUMPRODUCT((B102:B107=R6)*(C92:N92=G2)*(C102:N107)),SUMIF(C92:N92,G2,C109:N109))),4)</f>
        <v>0.56589999999999996</v>
      </c>
      <c r="T6" s="1601">
        <f t="shared" ca="1" si="0"/>
        <v>4070</v>
      </c>
      <c r="U6" s="1602"/>
      <c r="V6" s="1601">
        <f t="shared" ca="1" si="1"/>
        <v>0</v>
      </c>
      <c r="W6" s="1509"/>
      <c r="X6" s="1509"/>
      <c r="Y6" s="1509"/>
      <c r="Z6" s="1509"/>
      <c r="AA6" s="1509"/>
      <c r="AB6" s="1509"/>
      <c r="AC6" s="1612"/>
      <c r="AD6" s="1613"/>
      <c r="AE6" s="1613"/>
      <c r="AF6" s="1613"/>
      <c r="AG6" s="1613"/>
      <c r="AH6" s="1613"/>
      <c r="AI6" s="1613"/>
      <c r="AJ6" s="1622"/>
    </row>
    <row r="7" spans="1:39" ht="24">
      <c r="A7" s="3798" t="str">
        <f>IF(E2="商业",IF(C8="不临58条商业街","",2),"")</f>
        <v/>
      </c>
      <c r="B7" s="1350" t="s">
        <v>1156</v>
      </c>
      <c r="C7" s="1351">
        <f>IF(C8="不临58条商业街",1,ROUND(1+(1.6*E8+1.2*E9+0.8*E10+0.4*E11)*C9,4))</f>
        <v>1</v>
      </c>
      <c r="D7" s="1352"/>
      <c r="E7" s="1353"/>
      <c r="F7" s="1354"/>
      <c r="G7" s="1355"/>
      <c r="H7" s="1355"/>
      <c r="I7" s="1355"/>
      <c r="J7" s="1528"/>
      <c r="K7" s="1526"/>
      <c r="L7" s="1516" t="s">
        <v>1158</v>
      </c>
      <c r="M7" s="1517">
        <f>SUMPRODUCT((区片价!B158:B205=I2)*(区片价!C3:F3=E2)*(区片价!C158:F205))</f>
        <v>0</v>
      </c>
      <c r="N7" s="1518">
        <f>SUMPRODUCT((因素修正幅度!B158:B205=I2)*(因素修正幅度!C3:F3=E2)*(因素修正幅度!C158:F205))</f>
        <v>0</v>
      </c>
      <c r="O7" s="1526"/>
      <c r="P7" s="1527"/>
      <c r="Q7" s="1509"/>
      <c r="R7" s="1601">
        <v>6</v>
      </c>
      <c r="S7" s="1601">
        <f>ROUND(IF(G3&gt;1,IF(R7&lt;7,SUMPRODUCT((B93:B98=R7)*(C92:N92=G2)*(C93:N98)),SUMIF(C92:N92,G2,C100:N100)),IF(R7&lt;7,SUMPRODUCT((B102:B107=R7)*(C92:N92=G2)*(C102:N107)),SUMIF(C92:N92,G2,C109:N109))),4)</f>
        <v>0.45250000000000001</v>
      </c>
      <c r="T7" s="1601">
        <f t="shared" ca="1" si="0"/>
        <v>3255</v>
      </c>
      <c r="U7" s="1602"/>
      <c r="V7" s="1601">
        <f t="shared" ca="1" si="1"/>
        <v>0</v>
      </c>
      <c r="W7" s="3374" t="s">
        <v>1159</v>
      </c>
      <c r="X7" s="1604" t="str">
        <f>G2</f>
        <v>八级</v>
      </c>
      <c r="Y7" s="1604" t="s">
        <v>1160</v>
      </c>
      <c r="Z7" s="1614">
        <f>G3</f>
        <v>2.5</v>
      </c>
      <c r="AA7" s="1607"/>
      <c r="AB7" s="1607"/>
      <c r="AC7" s="1553"/>
      <c r="AD7" s="1615"/>
      <c r="AE7" s="1615"/>
      <c r="AF7" s="1615"/>
      <c r="AG7" s="1615"/>
      <c r="AH7" s="1615"/>
      <c r="AI7" s="1615"/>
      <c r="AJ7" s="1623"/>
    </row>
    <row r="8" spans="1:39" ht="25.5">
      <c r="A8" s="3799"/>
      <c r="B8" s="1333" t="s">
        <v>1161</v>
      </c>
      <c r="C8" s="1356" t="s">
        <v>1162</v>
      </c>
      <c r="D8" s="1357" t="s">
        <v>1163</v>
      </c>
      <c r="E8" s="1358" t="e">
        <f>ROUND(C11/E7,4)</f>
        <v>#DIV/0!</v>
      </c>
      <c r="F8" s="1359" t="s">
        <v>1164</v>
      </c>
      <c r="G8" s="1360"/>
      <c r="H8" s="1360"/>
      <c r="I8" s="1360"/>
      <c r="J8" s="1529"/>
      <c r="K8" s="1526"/>
      <c r="L8" s="1516" t="s">
        <v>1165</v>
      </c>
      <c r="M8" s="1517">
        <f>SUMPRODUCT((区片价!B206:B244=I2)*(区片价!C3:F3=E2)*(区片价!C206:F244))</f>
        <v>6050</v>
      </c>
      <c r="N8" s="1518">
        <f>SUMPRODUCT((因素修正幅度!B206:B244=I2)*(因素修正幅度!C3:F3=E2)*(因素修正幅度!C206:F244))</f>
        <v>0.15</v>
      </c>
      <c r="O8" s="1526"/>
      <c r="P8" s="1509"/>
      <c r="Q8" s="1509"/>
      <c r="R8" s="1601">
        <v>7</v>
      </c>
      <c r="S8" s="1602"/>
      <c r="T8" s="1601">
        <f t="shared" ca="1" si="0"/>
        <v>0</v>
      </c>
      <c r="U8" s="1602"/>
      <c r="V8" s="1601">
        <f t="shared" ca="1" si="1"/>
        <v>0</v>
      </c>
      <c r="W8" s="3792" t="s">
        <v>1166</v>
      </c>
      <c r="X8" s="3793"/>
      <c r="Y8" s="1448" t="s">
        <v>1167</v>
      </c>
      <c r="Z8" s="1448" t="s">
        <v>1168</v>
      </c>
      <c r="AA8" s="1448" t="s">
        <v>1169</v>
      </c>
      <c r="AB8" s="1448" t="s">
        <v>1170</v>
      </c>
      <c r="AC8" s="1448" t="s">
        <v>1171</v>
      </c>
      <c r="AD8" s="1448" t="s">
        <v>1172</v>
      </c>
      <c r="AE8" s="1448" t="s">
        <v>1173</v>
      </c>
      <c r="AF8" s="1448" t="s">
        <v>1174</v>
      </c>
      <c r="AG8" s="1448" t="s">
        <v>1175</v>
      </c>
      <c r="AH8" s="1448" t="s">
        <v>1176</v>
      </c>
      <c r="AI8" s="1448" t="s">
        <v>1177</v>
      </c>
      <c r="AJ8" s="1448" t="s">
        <v>1178</v>
      </c>
    </row>
    <row r="9" spans="1:39" ht="15">
      <c r="A9" s="3799"/>
      <c r="B9" s="1333" t="s">
        <v>1179</v>
      </c>
      <c r="C9" s="1361">
        <f>SUMIF(修正!C59:C119,C8,修正!E59:E119)</f>
        <v>0</v>
      </c>
      <c r="D9" s="1362" t="s">
        <v>1180</v>
      </c>
      <c r="E9" s="1362" t="e">
        <f>ROUND(C11/E7,4)</f>
        <v>#DIV/0!</v>
      </c>
      <c r="F9" s="1359" t="s">
        <v>1181</v>
      </c>
      <c r="G9" s="1360"/>
      <c r="H9" s="1360"/>
      <c r="I9" s="1360"/>
      <c r="J9" s="1529"/>
      <c r="K9" s="1526"/>
      <c r="L9" s="1516" t="s">
        <v>1182</v>
      </c>
      <c r="M9" s="1517">
        <f>SUMPRODUCT((区片价!B245:B289=I2)*(区片价!C3:F3=E2)*(区片价!C245:F289))</f>
        <v>0</v>
      </c>
      <c r="N9" s="1518">
        <f>SUMPRODUCT((因素修正幅度!B245:B289=I2)*(因素修正幅度!C3:F3=E2)*(因素修正幅度!C245:F289))</f>
        <v>0</v>
      </c>
      <c r="O9" s="1526"/>
      <c r="P9" s="1509"/>
      <c r="Q9" s="1509"/>
      <c r="R9" s="1601">
        <v>8</v>
      </c>
      <c r="S9" s="1602"/>
      <c r="T9" s="1601">
        <f t="shared" ca="1" si="0"/>
        <v>0</v>
      </c>
      <c r="U9" s="1602"/>
      <c r="V9" s="1601">
        <f t="shared" ca="1" si="1"/>
        <v>0</v>
      </c>
      <c r="W9" s="3791" t="s">
        <v>1183</v>
      </c>
      <c r="X9" s="1605" t="s">
        <v>1184</v>
      </c>
      <c r="Y9" s="1616"/>
      <c r="Z9" s="1617">
        <f t="shared" ref="Z9:AJ9" si="2">$Y$9</f>
        <v>0</v>
      </c>
      <c r="AA9" s="1617">
        <f t="shared" si="2"/>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9" ht="15">
      <c r="A10" s="3799"/>
      <c r="B10" s="1333" t="s">
        <v>1185</v>
      </c>
      <c r="C10" s="1362">
        <f>SUMIF(修正!C59:C119,C8,修正!F59:F119)</f>
        <v>0</v>
      </c>
      <c r="D10" s="1362" t="s">
        <v>1186</v>
      </c>
      <c r="E10" s="1362" t="e">
        <f>ROUND(C11/E7,4)</f>
        <v>#DIV/0!</v>
      </c>
      <c r="F10" s="1359" t="s">
        <v>1187</v>
      </c>
      <c r="G10" s="1360"/>
      <c r="H10" s="1360"/>
      <c r="I10" s="1360"/>
      <c r="J10" s="1529"/>
      <c r="K10" s="1526"/>
      <c r="L10" s="1516" t="s">
        <v>1188</v>
      </c>
      <c r="M10" s="1517">
        <f>SUMPRODUCT((区片价!B290:B316=I2)*(区片价!C3:F3=E2)*(区片价!C290:F316))</f>
        <v>0</v>
      </c>
      <c r="N10" s="1518">
        <f>SUMPRODUCT((因素修正幅度!B290:B316=I2)*(因素修正幅度!C3:F3=E2)*(因素修正幅度!C290:F316))</f>
        <v>0</v>
      </c>
      <c r="O10" s="1526"/>
      <c r="P10" s="1509"/>
      <c r="Q10" s="1509"/>
      <c r="R10" s="1601">
        <v>9</v>
      </c>
      <c r="S10" s="1602"/>
      <c r="T10" s="1601">
        <f t="shared" ca="1" si="0"/>
        <v>0</v>
      </c>
      <c r="U10" s="1602"/>
      <c r="V10" s="1601">
        <f t="shared" ca="1" si="1"/>
        <v>0</v>
      </c>
      <c r="W10" s="3791"/>
      <c r="X10" s="1605">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9" ht="15.75" customHeight="1" thickBot="1">
      <c r="A11" s="3799"/>
      <c r="B11" s="1363" t="s">
        <v>1189</v>
      </c>
      <c r="C11" s="1364">
        <f>C10/4</f>
        <v>0</v>
      </c>
      <c r="D11" s="1364" t="s">
        <v>1190</v>
      </c>
      <c r="E11" s="1364" t="e">
        <f>ROUND(C11/E7,4)</f>
        <v>#DIV/0!</v>
      </c>
      <c r="F11" s="1365" t="s">
        <v>1191</v>
      </c>
      <c r="G11" s="1366"/>
      <c r="H11" s="1366"/>
      <c r="I11" s="1366"/>
      <c r="J11" s="1530"/>
      <c r="K11" s="1526"/>
      <c r="L11" s="1516" t="s">
        <v>1192</v>
      </c>
      <c r="M11" s="1517">
        <f>SUMPRODUCT((区片价!B317:B337=I2)*(区片价!C3:F3=E2)*(区片价!C317:F337))</f>
        <v>0</v>
      </c>
      <c r="N11" s="1518">
        <f>SUMPRODUCT((因素修正幅度!B317:B337=I2)*(因素修正幅度!C3:F3=E2)*(因素修正幅度!C317:F337))</f>
        <v>0</v>
      </c>
      <c r="O11" s="1526"/>
      <c r="P11" s="1509"/>
      <c r="Q11" s="1509"/>
      <c r="R11" s="1601">
        <v>10</v>
      </c>
      <c r="S11" s="1602"/>
      <c r="T11" s="1601">
        <f t="shared" ca="1" si="0"/>
        <v>0</v>
      </c>
      <c r="U11" s="1602"/>
      <c r="V11" s="1601">
        <f t="shared" ca="1" si="1"/>
        <v>0</v>
      </c>
      <c r="W11" s="3791" t="s">
        <v>1193</v>
      </c>
      <c r="X11" s="1362" t="s">
        <v>1160</v>
      </c>
      <c r="Y11" s="1513">
        <f>$G$3</f>
        <v>2.5</v>
      </c>
      <c r="Z11" s="1513">
        <f t="shared" ref="Z11:AJ11" si="3">$G$3</f>
        <v>2.5</v>
      </c>
      <c r="AA11" s="1513">
        <f t="shared" si="3"/>
        <v>2.5</v>
      </c>
      <c r="AB11" s="1513">
        <f t="shared" si="3"/>
        <v>2.5</v>
      </c>
      <c r="AC11" s="1513">
        <f t="shared" si="3"/>
        <v>2.5</v>
      </c>
      <c r="AD11" s="1513">
        <f t="shared" si="3"/>
        <v>2.5</v>
      </c>
      <c r="AE11" s="1513">
        <f t="shared" si="3"/>
        <v>2.5</v>
      </c>
      <c r="AF11" s="1513">
        <f t="shared" si="3"/>
        <v>2.5</v>
      </c>
      <c r="AG11" s="1513">
        <f t="shared" si="3"/>
        <v>2.5</v>
      </c>
      <c r="AH11" s="1513">
        <f t="shared" si="3"/>
        <v>2.5</v>
      </c>
      <c r="AI11" s="1513">
        <f t="shared" si="3"/>
        <v>2.5</v>
      </c>
      <c r="AJ11" s="1513">
        <f t="shared" si="3"/>
        <v>2.5</v>
      </c>
    </row>
    <row r="12" spans="1:39" ht="25.5" thickBot="1">
      <c r="A12" s="3798" t="s">
        <v>1194</v>
      </c>
      <c r="B12" s="1367" t="s">
        <v>1195</v>
      </c>
      <c r="C12" s="1351">
        <f>ROUND(C15*D15*E15*F15*G15*H15*I15*J15,4)</f>
        <v>1</v>
      </c>
      <c r="D12" s="1368" t="s">
        <v>1196</v>
      </c>
      <c r="E12" s="1369"/>
      <c r="F12" s="1369"/>
      <c r="G12" s="1370"/>
      <c r="H12" s="1370"/>
      <c r="I12" s="1370"/>
      <c r="J12" s="1531"/>
      <c r="K12" s="1526"/>
      <c r="L12" s="1532" t="s">
        <v>1197</v>
      </c>
      <c r="M12" s="1533">
        <f>SUMPRODUCT((区片价!B338:B344=I2)*(区片价!C3:F3=E2)*(区片价!C338:F344))</f>
        <v>0</v>
      </c>
      <c r="N12" s="1534">
        <f>SUMPRODUCT((因素修正幅度!B338:B344=I2)*(因素修正幅度!C3:F3=E2)*(因素修正幅度!C338:F344))</f>
        <v>0</v>
      </c>
      <c r="O12" s="1526"/>
      <c r="P12" s="1509"/>
      <c r="Q12" s="1509"/>
      <c r="R12" s="1601">
        <v>11</v>
      </c>
      <c r="S12" s="1602"/>
      <c r="T12" s="1601">
        <f t="shared" ca="1" si="0"/>
        <v>0</v>
      </c>
      <c r="U12" s="1602"/>
      <c r="V12" s="1601">
        <f t="shared" ca="1" si="1"/>
        <v>0</v>
      </c>
      <c r="W12" s="3791"/>
      <c r="X12" s="1606" t="s">
        <v>1198</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9" ht="24">
      <c r="A13" s="3800"/>
      <c r="B13" s="1371" t="s">
        <v>1199</v>
      </c>
      <c r="C13" s="1372" t="s">
        <v>1200</v>
      </c>
      <c r="D13" s="1248" t="s">
        <v>1201</v>
      </c>
      <c r="E13" s="1248" t="s">
        <v>1202</v>
      </c>
      <c r="F13" s="1373" t="s">
        <v>1203</v>
      </c>
      <c r="G13" s="1374" t="s">
        <v>1204</v>
      </c>
      <c r="H13" s="1375" t="s">
        <v>1204</v>
      </c>
      <c r="I13" s="1535" t="s">
        <v>1204</v>
      </c>
      <c r="J13" s="1536" t="s">
        <v>1204</v>
      </c>
      <c r="K13" s="1537"/>
      <c r="L13" s="1537"/>
      <c r="M13" s="1537"/>
      <c r="N13" s="1537"/>
      <c r="O13" s="1537"/>
      <c r="P13" s="1509"/>
      <c r="Q13" s="1509"/>
      <c r="R13" s="1601">
        <v>12</v>
      </c>
      <c r="S13" s="1602"/>
      <c r="T13" s="1601">
        <f t="shared" ca="1" si="0"/>
        <v>0</v>
      </c>
      <c r="U13" s="1602"/>
      <c r="V13" s="1601">
        <f t="shared" ca="1" si="1"/>
        <v>0</v>
      </c>
      <c r="W13" s="3791"/>
      <c r="X13" s="1606"/>
      <c r="Y13" s="1618">
        <f>(-0.163*(Y12^2)-0.59*Y12+7617)*(10^(-4))/Y11</f>
        <v>0.30468000000000001</v>
      </c>
      <c r="Z13" s="1618">
        <f t="shared" ref="Z13:AJ13" si="5">(-0.163*(Z12^2)-0.59*Z12+7617)*(10^(-4))/Z11</f>
        <v>0.30468000000000001</v>
      </c>
      <c r="AA13" s="1618">
        <f t="shared" si="5"/>
        <v>0.30468000000000001</v>
      </c>
      <c r="AB13" s="1618">
        <f t="shared" si="5"/>
        <v>0.30468000000000001</v>
      </c>
      <c r="AC13" s="1618">
        <f t="shared" si="5"/>
        <v>0.30468000000000001</v>
      </c>
      <c r="AD13" s="1618">
        <f t="shared" si="5"/>
        <v>0.30468000000000001</v>
      </c>
      <c r="AE13" s="1618">
        <f t="shared" si="5"/>
        <v>0.30468000000000001</v>
      </c>
      <c r="AF13" s="1618">
        <f t="shared" si="5"/>
        <v>0.30468000000000001</v>
      </c>
      <c r="AG13" s="1618">
        <f t="shared" si="5"/>
        <v>0.30468000000000001</v>
      </c>
      <c r="AH13" s="1618">
        <f t="shared" si="5"/>
        <v>0.30468000000000001</v>
      </c>
      <c r="AI13" s="1618">
        <f t="shared" si="5"/>
        <v>0.30468000000000001</v>
      </c>
      <c r="AJ13" s="1618">
        <f t="shared" si="5"/>
        <v>0.30468000000000001</v>
      </c>
    </row>
    <row r="14" spans="1:39" ht="12.75" customHeight="1">
      <c r="A14" s="3800"/>
      <c r="B14" s="1376"/>
      <c r="C14" s="1377" t="s">
        <v>1204</v>
      </c>
      <c r="D14" s="1378" t="s">
        <v>1204</v>
      </c>
      <c r="E14" s="1378" t="s">
        <v>1204</v>
      </c>
      <c r="F14" s="1379" t="s">
        <v>1206</v>
      </c>
      <c r="G14" s="1380" t="s">
        <v>1207</v>
      </c>
      <c r="H14" s="1381"/>
      <c r="I14" s="1538"/>
      <c r="J14" s="1539"/>
      <c r="K14" s="1540"/>
      <c r="L14" s="1540"/>
      <c r="M14" s="1540"/>
      <c r="N14" s="1540"/>
      <c r="O14" s="1540"/>
      <c r="P14" s="1509"/>
      <c r="Q14" s="1509"/>
      <c r="R14" s="1601">
        <v>13</v>
      </c>
      <c r="S14" s="1602"/>
      <c r="T14" s="1601">
        <f t="shared" ca="1" si="0"/>
        <v>0</v>
      </c>
      <c r="U14" s="1602"/>
      <c r="V14" s="1601">
        <f t="shared" ca="1" si="1"/>
        <v>0</v>
      </c>
      <c r="W14" s="1509"/>
      <c r="X14" s="1509"/>
      <c r="Y14" s="1509"/>
      <c r="Z14" s="1509"/>
      <c r="AA14" s="1509"/>
      <c r="AB14" s="1509"/>
      <c r="AC14" s="1610"/>
    </row>
    <row r="15" spans="1:39" ht="13.5" customHeight="1" thickBot="1">
      <c r="A15" s="3801"/>
      <c r="B15" s="1382" t="s">
        <v>1208</v>
      </c>
      <c r="C15" s="1364">
        <f>IF(C14="有",1.1,1)</f>
        <v>1</v>
      </c>
      <c r="D15" s="1364">
        <f>IF(D14="有",1.1,1)</f>
        <v>1</v>
      </c>
      <c r="E15" s="1364">
        <f>IF(E14="有",1.1,1)</f>
        <v>1</v>
      </c>
      <c r="F15" s="1364">
        <f>IF(F14="500米范围内",1.2,IF(F14="500-1000米",1.1,1))</f>
        <v>1</v>
      </c>
      <c r="G15" s="1383">
        <v>1</v>
      </c>
      <c r="H15" s="1383">
        <v>1</v>
      </c>
      <c r="I15" s="1383">
        <v>1</v>
      </c>
      <c r="J15" s="1541">
        <v>1</v>
      </c>
      <c r="K15" s="1542"/>
      <c r="L15" s="1542"/>
      <c r="M15" s="1542"/>
      <c r="N15" s="1542"/>
      <c r="O15" s="1542"/>
      <c r="P15" s="1509"/>
      <c r="Q15" s="1509"/>
      <c r="R15" s="1601">
        <v>14</v>
      </c>
      <c r="S15" s="1602"/>
      <c r="T15" s="1601">
        <f t="shared" ca="1" si="0"/>
        <v>0</v>
      </c>
      <c r="U15" s="1602"/>
      <c r="V15" s="1601">
        <f t="shared" ca="1" si="1"/>
        <v>0</v>
      </c>
      <c r="W15" s="1509"/>
      <c r="X15" s="1509"/>
      <c r="Y15" s="1509"/>
      <c r="Z15" s="1509"/>
      <c r="AA15" s="1509"/>
      <c r="AB15" s="1509"/>
      <c r="AC15" s="1610"/>
    </row>
    <row r="16" spans="1:39" ht="24.6" customHeight="1">
      <c r="A16" s="3798" t="s">
        <v>879</v>
      </c>
      <c r="B16" s="1350" t="s">
        <v>1209</v>
      </c>
      <c r="C16" s="1384">
        <f>ROUND(IF(F17="与级别开发程度一致",0,(G17-E17)/C17),0)</f>
        <v>0</v>
      </c>
      <c r="D16" s="3794" t="s">
        <v>1210</v>
      </c>
      <c r="E16" s="3795"/>
      <c r="F16" s="3794" t="s">
        <v>1211</v>
      </c>
      <c r="G16" s="3795"/>
      <c r="H16" s="1385" t="s">
        <v>1296</v>
      </c>
      <c r="I16" s="1385" t="s">
        <v>1297</v>
      </c>
      <c r="J16" s="1385" t="s">
        <v>1299</v>
      </c>
      <c r="K16" s="1385"/>
      <c r="L16" s="1385"/>
      <c r="M16" s="1385"/>
      <c r="N16" s="1385"/>
      <c r="O16" s="1543"/>
      <c r="P16" s="1509"/>
      <c r="Q16" s="1607"/>
      <c r="R16" s="1601">
        <v>15</v>
      </c>
      <c r="S16" s="1602"/>
      <c r="T16" s="1601">
        <f t="shared" ca="1" si="0"/>
        <v>0</v>
      </c>
      <c r="U16" s="1602"/>
      <c r="V16" s="1601">
        <f t="shared" ca="1" si="1"/>
        <v>0</v>
      </c>
      <c r="W16" s="1607"/>
      <c r="X16" s="1607"/>
      <c r="Y16" s="1607"/>
      <c r="Z16" s="1607"/>
      <c r="AA16" s="1607"/>
      <c r="AB16" s="1607"/>
      <c r="AC16" s="1553"/>
    </row>
    <row r="17" spans="1:40" ht="24.75" thickBot="1">
      <c r="A17" s="3802"/>
      <c r="B17" s="1386" t="s">
        <v>1212</v>
      </c>
      <c r="C17" s="1387">
        <f>SUMPRODUCT((修正!A2:A5=E2)*(修正!B1:M1=G2)*(修正!B2:M5))</f>
        <v>1.5</v>
      </c>
      <c r="D17" s="1388" t="str">
        <f>IF(OR(G2="八级",G2="九级",G2="十级",G2="十一级",G2="十二级"),"五通一平","七通一平")</f>
        <v>五通一平</v>
      </c>
      <c r="E17" s="1389">
        <f>SUMPRODUCT((修正!B1:M1=G2)*(修正!B15:M15))</f>
        <v>155</v>
      </c>
      <c r="F17" s="1390" t="s">
        <v>2803</v>
      </c>
      <c r="G17" s="1389">
        <f>SUM(H17:O17)</f>
        <v>110</v>
      </c>
      <c r="H17" s="1391">
        <f>SUMPRODUCT((七通一平=H16)*(修正!B1:M1=G2)*(修正!B6:M14))</f>
        <v>50</v>
      </c>
      <c r="I17" s="1391">
        <f>SUMPRODUCT((七通一平=I16)*(修正!B1:M1=G2)*(修正!B6:M14))</f>
        <v>40</v>
      </c>
      <c r="J17" s="1391">
        <f>SUMPRODUCT((七通一平=J16)*(修正!B1:M1=G2)*(修正!B6:M14))</f>
        <v>20</v>
      </c>
      <c r="K17" s="1391">
        <f>SUMPRODUCT((七通一平=K16)*(修正!B1:M1=G2)*(修正!B6:M14))</f>
        <v>0</v>
      </c>
      <c r="L17" s="1391">
        <f>SUMPRODUCT((七通一平=L16)*(修正!B1:M1=G2)*(修正!B6:M14))</f>
        <v>0</v>
      </c>
      <c r="M17" s="1391">
        <f>SUMPRODUCT((七通一平=M16)*(修正!B1:M1=G2)*(修正!B6:M14))</f>
        <v>0</v>
      </c>
      <c r="N17" s="1391">
        <f>SUMPRODUCT((七通一平=N16)*(修正!B1:M1=G2)*(修正!B6:M14))</f>
        <v>0</v>
      </c>
      <c r="O17" s="1544">
        <f>SUMPRODUCT((七通一平=O16)*(修正!B1:M1=G2)*(修正!B6:M14))</f>
        <v>0</v>
      </c>
      <c r="P17" s="1509"/>
      <c r="Q17" s="1607"/>
      <c r="R17" s="1553"/>
      <c r="S17" s="1553"/>
      <c r="T17" s="1553"/>
      <c r="U17" s="1553"/>
      <c r="V17" s="1553"/>
      <c r="W17" s="1607"/>
      <c r="X17" s="1607"/>
      <c r="Y17" s="1607"/>
      <c r="Z17" s="1607"/>
      <c r="AA17" s="1607"/>
      <c r="AB17" s="1607"/>
      <c r="AC17" s="1553"/>
      <c r="AH17" s="1313"/>
      <c r="AI17" s="1313"/>
      <c r="AJ17" s="1316"/>
      <c r="AK17" s="1316"/>
      <c r="AL17" s="1316"/>
      <c r="AM17" s="1316"/>
    </row>
    <row r="18" spans="1:40" s="1312" customFormat="1" ht="15.75" thickBot="1">
      <c r="A18" s="1392" t="s">
        <v>835</v>
      </c>
      <c r="B18" s="1393" t="s">
        <v>1213</v>
      </c>
      <c r="C18" s="1394">
        <f>SUMIF(修正!C18:C39,E3,修正!E18:E39)</f>
        <v>1</v>
      </c>
      <c r="D18" s="1395"/>
      <c r="E18" s="1396"/>
      <c r="F18" s="1397"/>
      <c r="G18" s="1398"/>
      <c r="H18" s="1398"/>
      <c r="I18" s="1398"/>
      <c r="J18" s="1545"/>
      <c r="K18" s="1523"/>
      <c r="L18" s="1398"/>
      <c r="M18" s="1398"/>
      <c r="N18" s="1398"/>
      <c r="O18" s="1398"/>
      <c r="P18" s="1546"/>
      <c r="Q18" s="1608"/>
      <c r="R18" s="1608"/>
      <c r="S18" s="1608"/>
      <c r="T18" s="1608"/>
      <c r="U18" s="1608"/>
      <c r="V18" s="1608"/>
      <c r="W18" s="1553"/>
      <c r="X18" s="1553"/>
      <c r="Y18" s="1553"/>
      <c r="Z18" s="1553"/>
      <c r="AA18" s="1607"/>
      <c r="AB18" s="1607"/>
      <c r="AC18" s="1569"/>
      <c r="AD18" s="1619"/>
      <c r="AE18" s="1619"/>
      <c r="AF18" s="1619"/>
      <c r="AG18" s="1619"/>
      <c r="AH18" s="1317"/>
      <c r="AI18" s="1317"/>
      <c r="AJ18" s="1314"/>
      <c r="AK18" s="1314"/>
      <c r="AL18" s="1314"/>
    </row>
    <row r="19" spans="1:40" s="1312" customFormat="1" ht="27.75" thickBot="1">
      <c r="A19" s="1399" t="s">
        <v>840</v>
      </c>
      <c r="B19" s="1400" t="s">
        <v>1214</v>
      </c>
      <c r="C19" s="1401">
        <f>ROUND(IF(H19="按公示增长率计算",SUMPRODUCT((地价!A3:A36=YEAR(G19)&amp;"-"&amp;ROUNDUP(MONTH(G19)/3,0))*(地价!X2:AB2=E2)*(地价!X3:AB36)),IF(H19="地价指数",M20/M19,(1+I19)^O19)),4)</f>
        <v>1.7797000000000001</v>
      </c>
      <c r="D19" s="1402" t="s">
        <v>1215</v>
      </c>
      <c r="E19" s="1403">
        <v>41640</v>
      </c>
      <c r="F19" s="1402" t="s">
        <v>351</v>
      </c>
      <c r="G19" s="1404">
        <f>'数据-取费表'!B2</f>
        <v>44484</v>
      </c>
      <c r="H19" s="1405" t="s">
        <v>1216</v>
      </c>
      <c r="I19" s="1547" t="str">
        <f>IF(H19="季度增幅（自定义）",SUMIF(N21:N24,E2,O21:O24),"")</f>
        <v/>
      </c>
      <c r="J19" s="1548"/>
      <c r="K19" s="1523"/>
      <c r="L19" s="1549" t="s">
        <v>1217</v>
      </c>
      <c r="M19" s="1550">
        <f>ROUND(SUMIF(地价!B2:F2,E2,地价!B36:F36),0)</f>
        <v>423</v>
      </c>
      <c r="N19" s="1551" t="s">
        <v>1218</v>
      </c>
      <c r="O19" s="1552">
        <f>ROUNDDOWN(DATEDIF(E19,G19,"M")/3,0)</f>
        <v>31</v>
      </c>
      <c r="P19" s="1553"/>
      <c r="Q19" s="1609"/>
      <c r="R19" s="1569"/>
      <c r="S19" s="1569"/>
      <c r="T19" s="1569"/>
      <c r="U19" s="1569"/>
      <c r="V19" s="1569"/>
      <c r="W19" s="1569"/>
      <c r="X19" s="1569"/>
      <c r="Y19" s="1317"/>
      <c r="Z19" s="1317"/>
      <c r="AA19" s="1317"/>
      <c r="AB19" s="1317"/>
      <c r="AC19" s="1619"/>
      <c r="AD19" s="1620"/>
      <c r="AE19" s="1621"/>
      <c r="AF19" s="1314"/>
      <c r="AG19" s="1622"/>
      <c r="AH19" s="1622"/>
      <c r="AI19" s="1622"/>
    </row>
    <row r="20" spans="1:40" s="1312" customFormat="1" ht="27.75" thickBot="1">
      <c r="A20" s="1392" t="s">
        <v>843</v>
      </c>
      <c r="B20" s="1406" t="s">
        <v>1219</v>
      </c>
      <c r="C20" s="1407">
        <f ca="1">ROUND(POWER(1+G20,J20-I20)*(POWER(1+G20,I20)-1)/(POWER(1+G20,J20)-1),4)</f>
        <v>1</v>
      </c>
      <c r="D20" s="1408" t="s">
        <v>1220</v>
      </c>
      <c r="E20" s="1409">
        <f ca="1">存贷款利率!I4/100</f>
        <v>4.3499999999999997E-2</v>
      </c>
      <c r="F20" s="1408" t="s">
        <v>1221</v>
      </c>
      <c r="G20" s="1410">
        <f ca="1">SUMIF(M26:P26,E2,M28:P28)</f>
        <v>0.05</v>
      </c>
      <c r="H20" s="1408" t="s">
        <v>1222</v>
      </c>
      <c r="I20" s="1554">
        <f>SUMIF('数据-取费表'!C6:C15,E2,'数据-取费表'!F6:F15)/COUNTIF('数据-取费表'!C6:C15,E2)</f>
        <v>70</v>
      </c>
      <c r="J20" s="1555">
        <f>IF(E2="住宅",70,IF(E2="商业",40,50))</f>
        <v>70</v>
      </c>
      <c r="K20" s="1542"/>
      <c r="L20" s="1556" t="s">
        <v>1223</v>
      </c>
      <c r="M20" s="1557">
        <f>ROUND(SUMPRODUCT((地价!A4:A36=YEAR(G19)&amp;"-"&amp;ROUNDUP(MONTH(G19)/3,0))*(地价!B2:F2=E2)*(地价!B4:F36)),0)</f>
        <v>729</v>
      </c>
      <c r="N20" s="1558" t="s">
        <v>1224</v>
      </c>
      <c r="O20" s="1559" t="s">
        <v>1225</v>
      </c>
      <c r="P20" s="1560" t="s">
        <v>1226</v>
      </c>
      <c r="Q20" s="1609"/>
      <c r="R20" s="1569"/>
      <c r="S20" s="1569"/>
      <c r="T20" s="1569"/>
      <c r="U20" s="1569"/>
      <c r="V20" s="1569"/>
      <c r="W20" s="1569"/>
      <c r="X20" s="1569"/>
      <c r="Y20" s="1619"/>
      <c r="Z20" s="1619"/>
      <c r="AA20" s="1619"/>
      <c r="AB20" s="1619"/>
      <c r="AC20" s="1619"/>
      <c r="AD20" s="1619"/>
    </row>
    <row r="21" spans="1:40" s="1312" customFormat="1" ht="14.25">
      <c r="A21" s="1411" t="s">
        <v>867</v>
      </c>
      <c r="B21" s="1412" t="s">
        <v>176</v>
      </c>
      <c r="C21" s="1413">
        <f>IF(B21="容积率修正",IF(G3&lt;=10,D22,J22),C23)</f>
        <v>0.86509999999999998</v>
      </c>
      <c r="D21" s="1414"/>
      <c r="E21" s="1414"/>
      <c r="F21" s="1414"/>
      <c r="G21" s="1414"/>
      <c r="H21" s="1414"/>
      <c r="I21" s="1414"/>
      <c r="J21" s="1561"/>
      <c r="K21" s="1523"/>
      <c r="L21" s="1414"/>
      <c r="M21" s="1414"/>
      <c r="N21" s="1562" t="s">
        <v>369</v>
      </c>
      <c r="O21" s="1563"/>
      <c r="P21" s="1564">
        <f>SUMPRODUCT((地价!A3:A36=YEAR(G19)&amp;"-"&amp;ROUNDUP(MONTH(G19)/3,0))*(地价!AD2:AH2=N21)*(地价!AD3:AH36))</f>
        <v>1.0500000000000001E-2</v>
      </c>
      <c r="Q21" s="1609"/>
      <c r="R21" s="1569"/>
      <c r="S21" s="1569"/>
      <c r="T21" s="1569"/>
      <c r="U21" s="1569"/>
      <c r="V21" s="1569"/>
      <c r="W21" s="1569"/>
      <c r="X21" s="1569"/>
      <c r="Y21" s="1317"/>
      <c r="Z21" s="1317"/>
      <c r="AA21" s="1317"/>
      <c r="AB21" s="1317"/>
      <c r="AC21" s="1619"/>
      <c r="AD21" s="1619"/>
    </row>
    <row r="22" spans="1:40" s="1312" customFormat="1" ht="14.25">
      <c r="A22" s="1415" t="s">
        <v>1153</v>
      </c>
      <c r="B22" s="1416" t="s">
        <v>1227</v>
      </c>
      <c r="C22" s="1417" t="s">
        <v>1228</v>
      </c>
      <c r="D22" s="1417">
        <f>IF(E22=G22,F22,IF(G3&lt;=10,ROUND(F22+(H22-F22)*(G3-E22)/(G22-E22),4),"——"))</f>
        <v>0.86509999999999998</v>
      </c>
      <c r="E22" s="1332">
        <f>ROUNDDOWN(G3,1)</f>
        <v>2.5</v>
      </c>
      <c r="F22" s="141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0.86509999999999998</v>
      </c>
      <c r="G22" s="1332">
        <f>ROUNDUP(G3,1)</f>
        <v>2.5</v>
      </c>
      <c r="H22" s="14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0.86509999999999998</v>
      </c>
      <c r="I22" s="1417" t="s">
        <v>1229</v>
      </c>
      <c r="J22" s="1417" t="str">
        <f>IF(G3&gt;10,D113,"——")</f>
        <v>——</v>
      </c>
      <c r="K22" s="1565"/>
      <c r="L22" s="1414"/>
      <c r="M22" s="1414"/>
      <c r="N22" s="1562" t="s">
        <v>370</v>
      </c>
      <c r="O22" s="1563"/>
      <c r="P22" s="1564">
        <f>SUMPRODUCT((地价!A3:A36=YEAR(G19)&amp;"-"&amp;ROUNDUP(MONTH(G19)/3,0))*(地价!AD2:AH2=N22)*(地价!AD3:AH36))</f>
        <v>1.0500000000000001E-2</v>
      </c>
      <c r="Q22" s="1609"/>
      <c r="R22" s="1569"/>
      <c r="S22" s="1569"/>
      <c r="T22" s="1569"/>
      <c r="U22" s="1569"/>
      <c r="V22" s="1569"/>
      <c r="W22" s="1569"/>
      <c r="X22" s="1569"/>
      <c r="Y22" s="1619"/>
      <c r="Z22" s="1619"/>
      <c r="AA22" s="1619"/>
      <c r="AB22" s="1619"/>
      <c r="AC22" s="1619"/>
      <c r="AD22" s="1619"/>
    </row>
    <row r="23" spans="1:40" ht="15.75" thickBot="1">
      <c r="A23" s="1415" t="s">
        <v>1194</v>
      </c>
      <c r="B23" s="1416" t="s">
        <v>1230</v>
      </c>
      <c r="C23" s="1418">
        <f>ROUND(IF(G3&gt;1,IF(I3&lt;7,SUMPRODUCT((B93:B98=I3)*(C92:N92=G2)*(C93:N98)),SUMIF(C92:N92,G2,C100:N100)),IF(I3&lt;7,SUMPRODUCT((B102:B107=I3)*(C92:N92=G2)*(C102:N107)),SUMIF(C92:N92,G2,C109:N109))),4)</f>
        <v>0</v>
      </c>
      <c r="D23" s="1419"/>
      <c r="E23" s="1419"/>
      <c r="F23" s="1420"/>
      <c r="G23" s="1421"/>
      <c r="H23" s="1422"/>
      <c r="I23" s="1566"/>
      <c r="J23" s="1566"/>
      <c r="K23" s="1567"/>
      <c r="L23" s="1323"/>
      <c r="M23" s="1323"/>
      <c r="N23" s="1562" t="s">
        <v>368</v>
      </c>
      <c r="O23" s="1563"/>
      <c r="P23" s="1564">
        <f>SUMPRODUCT((地价!A3:A36=YEAR(G19)&amp;"-"&amp;ROUNDUP(MONTH(G19)/3,0))*(地价!AD2:AH2=N23)*(地价!AD3:AH36))</f>
        <v>1.83E-2</v>
      </c>
      <c r="Q23" s="1609"/>
      <c r="R23" s="1569"/>
      <c r="S23" s="1569"/>
      <c r="T23" s="1569"/>
      <c r="U23" s="1569"/>
      <c r="V23" s="1569"/>
      <c r="W23" s="1569"/>
      <c r="X23" s="1569"/>
      <c r="Y23" s="1317"/>
      <c r="Z23" s="1317"/>
      <c r="AA23" s="1317"/>
      <c r="AB23" s="1317"/>
      <c r="AC23" s="1317"/>
      <c r="AE23" s="1314"/>
      <c r="AF23" s="1314"/>
      <c r="AG23" s="1314"/>
      <c r="AH23" s="1314"/>
      <c r="AI23" s="1314"/>
      <c r="AJ23" s="1316"/>
      <c r="AK23" s="1316"/>
      <c r="AL23" s="1316"/>
      <c r="AM23" s="1316"/>
    </row>
    <row r="24" spans="1:40" s="1312" customFormat="1" ht="15.75" thickBot="1">
      <c r="A24" s="1423" t="s">
        <v>1231</v>
      </c>
      <c r="B24" s="1339" t="s">
        <v>1232</v>
      </c>
      <c r="C24" s="1424">
        <f>SUMIF(A44:A87,E2,B44:B87)</f>
        <v>1.0388999999999999</v>
      </c>
      <c r="D24" s="1425"/>
      <c r="E24" s="1426"/>
      <c r="F24" s="1426"/>
      <c r="G24" s="1426"/>
      <c r="H24" s="1426"/>
      <c r="I24" s="1426"/>
      <c r="J24" s="1426"/>
      <c r="K24" s="1567"/>
      <c r="L24" s="1414"/>
      <c r="M24" s="1414"/>
      <c r="N24" s="1562" t="s">
        <v>164</v>
      </c>
      <c r="O24" s="1568"/>
      <c r="P24" s="1564">
        <f>SUMPRODUCT((地价!A3:A36=YEAR(G19)&amp;"-"&amp;ROUNDUP(MONTH(G19)/3,0))*(地价!AD2:AH2=N24)*(地价!AD3:AH36))</f>
        <v>1.2200000000000001E-2</v>
      </c>
      <c r="Q24" s="1609"/>
      <c r="R24" s="1569"/>
      <c r="S24" s="1569"/>
      <c r="T24" s="1569"/>
      <c r="U24" s="1569"/>
      <c r="V24" s="1569"/>
      <c r="W24" s="1569"/>
      <c r="X24" s="1569"/>
      <c r="Y24" s="1619"/>
      <c r="Z24" s="1619"/>
      <c r="AA24" s="1619"/>
      <c r="AB24" s="1619"/>
      <c r="AC24" s="1619"/>
      <c r="AD24" s="1619"/>
    </row>
    <row r="25" spans="1:40" ht="15" thickBot="1">
      <c r="A25" s="1423" t="s">
        <v>1233</v>
      </c>
      <c r="B25" s="1427" t="s">
        <v>1234</v>
      </c>
      <c r="C25" s="1428"/>
      <c r="D25" s="1355"/>
      <c r="E25" s="1355"/>
      <c r="F25" s="1429"/>
      <c r="G25" s="1355"/>
      <c r="H25" s="1355"/>
      <c r="I25" s="1355"/>
      <c r="J25" s="1528"/>
      <c r="K25" s="1526"/>
      <c r="L25" s="1569"/>
      <c r="M25" s="1569"/>
      <c r="N25" s="1570" t="s">
        <v>965</v>
      </c>
      <c r="O25" s="1571"/>
      <c r="P25" s="1572">
        <f>SUMPRODUCT((地价!A3:A36=YEAR(G19)&amp;"-"&amp;ROUNDUP(MONTH(G19)/3,0))*(地价!AD2:AH2=N25)*(地价!AD3:AH36))</f>
        <v>1.66E-2</v>
      </c>
      <c r="Q25" s="1609"/>
      <c r="R25" s="1569"/>
      <c r="S25" s="1569"/>
      <c r="T25" s="1569"/>
      <c r="U25" s="1569"/>
      <c r="V25" s="1569"/>
      <c r="W25" s="1569"/>
      <c r="X25" s="1569"/>
      <c r="Y25" s="1317"/>
      <c r="Z25" s="1317"/>
      <c r="AA25" s="1317"/>
      <c r="AB25" s="1317"/>
      <c r="AC25" s="1317"/>
      <c r="AE25" s="1314"/>
      <c r="AF25" s="1314"/>
      <c r="AG25" s="1314"/>
      <c r="AH25" s="1314"/>
      <c r="AI25" s="1316"/>
      <c r="AJ25" s="1316"/>
      <c r="AK25" s="1316"/>
      <c r="AL25" s="1316"/>
      <c r="AM25" s="1316"/>
    </row>
    <row r="26" spans="1:40" ht="14.25">
      <c r="A26" s="1430"/>
      <c r="B26" s="1416" t="s">
        <v>1235</v>
      </c>
      <c r="C26" s="1431">
        <f ca="1">IF(B21="容积率修正",E29+SUM(E33:E39),SUM(V2:V16)+SUM(E33:E39))</f>
        <v>39510</v>
      </c>
      <c r="D26" s="1432"/>
      <c r="E26" s="1381"/>
      <c r="F26" s="1433"/>
      <c r="G26" s="1381"/>
      <c r="H26" s="1381"/>
      <c r="I26" s="1381"/>
      <c r="J26" s="1573"/>
      <c r="K26" s="1526"/>
      <c r="L26" s="1574" t="s">
        <v>345</v>
      </c>
      <c r="M26" s="1352" t="s">
        <v>369</v>
      </c>
      <c r="N26" s="1352" t="s">
        <v>370</v>
      </c>
      <c r="O26" s="1352" t="s">
        <v>368</v>
      </c>
      <c r="P26" s="1575" t="s">
        <v>164</v>
      </c>
      <c r="Q26" s="1609"/>
      <c r="R26" s="1569"/>
      <c r="S26" s="1569"/>
      <c r="T26" s="1569"/>
      <c r="U26" s="1569"/>
      <c r="V26" s="1569"/>
      <c r="W26" s="1569"/>
      <c r="X26" s="1569"/>
      <c r="Y26" s="1619"/>
      <c r="Z26" s="1619"/>
      <c r="AA26" s="1619"/>
      <c r="AB26" s="1619"/>
      <c r="AC26" s="1317"/>
      <c r="AE26" s="1314"/>
      <c r="AF26" s="1314"/>
      <c r="AG26" s="1314"/>
      <c r="AH26" s="1314"/>
      <c r="AI26" s="1316"/>
      <c r="AJ26" s="1316"/>
      <c r="AK26" s="1316"/>
      <c r="AL26" s="1316"/>
      <c r="AM26" s="1316"/>
    </row>
    <row r="27" spans="1:40" ht="15" thickBot="1">
      <c r="A27" s="1430"/>
      <c r="B27" s="1434" t="s">
        <v>1236</v>
      </c>
      <c r="C27" s="1435">
        <f ca="1">E30+SUM(I33:I39)</f>
        <v>0</v>
      </c>
      <c r="D27" s="1436"/>
      <c r="E27" s="1437"/>
      <c r="F27" s="1438"/>
      <c r="G27" s="1437"/>
      <c r="H27" s="1437"/>
      <c r="I27" s="1437"/>
      <c r="J27" s="1576"/>
      <c r="K27" s="1526"/>
      <c r="L27" s="1577" t="s">
        <v>1237</v>
      </c>
      <c r="M27" s="1361">
        <v>0.25</v>
      </c>
      <c r="N27" s="1361">
        <v>0.2</v>
      </c>
      <c r="O27" s="1361">
        <v>0.15</v>
      </c>
      <c r="P27" s="1578">
        <v>0.1</v>
      </c>
      <c r="Q27" s="1569"/>
      <c r="R27" s="1609"/>
      <c r="S27" s="1609"/>
      <c r="T27" s="1609"/>
      <c r="U27" s="1609"/>
      <c r="V27" s="1609"/>
      <c r="W27" s="1569"/>
      <c r="X27" s="1569"/>
      <c r="Y27" s="1569"/>
      <c r="Z27" s="1569"/>
      <c r="AA27" s="1569"/>
      <c r="AB27" s="1569"/>
      <c r="AC27" s="1569"/>
    </row>
    <row r="28" spans="1:40" ht="15" thickBot="1">
      <c r="A28" s="1439"/>
      <c r="B28" s="1440" t="s">
        <v>1238</v>
      </c>
      <c r="C28" s="1441" t="s">
        <v>1239</v>
      </c>
      <c r="D28" s="1441" t="s">
        <v>380</v>
      </c>
      <c r="E28" s="1442" t="s">
        <v>602</v>
      </c>
      <c r="F28" s="1443"/>
      <c r="G28" s="1370"/>
      <c r="H28" s="1370"/>
      <c r="I28" s="1370"/>
      <c r="J28" s="1531"/>
      <c r="K28" s="1526"/>
      <c r="L28" s="1579" t="s">
        <v>1221</v>
      </c>
      <c r="M28" s="1580">
        <f ca="1">ROUND($E$20*(1+M27),3)</f>
        <v>5.3999999999999999E-2</v>
      </c>
      <c r="N28" s="1580">
        <f ca="1">ROUND($E$20*(1+N27),3)</f>
        <v>5.1999999999999998E-2</v>
      </c>
      <c r="O28" s="1580">
        <f ca="1">ROUND($E$20*(1+O27),3)</f>
        <v>0.05</v>
      </c>
      <c r="P28" s="1581">
        <f ca="1">ROUND($E$20*(1+P27),3)</f>
        <v>4.8000000000000001E-2</v>
      </c>
      <c r="Q28" s="1569"/>
      <c r="R28" s="1609"/>
      <c r="S28" s="1609"/>
      <c r="T28" s="1609"/>
      <c r="U28" s="1609"/>
      <c r="V28" s="1609"/>
      <c r="W28" s="1569"/>
      <c r="X28" s="1569"/>
      <c r="Y28" s="1569"/>
      <c r="Z28" s="1569"/>
      <c r="AA28" s="1569"/>
      <c r="AB28" s="1569"/>
      <c r="AC28" s="1569"/>
      <c r="AD28" s="1619"/>
      <c r="AE28" s="1619"/>
      <c r="AF28" s="1619"/>
      <c r="AG28" s="1619"/>
    </row>
    <row r="29" spans="1:40" ht="14.25">
      <c r="A29" s="1444"/>
      <c r="B29" s="1445" t="s">
        <v>1240</v>
      </c>
      <c r="C29" s="1446">
        <f ca="1">ROUND(C5*C18*C19*C20*C21*C24,0)</f>
        <v>6222</v>
      </c>
      <c r="D29" s="1447">
        <f>'数据-汇总表'!F19</f>
        <v>63500</v>
      </c>
      <c r="E29" s="1448">
        <f ca="1">ROUND(C29*D29/10000,0)</f>
        <v>39510</v>
      </c>
      <c r="F29" s="1449" t="s">
        <v>1241</v>
      </c>
      <c r="G29" s="1450"/>
      <c r="H29" s="1450"/>
      <c r="I29" s="1450"/>
      <c r="J29" s="1582"/>
      <c r="K29" s="1583"/>
      <c r="L29" s="1583"/>
      <c r="M29" s="1583"/>
      <c r="N29" s="1583"/>
      <c r="O29" s="1583"/>
      <c r="P29" s="1509"/>
      <c r="Q29" s="1569"/>
      <c r="R29" s="1569"/>
      <c r="S29" s="1569"/>
      <c r="T29" s="1569"/>
      <c r="U29" s="1569"/>
      <c r="V29" s="1569"/>
      <c r="W29" s="1609"/>
      <c r="X29" s="1609"/>
      <c r="Y29" s="1609"/>
      <c r="Z29" s="1609"/>
      <c r="AA29" s="1609"/>
      <c r="AB29" s="1569"/>
      <c r="AC29" s="1569"/>
      <c r="AD29" s="1569"/>
      <c r="AE29" s="1569"/>
      <c r="AF29" s="1569"/>
      <c r="AG29" s="1569"/>
      <c r="AH29" s="1569"/>
      <c r="AJ29" s="1317"/>
      <c r="AK29" s="1317"/>
      <c r="AL29" s="1317"/>
      <c r="AM29" s="1313"/>
      <c r="AN29" s="1313"/>
    </row>
    <row r="30" spans="1:40" ht="24.75" thickBot="1">
      <c r="A30" s="1451"/>
      <c r="B30" s="1452" t="s">
        <v>1242</v>
      </c>
      <c r="C30" s="1391">
        <f ca="1">ROUND(IF(E2="工业",C29*M39,C29*M38),0)</f>
        <v>1556</v>
      </c>
      <c r="D30" s="1453"/>
      <c r="E30" s="1448">
        <f ca="1">ROUND(C30*D30/10000,0)</f>
        <v>0</v>
      </c>
      <c r="F30" s="1454" t="s">
        <v>1243</v>
      </c>
      <c r="G30" s="1455"/>
      <c r="H30" s="1455"/>
      <c r="I30" s="1455"/>
      <c r="J30" s="1584"/>
      <c r="K30" s="1526"/>
      <c r="L30" s="1526"/>
      <c r="M30" s="1526"/>
      <c r="N30" s="1526"/>
      <c r="O30" s="1526"/>
      <c r="P30" s="1509"/>
      <c r="Q30" s="1509"/>
      <c r="R30" s="1509"/>
      <c r="S30" s="1509"/>
      <c r="T30" s="1509"/>
      <c r="U30" s="1509"/>
      <c r="V30" s="1509"/>
      <c r="W30" s="1610"/>
      <c r="X30" s="1610"/>
      <c r="Y30" s="1610"/>
      <c r="Z30" s="1610"/>
      <c r="AA30" s="1610"/>
      <c r="AB30" s="1509"/>
      <c r="AC30" s="1509"/>
      <c r="AD30" s="1509"/>
      <c r="AE30" s="1509"/>
      <c r="AF30" s="1509"/>
      <c r="AG30" s="1509"/>
      <c r="AH30" s="1509"/>
      <c r="AI30" s="1619"/>
      <c r="AJ30" s="1619"/>
      <c r="AK30" s="1619"/>
      <c r="AL30" s="1619"/>
      <c r="AM30" s="1313"/>
      <c r="AN30" s="1313"/>
    </row>
    <row r="31" spans="1:40">
      <c r="A31" s="1456"/>
      <c r="B31" s="1457" t="s">
        <v>1244</v>
      </c>
      <c r="C31" s="1458" t="s">
        <v>1245</v>
      </c>
      <c r="D31" s="1370"/>
      <c r="E31" s="1458"/>
      <c r="F31" s="1458"/>
      <c r="G31" s="1368" t="s">
        <v>1243</v>
      </c>
      <c r="H31" s="1370"/>
      <c r="I31" s="1585"/>
      <c r="J31" s="1531"/>
      <c r="K31" s="1526"/>
      <c r="L31" s="1526"/>
      <c r="M31" s="1526"/>
      <c r="N31" s="1526"/>
      <c r="O31" s="1526"/>
      <c r="P31" s="1509"/>
      <c r="Q31" s="1509"/>
      <c r="R31" s="1509"/>
      <c r="S31" s="1509"/>
      <c r="T31" s="1509"/>
      <c r="U31" s="1509"/>
      <c r="V31" s="1509"/>
      <c r="W31" s="1610"/>
      <c r="X31" s="1610"/>
      <c r="Y31" s="1610"/>
      <c r="Z31" s="1610"/>
      <c r="AA31" s="1610"/>
      <c r="AB31" s="1509"/>
      <c r="AC31" s="1509"/>
      <c r="AD31" s="1509"/>
      <c r="AE31" s="1509"/>
      <c r="AF31" s="1509"/>
      <c r="AG31" s="1509"/>
      <c r="AH31" s="1509"/>
      <c r="AJ31" s="1317"/>
      <c r="AK31" s="1317"/>
      <c r="AL31" s="1317"/>
      <c r="AM31" s="1313"/>
      <c r="AN31" s="1313"/>
    </row>
    <row r="32" spans="1:40" ht="24">
      <c r="A32" s="1444"/>
      <c r="B32" s="1459"/>
      <c r="C32" s="1460" t="s">
        <v>1239</v>
      </c>
      <c r="D32" s="1461" t="s">
        <v>380</v>
      </c>
      <c r="E32" s="1461" t="s">
        <v>602</v>
      </c>
      <c r="F32" s="1321" t="s">
        <v>1246</v>
      </c>
      <c r="G32" s="1462" t="s">
        <v>1239</v>
      </c>
      <c r="H32" s="1462" t="s">
        <v>380</v>
      </c>
      <c r="I32" s="1462" t="s">
        <v>602</v>
      </c>
      <c r="J32" s="1586"/>
      <c r="K32" s="1587"/>
      <c r="L32" s="1587"/>
      <c r="M32" s="1587"/>
      <c r="N32" s="1587"/>
      <c r="O32" s="1587"/>
      <c r="P32" s="1509"/>
      <c r="Q32" s="1509"/>
      <c r="R32" s="1509"/>
      <c r="S32" s="1509"/>
      <c r="T32" s="1509"/>
      <c r="U32" s="1509"/>
      <c r="V32" s="1509"/>
      <c r="W32" s="1610"/>
      <c r="X32" s="1610"/>
      <c r="Y32" s="1610"/>
      <c r="Z32" s="1610"/>
      <c r="AA32" s="1610"/>
      <c r="AB32" s="1509"/>
      <c r="AC32" s="1509"/>
      <c r="AD32" s="1509"/>
      <c r="AE32" s="1509"/>
      <c r="AF32" s="1509"/>
      <c r="AG32" s="1509"/>
      <c r="AH32" s="1509"/>
      <c r="AI32" s="1313"/>
      <c r="AJ32" s="1313"/>
      <c r="AK32" s="1313"/>
      <c r="AL32" s="1313"/>
      <c r="AM32" s="1313"/>
      <c r="AN32" s="1313"/>
    </row>
    <row r="33" spans="1:44" ht="12.75">
      <c r="A33" s="3803"/>
      <c r="B33" s="1463" t="s">
        <v>1247</v>
      </c>
      <c r="C33" s="1446">
        <f ca="1">ROUND(D5*C19*C20*C24*F33,0)</f>
        <v>4315</v>
      </c>
      <c r="D33" s="1464"/>
      <c r="E33" s="1362">
        <f ca="1">ROUND(C33*D33/10000,0)</f>
        <v>0</v>
      </c>
      <c r="F33" s="1362">
        <f>SUMIF(修正!A45:A56,G2,修正!B45:B56)</f>
        <v>0.6</v>
      </c>
      <c r="G33" s="1362">
        <f t="shared" ref="G33" ca="1" si="6">ROUND(IF(E2="工业",C33*$M$39,C33*$M$38),0)</f>
        <v>1079</v>
      </c>
      <c r="H33" s="1362">
        <f>D33</f>
        <v>0</v>
      </c>
      <c r="I33" s="1362">
        <f ca="1">ROUND(G33*H33/10000,0)</f>
        <v>0</v>
      </c>
      <c r="J33" s="3803" t="s">
        <v>1248</v>
      </c>
      <c r="K33" s="1537"/>
      <c r="L33" s="1537"/>
      <c r="M33" s="1537"/>
      <c r="N33" s="1537"/>
      <c r="O33" s="1537"/>
      <c r="P33" s="1509"/>
      <c r="Q33" s="1509"/>
      <c r="R33" s="1509"/>
      <c r="S33" s="1509"/>
      <c r="T33" s="1509"/>
      <c r="U33" s="1509"/>
      <c r="V33" s="1509"/>
      <c r="W33" s="1610"/>
      <c r="X33" s="1610"/>
      <c r="Y33" s="1610"/>
      <c r="Z33" s="1610"/>
      <c r="AA33" s="1610"/>
      <c r="AB33" s="1509"/>
      <c r="AC33" s="1509"/>
      <c r="AD33" s="1509"/>
      <c r="AE33" s="1509"/>
      <c r="AF33" s="1509"/>
      <c r="AG33" s="1509"/>
      <c r="AH33" s="1610"/>
      <c r="AJ33" s="1317"/>
      <c r="AK33" s="1317"/>
      <c r="AL33" s="1317"/>
      <c r="AM33" s="1317"/>
      <c r="AN33" s="1317"/>
      <c r="AO33" s="1314"/>
      <c r="AP33" s="1314"/>
      <c r="AQ33" s="1314"/>
      <c r="AR33" s="1314"/>
    </row>
    <row r="34" spans="1:44" ht="12.75">
      <c r="A34" s="3804"/>
      <c r="B34" s="1372" t="s">
        <v>1249</v>
      </c>
      <c r="C34" s="1446">
        <f ca="1">ROUND(D5*C19*C20*C24*F34,0)</f>
        <v>2158</v>
      </c>
      <c r="D34" s="1464"/>
      <c r="E34" s="1362">
        <f t="shared" ref="E34:E39" ca="1" si="7">ROUND(C34*D34/10000,0)</f>
        <v>0</v>
      </c>
      <c r="F34" s="1362">
        <f>SUMIF(修正!A45:A56,G2,修正!C45:C56)</f>
        <v>0.3</v>
      </c>
      <c r="G34" s="1362">
        <f ca="1">ROUND(IF(E2="工业",C34*$M$39,C34*$M$38),0)</f>
        <v>540</v>
      </c>
      <c r="H34" s="1362">
        <f t="shared" ref="H34:H39" si="8">D34</f>
        <v>0</v>
      </c>
      <c r="I34" s="1362">
        <f t="shared" ref="I34:I39" ca="1" si="9">ROUND(G34*H34/10000,0)</f>
        <v>0</v>
      </c>
      <c r="J34" s="3804"/>
      <c r="K34" s="1537"/>
      <c r="L34" s="1537"/>
      <c r="M34" s="1537"/>
      <c r="N34" s="1537"/>
      <c r="O34" s="1537"/>
      <c r="P34" s="1509"/>
      <c r="Q34" s="1509"/>
      <c r="R34" s="1509"/>
      <c r="S34" s="1509"/>
      <c r="T34" s="1509"/>
      <c r="U34" s="1509"/>
      <c r="V34" s="1509"/>
      <c r="W34" s="1610"/>
      <c r="X34" s="1610"/>
      <c r="Y34" s="1610"/>
      <c r="Z34" s="1610"/>
      <c r="AA34" s="1610"/>
      <c r="AB34" s="1509"/>
      <c r="AC34" s="1509"/>
      <c r="AD34" s="1509"/>
      <c r="AE34" s="1509"/>
      <c r="AF34" s="1509"/>
      <c r="AG34" s="1509"/>
      <c r="AH34" s="1610"/>
      <c r="AJ34" s="1317"/>
      <c r="AK34" s="1317"/>
      <c r="AL34" s="1317"/>
      <c r="AM34" s="1317"/>
      <c r="AN34" s="1317"/>
      <c r="AO34" s="1314"/>
      <c r="AP34" s="1314"/>
      <c r="AQ34" s="1314"/>
      <c r="AR34" s="1314"/>
    </row>
    <row r="35" spans="1:44" ht="12.75">
      <c r="A35" s="3804"/>
      <c r="B35" s="1372" t="s">
        <v>1250</v>
      </c>
      <c r="C35" s="1446">
        <f ca="1">ROUND(D5*C19*C20*C24*F35,0)</f>
        <v>1438</v>
      </c>
      <c r="D35" s="1464"/>
      <c r="E35" s="1362">
        <f t="shared" ca="1" si="7"/>
        <v>0</v>
      </c>
      <c r="F35" s="1362">
        <f>SUMIF(修正!A45:A56,G2,修正!D45:D56)</f>
        <v>0.2</v>
      </c>
      <c r="G35" s="1362">
        <f ca="1">ROUND(IF(E2="工业",C35*$M$39,C35*$M$38),0)</f>
        <v>360</v>
      </c>
      <c r="H35" s="1362">
        <f t="shared" si="8"/>
        <v>0</v>
      </c>
      <c r="I35" s="1362">
        <f t="shared" ca="1" si="9"/>
        <v>0</v>
      </c>
      <c r="J35" s="3804"/>
      <c r="K35" s="1537"/>
      <c r="L35" s="1537"/>
      <c r="M35" s="1537"/>
      <c r="N35" s="1537"/>
      <c r="O35" s="1537"/>
      <c r="P35" s="1509"/>
      <c r="Q35" s="1509"/>
      <c r="R35" s="1509"/>
      <c r="S35" s="1509"/>
      <c r="T35" s="1509"/>
      <c r="U35" s="1509"/>
      <c r="V35" s="1509"/>
      <c r="W35" s="1610"/>
      <c r="X35" s="1610"/>
      <c r="Y35" s="1610"/>
      <c r="Z35" s="1610"/>
      <c r="AA35" s="1610"/>
      <c r="AB35" s="1509"/>
      <c r="AC35" s="1509"/>
      <c r="AD35" s="1509"/>
      <c r="AE35" s="1509"/>
      <c r="AF35" s="1509"/>
      <c r="AG35" s="1509"/>
      <c r="AH35" s="1610"/>
      <c r="AJ35" s="1317"/>
      <c r="AK35" s="1317"/>
      <c r="AL35" s="1317"/>
      <c r="AM35" s="1317"/>
      <c r="AN35" s="1317"/>
      <c r="AO35" s="1314"/>
      <c r="AP35" s="1314"/>
      <c r="AQ35" s="1314"/>
      <c r="AR35" s="1314"/>
    </row>
    <row r="36" spans="1:44" ht="13.5" thickBot="1">
      <c r="A36" s="3805"/>
      <c r="B36" s="1372" t="s">
        <v>1251</v>
      </c>
      <c r="C36" s="1446">
        <f ca="1">ROUND(D5*C19*C20*C24*F36,0)</f>
        <v>1438</v>
      </c>
      <c r="D36" s="1464"/>
      <c r="E36" s="1362">
        <f t="shared" ca="1" si="7"/>
        <v>0</v>
      </c>
      <c r="F36" s="1362">
        <f>SUMIF(修正!A45:A56,G2,修正!E45:E56)</f>
        <v>0.2</v>
      </c>
      <c r="G36" s="1362">
        <f ca="1">ROUND(IF(E2="工业",C36*$M$39,C36*$M$38),0)</f>
        <v>360</v>
      </c>
      <c r="H36" s="1362">
        <f t="shared" si="8"/>
        <v>0</v>
      </c>
      <c r="I36" s="1362">
        <f t="shared" ca="1" si="9"/>
        <v>0</v>
      </c>
      <c r="J36" s="3805"/>
      <c r="K36" s="1537"/>
      <c r="L36" s="1537"/>
      <c r="M36" s="1537"/>
      <c r="N36" s="1537"/>
      <c r="O36" s="1537"/>
      <c r="P36" s="1509"/>
      <c r="Q36" s="1509"/>
      <c r="R36" s="1509"/>
      <c r="S36" s="1509"/>
      <c r="T36" s="1509"/>
      <c r="U36" s="1509"/>
      <c r="V36" s="1509"/>
      <c r="W36" s="1610"/>
      <c r="X36" s="1610"/>
      <c r="Y36" s="1610"/>
      <c r="Z36" s="1610"/>
      <c r="AA36" s="1610"/>
      <c r="AB36" s="1509"/>
      <c r="AC36" s="1509"/>
      <c r="AD36" s="1509"/>
      <c r="AE36" s="1509"/>
      <c r="AF36" s="1509"/>
      <c r="AG36" s="1509"/>
      <c r="AH36" s="1610"/>
      <c r="AJ36" s="1317"/>
      <c r="AK36" s="1317"/>
      <c r="AL36" s="1317"/>
      <c r="AM36" s="1317"/>
      <c r="AN36" s="1317"/>
      <c r="AO36" s="1314"/>
      <c r="AP36" s="1314"/>
      <c r="AQ36" s="1314"/>
      <c r="AR36" s="1314"/>
    </row>
    <row r="37" spans="1:44" ht="12.75">
      <c r="A37" s="1465"/>
      <c r="B37" s="1372" t="s">
        <v>1252</v>
      </c>
      <c r="C37" s="1362">
        <f ca="1">ROUND(D5*C19*C20*C24*F37,0)</f>
        <v>1438</v>
      </c>
      <c r="D37" s="1464"/>
      <c r="E37" s="1362">
        <f t="shared" ca="1" si="7"/>
        <v>0</v>
      </c>
      <c r="F37" s="1446">
        <f>SUMIF(修正!A45:A56,G2,修正!F45:F56)</f>
        <v>0.2</v>
      </c>
      <c r="G37" s="1362">
        <f ca="1">ROUND(IF(E2="工业",C37*$M$39,C37*$M$38),0)</f>
        <v>360</v>
      </c>
      <c r="H37" s="1362">
        <f t="shared" si="8"/>
        <v>0</v>
      </c>
      <c r="I37" s="1362">
        <f t="shared" ca="1" si="9"/>
        <v>0</v>
      </c>
      <c r="J37" s="1588"/>
      <c r="K37" s="1509"/>
      <c r="L37" s="1589" t="s">
        <v>1253</v>
      </c>
      <c r="M37" s="1590"/>
      <c r="N37" s="1509"/>
      <c r="O37" s="1509"/>
      <c r="P37" s="1509"/>
      <c r="Q37" s="1509"/>
      <c r="R37" s="1610"/>
      <c r="S37" s="1610"/>
      <c r="T37" s="1610"/>
      <c r="U37" s="1610"/>
      <c r="V37" s="1610"/>
      <c r="W37" s="1509"/>
      <c r="X37" s="1509"/>
      <c r="Y37" s="1509"/>
      <c r="Z37" s="1509"/>
      <c r="AA37" s="1509"/>
      <c r="AB37" s="1509"/>
      <c r="AC37" s="1610"/>
    </row>
    <row r="38" spans="1:44" ht="12.75">
      <c r="A38" s="1465"/>
      <c r="B38" s="1372" t="s">
        <v>1254</v>
      </c>
      <c r="C38" s="1362">
        <f ca="1">ROUND(D5*C19*C41*C24*F38,0)</f>
        <v>0</v>
      </c>
      <c r="D38" s="1464"/>
      <c r="E38" s="1362">
        <f t="shared" ca="1" si="7"/>
        <v>0</v>
      </c>
      <c r="F38" s="1446">
        <f>SUMIF(修正!A45:A56,G2,修正!G45:G56)</f>
        <v>0.2</v>
      </c>
      <c r="G38" s="1362">
        <f ca="1">ROUND(IF(E2="工业",C38*$M$39,C38*$M$38),0)</f>
        <v>0</v>
      </c>
      <c r="H38" s="1362">
        <f t="shared" si="8"/>
        <v>0</v>
      </c>
      <c r="I38" s="1362">
        <f t="shared" ca="1" si="9"/>
        <v>0</v>
      </c>
      <c r="J38" s="1588"/>
      <c r="K38" s="1509"/>
      <c r="L38" s="1591" t="s">
        <v>1255</v>
      </c>
      <c r="M38" s="1592">
        <v>0.25</v>
      </c>
      <c r="N38" s="1509"/>
      <c r="O38" s="1509"/>
      <c r="P38" s="1509"/>
      <c r="Q38" s="1509"/>
      <c r="R38" s="1610"/>
      <c r="S38" s="1610"/>
      <c r="T38" s="1610"/>
      <c r="U38" s="1610"/>
      <c r="V38" s="1610"/>
      <c r="W38" s="1509"/>
      <c r="X38" s="1509"/>
      <c r="Y38" s="1509"/>
      <c r="Z38" s="1509"/>
      <c r="AA38" s="1509"/>
      <c r="AB38" s="1509"/>
      <c r="AC38" s="1610"/>
    </row>
    <row r="39" spans="1:44" ht="13.5" thickBot="1">
      <c r="A39" s="1451"/>
      <c r="B39" s="1466" t="s">
        <v>485</v>
      </c>
      <c r="C39" s="1391">
        <f ca="1">ROUND(D5*C19*C41*C24*F39,0)</f>
        <v>0</v>
      </c>
      <c r="D39" s="1467"/>
      <c r="E39" s="1391">
        <f t="shared" ca="1" si="7"/>
        <v>0</v>
      </c>
      <c r="F39" s="1468">
        <f>SUMIF(修正!A45:A56,G2,修正!H45:H56)</f>
        <v>0.15</v>
      </c>
      <c r="G39" s="1391">
        <f ca="1">ROUND(IF(E2="工业",C39*$M$39,C39*$M$38),0)</f>
        <v>0</v>
      </c>
      <c r="H39" s="1391">
        <f t="shared" si="8"/>
        <v>0</v>
      </c>
      <c r="I39" s="1391">
        <f t="shared" ca="1" si="9"/>
        <v>0</v>
      </c>
      <c r="J39" s="1593"/>
      <c r="K39" s="1509"/>
      <c r="L39" s="1594" t="s">
        <v>1256</v>
      </c>
      <c r="M39" s="1595">
        <v>0.15</v>
      </c>
      <c r="N39" s="1509"/>
      <c r="O39" s="1509"/>
      <c r="P39" s="1509"/>
      <c r="Q39" s="1509"/>
      <c r="R39" s="1610"/>
      <c r="S39" s="1610"/>
      <c r="T39" s="1610"/>
      <c r="U39" s="1610"/>
      <c r="V39" s="1610"/>
      <c r="W39" s="1509"/>
      <c r="X39" s="1509"/>
      <c r="Y39" s="1509"/>
      <c r="Z39" s="1509"/>
      <c r="AA39" s="1509"/>
      <c r="AB39" s="1509"/>
      <c r="AC39" s="1610"/>
    </row>
    <row r="40" spans="1:44" s="1313" customFormat="1">
      <c r="B40" s="1469"/>
      <c r="C40" s="1469"/>
      <c r="D40" s="1469"/>
      <c r="E40" s="1469"/>
      <c r="F40" s="1469"/>
      <c r="G40" s="1469"/>
      <c r="H40" s="1469"/>
      <c r="I40" s="1469"/>
      <c r="J40" s="1469"/>
      <c r="K40" s="1469"/>
      <c r="L40" s="1469"/>
      <c r="M40" s="1469"/>
      <c r="N40" s="1469"/>
      <c r="O40" s="1469"/>
      <c r="P40" s="1469"/>
      <c r="Q40" s="1469"/>
      <c r="R40" s="1611"/>
      <c r="S40" s="1611"/>
      <c r="T40" s="1611"/>
      <c r="U40" s="1611"/>
      <c r="V40" s="1611"/>
      <c r="W40" s="1469"/>
      <c r="X40" s="1469"/>
      <c r="Y40" s="1469"/>
      <c r="Z40" s="1469"/>
      <c r="AA40" s="1469"/>
      <c r="AB40" s="1469"/>
      <c r="AC40" s="1611"/>
      <c r="AD40" s="1317"/>
      <c r="AE40" s="1317"/>
      <c r="AF40" s="1317"/>
      <c r="AG40" s="1317"/>
      <c r="AH40" s="1317"/>
      <c r="AI40" s="1317"/>
      <c r="AJ40" s="1317"/>
      <c r="AK40" s="1317"/>
      <c r="AL40" s="1317"/>
      <c r="AM40" s="1317"/>
    </row>
    <row r="41" spans="1:44" s="1313" customFormat="1" ht="12.75">
      <c r="A41" s="1317"/>
      <c r="B41" s="1470" t="s">
        <v>1257</v>
      </c>
      <c r="C41" s="904">
        <f ca="1">ROUND(POWER(1+E41,H41-G41)*(POWER(1+E41,G41)-1)/(POWER(1+E41,H41)-1),4)</f>
        <v>0</v>
      </c>
      <c r="D41" s="1471" t="s">
        <v>1258</v>
      </c>
      <c r="E41" s="1472">
        <f ca="1">G20</f>
        <v>0.05</v>
      </c>
      <c r="F41" s="1471" t="s">
        <v>1259</v>
      </c>
      <c r="G41" s="1473"/>
      <c r="H41" s="1471">
        <v>50</v>
      </c>
      <c r="I41" s="1469"/>
      <c r="J41" s="1469"/>
      <c r="K41" s="1469"/>
      <c r="L41" s="1469"/>
      <c r="M41" s="1469"/>
      <c r="N41" s="1469"/>
      <c r="O41" s="1469"/>
      <c r="P41" s="1469"/>
      <c r="Q41" s="1469"/>
      <c r="R41" s="1611"/>
      <c r="S41" s="1611"/>
      <c r="T41" s="1611"/>
      <c r="U41" s="1611"/>
      <c r="V41" s="1611"/>
      <c r="W41" s="1469"/>
      <c r="X41" s="1469"/>
      <c r="Y41" s="1469"/>
      <c r="Z41" s="1469"/>
      <c r="AA41" s="1469"/>
      <c r="AB41" s="1469"/>
      <c r="AC41" s="1611"/>
      <c r="AD41" s="1317"/>
      <c r="AE41" s="1317"/>
      <c r="AF41" s="1317"/>
      <c r="AG41" s="1317"/>
      <c r="AH41" s="1317"/>
      <c r="AI41" s="1317"/>
      <c r="AJ41" s="1317"/>
      <c r="AK41" s="1317"/>
      <c r="AL41" s="1317"/>
      <c r="AM41" s="1317"/>
    </row>
    <row r="42" spans="1:44" s="1313" customFormat="1">
      <c r="A42" s="1317"/>
      <c r="B42" s="1474"/>
      <c r="C42" s="1469"/>
      <c r="D42" s="1469"/>
      <c r="E42" s="1469"/>
      <c r="F42" s="1469"/>
      <c r="G42" s="1469"/>
      <c r="H42" s="1469"/>
      <c r="I42" s="1469"/>
      <c r="J42" s="1469"/>
      <c r="K42" s="1469"/>
      <c r="L42" s="1469"/>
      <c r="M42" s="1469"/>
      <c r="N42" s="1469"/>
      <c r="O42" s="1469"/>
      <c r="P42" s="1469"/>
      <c r="Q42" s="1469"/>
      <c r="R42" s="1611"/>
      <c r="S42" s="1611"/>
      <c r="T42" s="1611"/>
      <c r="U42" s="1611"/>
      <c r="V42" s="1611"/>
      <c r="W42" s="1469"/>
      <c r="X42" s="1469"/>
      <c r="Y42" s="1469"/>
      <c r="Z42" s="1469"/>
      <c r="AA42" s="1469"/>
      <c r="AB42" s="1469"/>
      <c r="AC42" s="1611"/>
      <c r="AD42" s="1317"/>
      <c r="AE42" s="1317"/>
      <c r="AF42" s="1317"/>
      <c r="AG42" s="1317"/>
      <c r="AH42" s="1317"/>
      <c r="AI42" s="1317"/>
      <c r="AJ42" s="1317"/>
      <c r="AK42" s="1317"/>
      <c r="AL42" s="1317"/>
      <c r="AM42" s="1317"/>
    </row>
    <row r="43" spans="1:44" s="1313" customFormat="1">
      <c r="A43" s="1317"/>
      <c r="B43" s="1474"/>
      <c r="C43" s="1469"/>
      <c r="D43" s="1469"/>
      <c r="E43" s="1469"/>
      <c r="F43" s="1469"/>
      <c r="G43" s="1469"/>
      <c r="H43" s="1469"/>
      <c r="I43" s="1469"/>
      <c r="J43" s="1469"/>
      <c r="K43" s="1469"/>
      <c r="L43" s="1469"/>
      <c r="M43" s="1469"/>
      <c r="N43" s="1469"/>
      <c r="O43" s="1469"/>
      <c r="P43" s="1469"/>
      <c r="Q43" s="1469"/>
      <c r="R43" s="1611"/>
      <c r="S43" s="1611"/>
      <c r="T43" s="1611"/>
      <c r="U43" s="1611"/>
      <c r="V43" s="1611"/>
      <c r="W43" s="1469"/>
      <c r="X43" s="1469"/>
      <c r="Y43" s="1469"/>
      <c r="Z43" s="1469"/>
      <c r="AA43" s="1469"/>
      <c r="AB43" s="1469"/>
      <c r="AC43" s="1611"/>
      <c r="AD43" s="1317"/>
      <c r="AE43" s="1317"/>
      <c r="AF43" s="1317"/>
      <c r="AG43" s="1317"/>
      <c r="AH43" s="1317"/>
      <c r="AI43" s="1317"/>
      <c r="AJ43" s="1317"/>
      <c r="AK43" s="1317"/>
      <c r="AL43" s="1317"/>
      <c r="AM43" s="1317"/>
    </row>
    <row r="44" spans="1:44" s="1313" customFormat="1" ht="15" thickBot="1">
      <c r="A44" s="1475" t="s">
        <v>1260</v>
      </c>
      <c r="B44" s="1476"/>
      <c r="C44" s="1477"/>
      <c r="D44" s="1478"/>
      <c r="E44" s="1478"/>
      <c r="F44" s="1479"/>
      <c r="G44" s="1233"/>
      <c r="H44" s="1479"/>
      <c r="I44" s="1233"/>
      <c r="J44" s="1233"/>
      <c r="K44" s="1233"/>
      <c r="L44" s="1233"/>
      <c r="M44" s="1233"/>
      <c r="O44" s="1469"/>
      <c r="P44" s="1469"/>
      <c r="Q44" s="1469"/>
      <c r="R44" s="1611"/>
      <c r="S44" s="1611"/>
      <c r="T44" s="1611"/>
      <c r="U44" s="1611"/>
      <c r="V44" s="1611"/>
      <c r="W44" s="1469"/>
      <c r="X44" s="1469"/>
      <c r="Y44" s="1469"/>
      <c r="Z44" s="1469"/>
      <c r="AA44" s="1469"/>
      <c r="AB44" s="1469"/>
      <c r="AC44" s="1611"/>
      <c r="AD44" s="1317"/>
      <c r="AE44" s="1317"/>
      <c r="AF44" s="1317"/>
      <c r="AG44" s="1317"/>
      <c r="AH44" s="1317"/>
      <c r="AI44" s="1317"/>
      <c r="AJ44" s="1317"/>
      <c r="AK44" s="1317"/>
      <c r="AL44" s="1317"/>
      <c r="AM44" s="1317"/>
    </row>
    <row r="45" spans="1:44" s="1313" customFormat="1" ht="15.75" hidden="1" thickBot="1">
      <c r="A45" s="1480" t="s">
        <v>369</v>
      </c>
      <c r="B45" s="1481">
        <f>1+E47</f>
        <v>1</v>
      </c>
      <c r="C45" s="1482"/>
      <c r="D45" s="1483"/>
      <c r="E45" s="1484"/>
      <c r="F45" s="1485"/>
      <c r="G45" s="1479"/>
      <c r="H45" s="1479"/>
      <c r="I45" s="1233"/>
      <c r="J45" s="1233"/>
      <c r="K45" s="1233"/>
      <c r="L45" s="1233"/>
      <c r="M45" s="1233"/>
      <c r="O45" s="1469"/>
      <c r="P45" s="1469"/>
      <c r="Q45" s="1469"/>
      <c r="R45" s="1611"/>
      <c r="S45" s="1611"/>
      <c r="T45" s="1611"/>
      <c r="U45" s="1611"/>
      <c r="V45" s="1611"/>
      <c r="W45" s="1469"/>
      <c r="X45" s="1469"/>
      <c r="Y45" s="1469"/>
      <c r="Z45" s="1469"/>
      <c r="AA45" s="1469"/>
      <c r="AB45" s="1469"/>
      <c r="AC45" s="1611"/>
      <c r="AD45" s="1317"/>
      <c r="AE45" s="1317"/>
      <c r="AF45" s="1317"/>
      <c r="AG45" s="1317"/>
      <c r="AH45" s="1317"/>
      <c r="AI45" s="1317"/>
      <c r="AJ45" s="1317"/>
      <c r="AK45" s="1317"/>
      <c r="AL45" s="1317"/>
      <c r="AM45" s="1317"/>
    </row>
    <row r="46" spans="1:44" s="1313" customFormat="1" ht="24.75" hidden="1" thickBot="1">
      <c r="A46" s="1281" t="s">
        <v>1261</v>
      </c>
      <c r="B46" s="1486" t="s">
        <v>1262</v>
      </c>
      <c r="C46" s="1487" t="s">
        <v>1263</v>
      </c>
      <c r="D46" s="1488" t="s">
        <v>1264</v>
      </c>
      <c r="E46" s="1489" t="s">
        <v>1265</v>
      </c>
      <c r="F46" s="1490" t="s">
        <v>1266</v>
      </c>
      <c r="G46" s="1488" t="s">
        <v>1267</v>
      </c>
      <c r="H46" s="1491" t="s">
        <v>1268</v>
      </c>
      <c r="I46" s="1488" t="s">
        <v>1269</v>
      </c>
      <c r="J46" s="1596" t="s">
        <v>250</v>
      </c>
      <c r="K46" s="1596" t="s">
        <v>262</v>
      </c>
      <c r="L46" s="1596" t="s">
        <v>272</v>
      </c>
      <c r="M46" s="1596" t="s">
        <v>282</v>
      </c>
      <c r="N46" s="1596" t="s">
        <v>289</v>
      </c>
      <c r="P46" s="1469"/>
      <c r="Q46" s="1469"/>
      <c r="R46" s="1611"/>
      <c r="S46" s="1611"/>
      <c r="T46" s="1611"/>
      <c r="U46" s="1611"/>
      <c r="V46" s="1611"/>
      <c r="W46" s="1469"/>
      <c r="X46" s="1469"/>
      <c r="Y46" s="1469"/>
      <c r="Z46" s="1469"/>
      <c r="AA46" s="1469"/>
      <c r="AB46" s="1469"/>
      <c r="AC46" s="1469"/>
      <c r="AD46" s="1611"/>
      <c r="AE46" s="1317"/>
      <c r="AF46" s="1317"/>
      <c r="AG46" s="1317"/>
      <c r="AH46" s="1317"/>
      <c r="AI46" s="1317"/>
      <c r="AJ46" s="1317"/>
      <c r="AK46" s="1317"/>
      <c r="AL46" s="1317"/>
      <c r="AM46" s="1317"/>
      <c r="AN46" s="1317"/>
    </row>
    <row r="47" spans="1:44" s="1313" customFormat="1" ht="36.75" hidden="1" thickBot="1">
      <c r="A47" s="1281" t="s">
        <v>1270</v>
      </c>
      <c r="B47" s="1492" t="str">
        <f>估价对象房地状况!C16</f>
        <v>估价对象位于XX商圈，周边商业氛围成熟，人流量大，商业繁华度好</v>
      </c>
      <c r="C47" s="1493"/>
      <c r="D47" s="1494">
        <f t="shared" ref="D47:D55" si="10">SUMIF($J$46:$N$46,C47,J47:N47)</f>
        <v>0</v>
      </c>
      <c r="E47" s="1495">
        <f>ROUND(SUM(D47:D55),4)</f>
        <v>0</v>
      </c>
      <c r="F47" s="1496" t="str">
        <f>IF(E2="商业",SUMIF(L1:L12,G2,N1:N12),"——")</f>
        <v>——</v>
      </c>
      <c r="G47" s="1497"/>
      <c r="H47" s="1498" t="str">
        <f t="shared" ref="H47:H55" si="11">IFERROR(ROUNDDOWN(($F$47*I47/2),4),"——")</f>
        <v>——</v>
      </c>
      <c r="I47" s="1597">
        <v>0.33</v>
      </c>
      <c r="J47" s="1598">
        <f t="shared" ref="J47:J55" si="12">K47+$G47</f>
        <v>0</v>
      </c>
      <c r="K47" s="1598">
        <f t="shared" ref="K47:K55" si="13">$L47+$G47</f>
        <v>0</v>
      </c>
      <c r="L47" s="1598">
        <v>0</v>
      </c>
      <c r="M47" s="1598">
        <f t="shared" ref="M47:N55" si="14">L47-$G47</f>
        <v>0</v>
      </c>
      <c r="N47" s="1598">
        <f t="shared" si="14"/>
        <v>0</v>
      </c>
      <c r="P47" s="1469"/>
      <c r="Q47" s="1469"/>
      <c r="R47" s="1611"/>
      <c r="S47" s="1611"/>
      <c r="T47" s="1611"/>
      <c r="U47" s="1611"/>
      <c r="V47" s="1611"/>
      <c r="W47" s="1469"/>
      <c r="X47" s="1469"/>
      <c r="Y47" s="1469"/>
      <c r="Z47" s="1469"/>
      <c r="AA47" s="1469"/>
      <c r="AB47" s="1469"/>
      <c r="AC47" s="1469"/>
      <c r="AD47" s="1611"/>
      <c r="AE47" s="1317"/>
      <c r="AF47" s="1317"/>
      <c r="AG47" s="1317"/>
      <c r="AH47" s="1317"/>
      <c r="AI47" s="1317"/>
      <c r="AJ47" s="1317"/>
      <c r="AK47" s="1317"/>
      <c r="AL47" s="1317"/>
      <c r="AM47" s="1317"/>
      <c r="AN47" s="1317"/>
    </row>
    <row r="48" spans="1:44" s="1313" customFormat="1" ht="132.75" hidden="1" thickBot="1">
      <c r="A48" s="1281" t="s">
        <v>649</v>
      </c>
      <c r="B48"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48" s="1493"/>
      <c r="D48" s="1494">
        <f t="shared" si="10"/>
        <v>0</v>
      </c>
      <c r="E48" s="1499"/>
      <c r="F48" s="1496"/>
      <c r="G48" s="1497"/>
      <c r="H48" s="1498" t="str">
        <f t="shared" si="11"/>
        <v>——</v>
      </c>
      <c r="I48" s="1597">
        <v>0.25</v>
      </c>
      <c r="J48" s="1598">
        <f t="shared" si="12"/>
        <v>0</v>
      </c>
      <c r="K48" s="1598">
        <f t="shared" si="13"/>
        <v>0</v>
      </c>
      <c r="L48" s="1598">
        <v>0</v>
      </c>
      <c r="M48" s="1598">
        <f t="shared" si="14"/>
        <v>0</v>
      </c>
      <c r="N48" s="1598">
        <f t="shared" si="14"/>
        <v>0</v>
      </c>
      <c r="P48" s="1469"/>
      <c r="Q48" s="1469"/>
      <c r="R48" s="1611"/>
      <c r="S48" s="1611"/>
      <c r="T48" s="1611"/>
      <c r="U48" s="1611"/>
      <c r="V48" s="1611"/>
      <c r="W48" s="1469"/>
      <c r="X48" s="1469"/>
      <c r="Y48" s="1469"/>
      <c r="Z48" s="1469"/>
      <c r="AA48" s="1469"/>
      <c r="AB48" s="1469"/>
      <c r="AC48" s="1469"/>
      <c r="AD48" s="1611"/>
      <c r="AE48" s="1317"/>
      <c r="AF48" s="1317"/>
      <c r="AG48" s="1317"/>
      <c r="AH48" s="1317"/>
      <c r="AI48" s="1317"/>
      <c r="AJ48" s="1317"/>
      <c r="AK48" s="1317"/>
      <c r="AL48" s="1317"/>
      <c r="AM48" s="1317"/>
      <c r="AN48" s="1317"/>
    </row>
    <row r="49" spans="1:40" s="1313" customFormat="1" ht="24.75" hidden="1" thickBot="1">
      <c r="A49" s="1281" t="s">
        <v>660</v>
      </c>
      <c r="B49" s="1486">
        <f>估价对象房地状况!C19</f>
        <v>0</v>
      </c>
      <c r="C49" s="1493"/>
      <c r="D49" s="1494">
        <f t="shared" si="10"/>
        <v>0</v>
      </c>
      <c r="E49" s="1499"/>
      <c r="F49" s="1496"/>
      <c r="G49" s="1497"/>
      <c r="H49" s="1498" t="str">
        <f t="shared" si="11"/>
        <v>——</v>
      </c>
      <c r="I49" s="1597">
        <v>0.05</v>
      </c>
      <c r="J49" s="1598">
        <f t="shared" si="12"/>
        <v>0</v>
      </c>
      <c r="K49" s="1598">
        <f t="shared" si="13"/>
        <v>0</v>
      </c>
      <c r="L49" s="1598">
        <v>0</v>
      </c>
      <c r="M49" s="1598">
        <f t="shared" si="14"/>
        <v>0</v>
      </c>
      <c r="N49" s="1598">
        <f t="shared" si="14"/>
        <v>0</v>
      </c>
      <c r="P49" s="1469"/>
      <c r="Q49" s="1469"/>
      <c r="R49" s="1611"/>
      <c r="S49" s="1611"/>
      <c r="T49" s="1611"/>
      <c r="U49" s="1611"/>
      <c r="V49" s="1611"/>
      <c r="W49" s="1469"/>
      <c r="X49" s="1469"/>
      <c r="Y49" s="1469"/>
      <c r="Z49" s="1469"/>
      <c r="AA49" s="1469"/>
      <c r="AB49" s="1469"/>
      <c r="AC49" s="1469"/>
      <c r="AD49" s="1611"/>
      <c r="AE49" s="1317"/>
      <c r="AF49" s="1317"/>
      <c r="AG49" s="1317"/>
      <c r="AH49" s="1317"/>
      <c r="AI49" s="1317"/>
      <c r="AJ49" s="1317"/>
      <c r="AK49" s="1317"/>
      <c r="AL49" s="1317"/>
      <c r="AM49" s="1317"/>
      <c r="AN49" s="1317"/>
    </row>
    <row r="50" spans="1:40" s="1313" customFormat="1" ht="36.75" hidden="1" thickBot="1">
      <c r="A50" s="1281" t="s">
        <v>1271</v>
      </c>
      <c r="B50" s="1500" t="s">
        <v>1272</v>
      </c>
      <c r="C50" s="1493"/>
      <c r="D50" s="1494">
        <f t="shared" si="10"/>
        <v>0</v>
      </c>
      <c r="E50" s="1499"/>
      <c r="F50" s="1496"/>
      <c r="G50" s="1497"/>
      <c r="H50" s="1498" t="str">
        <f t="shared" si="11"/>
        <v>——</v>
      </c>
      <c r="I50" s="1597">
        <v>0.05</v>
      </c>
      <c r="J50" s="1598">
        <f t="shared" si="12"/>
        <v>0</v>
      </c>
      <c r="K50" s="1598">
        <f t="shared" si="13"/>
        <v>0</v>
      </c>
      <c r="L50" s="1598">
        <v>0</v>
      </c>
      <c r="M50" s="1598">
        <f t="shared" si="14"/>
        <v>0</v>
      </c>
      <c r="N50" s="1598">
        <f t="shared" si="14"/>
        <v>0</v>
      </c>
      <c r="P50" s="1469"/>
      <c r="Q50" s="1469"/>
      <c r="R50" s="1611"/>
      <c r="S50" s="1611"/>
      <c r="T50" s="1611"/>
      <c r="U50" s="1611"/>
      <c r="V50" s="1611"/>
      <c r="W50" s="1469"/>
      <c r="X50" s="1469"/>
      <c r="Y50" s="1469"/>
      <c r="Z50" s="1469"/>
      <c r="AA50" s="1469"/>
      <c r="AB50" s="1469"/>
      <c r="AC50" s="1469"/>
      <c r="AD50" s="1611"/>
      <c r="AE50" s="1317"/>
      <c r="AF50" s="1317"/>
      <c r="AG50" s="1317"/>
      <c r="AH50" s="1317"/>
      <c r="AI50" s="1317"/>
      <c r="AJ50" s="1317"/>
      <c r="AK50" s="1317"/>
      <c r="AL50" s="1317"/>
      <c r="AM50" s="1317"/>
      <c r="AN50" s="1317"/>
    </row>
    <row r="51" spans="1:40" s="1313" customFormat="1" ht="24.75" hidden="1" thickBot="1">
      <c r="A51" s="1281" t="s">
        <v>1273</v>
      </c>
      <c r="B51" s="1486" t="str">
        <f>估价对象房地状况!C24</f>
        <v>城市次干道-温泉路</v>
      </c>
      <c r="C51" s="1493"/>
      <c r="D51" s="1494">
        <f t="shared" si="10"/>
        <v>0</v>
      </c>
      <c r="E51" s="1499"/>
      <c r="F51" s="1496"/>
      <c r="G51" s="1497"/>
      <c r="H51" s="1498" t="str">
        <f t="shared" si="11"/>
        <v>——</v>
      </c>
      <c r="I51" s="1597">
        <v>0.08</v>
      </c>
      <c r="J51" s="1598">
        <f t="shared" si="12"/>
        <v>0</v>
      </c>
      <c r="K51" s="1598">
        <f t="shared" si="13"/>
        <v>0</v>
      </c>
      <c r="L51" s="1598">
        <v>0</v>
      </c>
      <c r="M51" s="1598">
        <f t="shared" si="14"/>
        <v>0</v>
      </c>
      <c r="N51" s="1598">
        <f t="shared" si="14"/>
        <v>0</v>
      </c>
      <c r="P51" s="1469"/>
      <c r="Q51" s="1469"/>
      <c r="R51" s="1611"/>
      <c r="S51" s="1611"/>
      <c r="T51" s="1611"/>
      <c r="U51" s="1611"/>
      <c r="V51" s="1611"/>
      <c r="W51" s="1469"/>
      <c r="X51" s="1469"/>
      <c r="Y51" s="1469"/>
      <c r="Z51" s="1469"/>
      <c r="AA51" s="1469"/>
      <c r="AB51" s="1469"/>
      <c r="AC51" s="1469"/>
      <c r="AD51" s="1611"/>
      <c r="AE51" s="1317"/>
      <c r="AF51" s="1317"/>
      <c r="AG51" s="1317"/>
      <c r="AH51" s="1317"/>
      <c r="AI51" s="1317"/>
      <c r="AJ51" s="1317"/>
      <c r="AK51" s="1317"/>
      <c r="AL51" s="1317"/>
      <c r="AM51" s="1317"/>
      <c r="AN51" s="1317"/>
    </row>
    <row r="52" spans="1:40" s="1313" customFormat="1" ht="24.75" hidden="1" thickBot="1">
      <c r="A52" s="1281" t="s">
        <v>1274</v>
      </c>
      <c r="B52" s="1501" t="s">
        <v>1275</v>
      </c>
      <c r="C52" s="1493"/>
      <c r="D52" s="1494">
        <f t="shared" si="10"/>
        <v>0</v>
      </c>
      <c r="E52" s="1499"/>
      <c r="F52" s="1496"/>
      <c r="G52" s="1497"/>
      <c r="H52" s="1498" t="str">
        <f t="shared" si="11"/>
        <v>——</v>
      </c>
      <c r="I52" s="1597">
        <v>0.03</v>
      </c>
      <c r="J52" s="1598">
        <f t="shared" si="12"/>
        <v>0</v>
      </c>
      <c r="K52" s="1598">
        <f t="shared" si="13"/>
        <v>0</v>
      </c>
      <c r="L52" s="1598">
        <v>0</v>
      </c>
      <c r="M52" s="1598">
        <f t="shared" si="14"/>
        <v>0</v>
      </c>
      <c r="N52" s="1598">
        <f t="shared" si="14"/>
        <v>0</v>
      </c>
      <c r="P52" s="1469"/>
      <c r="Q52" s="1469"/>
      <c r="R52" s="1611"/>
      <c r="S52" s="1611"/>
      <c r="T52" s="1611"/>
      <c r="U52" s="1611"/>
      <c r="V52" s="1611"/>
      <c r="W52" s="1469"/>
      <c r="X52" s="1469"/>
      <c r="Y52" s="1469"/>
      <c r="Z52" s="1469"/>
      <c r="AA52" s="1469"/>
      <c r="AB52" s="1469"/>
      <c r="AC52" s="1469"/>
      <c r="AD52" s="1611"/>
      <c r="AE52" s="1317"/>
      <c r="AF52" s="1317"/>
      <c r="AG52" s="1317"/>
      <c r="AH52" s="1317"/>
      <c r="AI52" s="1317"/>
      <c r="AJ52" s="1317"/>
      <c r="AK52" s="1317"/>
      <c r="AL52" s="1317"/>
      <c r="AM52" s="1317"/>
      <c r="AN52" s="1317"/>
    </row>
    <row r="53" spans="1:40" s="1313" customFormat="1" ht="132.75" hidden="1" thickBot="1">
      <c r="A53" s="1502" t="s">
        <v>1276</v>
      </c>
      <c r="B5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53" s="1493"/>
      <c r="D53" s="1494">
        <f t="shared" si="10"/>
        <v>0</v>
      </c>
      <c r="E53" s="1499"/>
      <c r="F53" s="1496"/>
      <c r="G53" s="1497"/>
      <c r="H53" s="1498" t="str">
        <f t="shared" si="11"/>
        <v>——</v>
      </c>
      <c r="I53" s="1597">
        <v>0.05</v>
      </c>
      <c r="J53" s="1598">
        <f t="shared" si="12"/>
        <v>0</v>
      </c>
      <c r="K53" s="1598">
        <f t="shared" si="13"/>
        <v>0</v>
      </c>
      <c r="L53" s="1598">
        <v>0</v>
      </c>
      <c r="M53" s="1598">
        <f t="shared" si="14"/>
        <v>0</v>
      </c>
      <c r="N53" s="1598">
        <f t="shared" si="14"/>
        <v>0</v>
      </c>
      <c r="P53" s="1469"/>
      <c r="Q53" s="1469"/>
      <c r="R53" s="1611"/>
      <c r="S53" s="1611"/>
      <c r="T53" s="1611"/>
      <c r="U53" s="1611"/>
      <c r="V53" s="1611"/>
      <c r="W53" s="1469"/>
      <c r="X53" s="1469"/>
      <c r="Y53" s="1469"/>
      <c r="Z53" s="1469"/>
      <c r="AA53" s="1469"/>
      <c r="AB53" s="1469"/>
      <c r="AC53" s="1469"/>
      <c r="AD53" s="1611"/>
      <c r="AE53" s="1317"/>
      <c r="AF53" s="1317"/>
      <c r="AG53" s="1317"/>
      <c r="AH53" s="1317"/>
      <c r="AI53" s="1317"/>
      <c r="AJ53" s="1317"/>
      <c r="AK53" s="1317"/>
      <c r="AL53" s="1317"/>
      <c r="AM53" s="1317"/>
      <c r="AN53" s="1317"/>
    </row>
    <row r="54" spans="1:40" s="1313" customFormat="1" ht="24.75" hidden="1" thickBot="1">
      <c r="A54" s="1502" t="s">
        <v>1277</v>
      </c>
      <c r="B54" s="1486" t="str">
        <f>估价对象房地状况!C22</f>
        <v>估价对象所在区域基础设施水平-七通</v>
      </c>
      <c r="C54" s="1493"/>
      <c r="D54" s="1494">
        <f t="shared" si="10"/>
        <v>0</v>
      </c>
      <c r="E54" s="1499"/>
      <c r="F54" s="1496"/>
      <c r="G54" s="1497"/>
      <c r="H54" s="1498" t="str">
        <f t="shared" si="11"/>
        <v>——</v>
      </c>
      <c r="I54" s="1597">
        <v>0.1</v>
      </c>
      <c r="J54" s="1598">
        <f t="shared" si="12"/>
        <v>0</v>
      </c>
      <c r="K54" s="1598">
        <f t="shared" si="13"/>
        <v>0</v>
      </c>
      <c r="L54" s="1598">
        <v>0</v>
      </c>
      <c r="M54" s="1598">
        <f t="shared" si="14"/>
        <v>0</v>
      </c>
      <c r="N54" s="1598">
        <f t="shared" si="14"/>
        <v>0</v>
      </c>
      <c r="P54" s="1469"/>
      <c r="Q54" s="1469"/>
      <c r="R54" s="1611"/>
      <c r="S54" s="1611"/>
      <c r="T54" s="1611"/>
      <c r="U54" s="1611"/>
      <c r="V54" s="1611"/>
      <c r="W54" s="1469"/>
      <c r="X54" s="1469"/>
      <c r="Y54" s="1469"/>
      <c r="Z54" s="1469"/>
      <c r="AA54" s="1469"/>
      <c r="AB54" s="1469"/>
      <c r="AC54" s="1469"/>
      <c r="AD54" s="1611"/>
      <c r="AE54" s="1317"/>
      <c r="AF54" s="1317"/>
      <c r="AG54" s="1317"/>
      <c r="AH54" s="1317"/>
      <c r="AI54" s="1317"/>
      <c r="AJ54" s="1317"/>
      <c r="AK54" s="1317"/>
      <c r="AL54" s="1317"/>
      <c r="AM54" s="1317"/>
      <c r="AN54" s="1317"/>
    </row>
    <row r="55" spans="1:40" s="1313" customFormat="1" ht="96.75" hidden="1" thickBot="1">
      <c r="A55" s="1504" t="s">
        <v>1278</v>
      </c>
      <c r="B55" s="1505"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55" s="1493"/>
      <c r="D55" s="1494">
        <f t="shared" si="10"/>
        <v>0</v>
      </c>
      <c r="E55" s="1506"/>
      <c r="F55" s="1496"/>
      <c r="G55" s="1497"/>
      <c r="H55" s="1498" t="str">
        <f t="shared" si="11"/>
        <v>——</v>
      </c>
      <c r="I55" s="1599">
        <v>0.06</v>
      </c>
      <c r="J55" s="1598">
        <f t="shared" si="12"/>
        <v>0</v>
      </c>
      <c r="K55" s="1598">
        <f t="shared" si="13"/>
        <v>0</v>
      </c>
      <c r="L55" s="1598">
        <v>0</v>
      </c>
      <c r="M55" s="1598">
        <f t="shared" si="14"/>
        <v>0</v>
      </c>
      <c r="N55" s="1598">
        <f t="shared" si="14"/>
        <v>0</v>
      </c>
      <c r="P55" s="1469"/>
      <c r="Q55" s="1469"/>
      <c r="R55" s="1611"/>
      <c r="S55" s="1611"/>
      <c r="T55" s="1611"/>
      <c r="U55" s="1611"/>
      <c r="V55" s="1611"/>
      <c r="W55" s="1469"/>
      <c r="X55" s="1469"/>
      <c r="Y55" s="1469"/>
      <c r="Z55" s="1469"/>
      <c r="AA55" s="1469"/>
      <c r="AB55" s="1469"/>
      <c r="AC55" s="1469"/>
      <c r="AD55" s="1611"/>
      <c r="AE55" s="1317"/>
      <c r="AF55" s="1317"/>
      <c r="AG55" s="1317"/>
      <c r="AH55" s="1317"/>
      <c r="AI55" s="1317"/>
      <c r="AJ55" s="1317"/>
      <c r="AK55" s="1317"/>
      <c r="AL55" s="1317"/>
      <c r="AM55" s="1317"/>
      <c r="AN55" s="1317"/>
    </row>
    <row r="56" spans="1:40" s="1313" customFormat="1" ht="15.75" hidden="1" thickBot="1">
      <c r="A56" s="1480" t="s">
        <v>370</v>
      </c>
      <c r="B56" s="1481">
        <f>1+E58</f>
        <v>1</v>
      </c>
      <c r="C56" s="1507"/>
      <c r="D56" s="1483"/>
      <c r="E56" s="1484"/>
      <c r="F56" s="1485"/>
      <c r="G56" s="1479"/>
      <c r="H56" s="1479"/>
      <c r="I56" s="1479"/>
      <c r="J56" s="1233"/>
      <c r="K56" s="1233"/>
      <c r="L56" s="1233"/>
      <c r="M56" s="1233"/>
      <c r="N56" s="1233"/>
      <c r="P56" s="1469"/>
      <c r="Q56" s="1469"/>
      <c r="R56" s="1611"/>
      <c r="S56" s="1611"/>
      <c r="T56" s="1611"/>
      <c r="U56" s="1611"/>
      <c r="V56" s="1611"/>
      <c r="W56" s="1469"/>
      <c r="X56" s="1469"/>
      <c r="Y56" s="1469"/>
      <c r="Z56" s="1469"/>
      <c r="AA56" s="1469"/>
      <c r="AB56" s="1469"/>
      <c r="AC56" s="1469"/>
      <c r="AD56" s="1611"/>
      <c r="AE56" s="1317"/>
      <c r="AF56" s="1317"/>
      <c r="AG56" s="1317"/>
      <c r="AH56" s="1317"/>
      <c r="AI56" s="1317"/>
      <c r="AJ56" s="1317"/>
      <c r="AK56" s="1317"/>
      <c r="AL56" s="1317"/>
      <c r="AM56" s="1317"/>
      <c r="AN56" s="1317"/>
    </row>
    <row r="57" spans="1:40" s="1313" customFormat="1" ht="24.75" hidden="1" thickBot="1">
      <c r="A57" s="1281" t="s">
        <v>1261</v>
      </c>
      <c r="B57" s="1486"/>
      <c r="C57" s="1487" t="s">
        <v>1263</v>
      </c>
      <c r="D57" s="1488" t="s">
        <v>1264</v>
      </c>
      <c r="E57" s="1489" t="s">
        <v>1265</v>
      </c>
      <c r="F57" s="1490" t="s">
        <v>1266</v>
      </c>
      <c r="G57" s="1488" t="s">
        <v>1267</v>
      </c>
      <c r="H57" s="1491" t="s">
        <v>1268</v>
      </c>
      <c r="I57" s="1488" t="s">
        <v>1269</v>
      </c>
      <c r="J57" s="1596" t="s">
        <v>250</v>
      </c>
      <c r="K57" s="1596" t="s">
        <v>262</v>
      </c>
      <c r="L57" s="1596" t="s">
        <v>272</v>
      </c>
      <c r="M57" s="1596" t="s">
        <v>282</v>
      </c>
      <c r="N57" s="1596" t="s">
        <v>289</v>
      </c>
      <c r="P57" s="1469"/>
      <c r="Q57" s="1469"/>
      <c r="R57" s="1611"/>
      <c r="S57" s="1611"/>
      <c r="T57" s="1611"/>
      <c r="U57" s="1611"/>
      <c r="V57" s="1611"/>
      <c r="W57" s="1469"/>
      <c r="X57" s="1469"/>
      <c r="Y57" s="1469"/>
      <c r="Z57" s="1469"/>
      <c r="AA57" s="1469"/>
      <c r="AB57" s="1469"/>
      <c r="AC57" s="1469"/>
      <c r="AD57" s="1611"/>
      <c r="AE57" s="1317"/>
      <c r="AF57" s="1317"/>
      <c r="AG57" s="1317"/>
      <c r="AH57" s="1317"/>
      <c r="AI57" s="1317"/>
      <c r="AJ57" s="1317"/>
      <c r="AK57" s="1317"/>
      <c r="AL57" s="1317"/>
      <c r="AM57" s="1317"/>
      <c r="AN57" s="1317"/>
    </row>
    <row r="58" spans="1:40" s="1313" customFormat="1" ht="36.75" hidden="1" thickBot="1">
      <c r="A58" s="1281" t="s">
        <v>651</v>
      </c>
      <c r="B58" s="1492" t="str">
        <f>估价对象房地状况!C17</f>
        <v>估价对象位于XX商圈，周边办公楼项目较多，入驻率高，办公集聚程度较好</v>
      </c>
      <c r="C58" s="1493"/>
      <c r="D58" s="1494">
        <f t="shared" ref="D58:D66" si="15">SUMIF($J$57:$N$57,C58,J58:N58)</f>
        <v>0</v>
      </c>
      <c r="E58" s="1495">
        <f>ROUND(SUM(D58:D66),4)</f>
        <v>0</v>
      </c>
      <c r="F58" s="1496" t="str">
        <f>IF(E2="办公",SUMIF(L1:L12,G2,N1:N12),"——")</f>
        <v>——</v>
      </c>
      <c r="G58" s="1497"/>
      <c r="H58" s="1498" t="str">
        <f>IFERROR(ROUNDDOWN($F$58*I58/2,4),"——")</f>
        <v>——</v>
      </c>
      <c r="I58" s="1597">
        <v>0.24</v>
      </c>
      <c r="J58" s="1598">
        <f t="shared" ref="J58:J66" si="16">K58+$G58</f>
        <v>0</v>
      </c>
      <c r="K58" s="1598">
        <f t="shared" ref="K58:K66" si="17">$L58+$G58</f>
        <v>0</v>
      </c>
      <c r="L58" s="1598">
        <v>0</v>
      </c>
      <c r="M58" s="1598">
        <f t="shared" ref="M58:N66" si="18">L58-$G58</f>
        <v>0</v>
      </c>
      <c r="N58" s="1598">
        <f t="shared" si="18"/>
        <v>0</v>
      </c>
      <c r="P58" s="1469"/>
      <c r="Q58" s="1469"/>
      <c r="R58" s="1611"/>
      <c r="S58" s="1611"/>
      <c r="T58" s="1611"/>
      <c r="U58" s="1611"/>
      <c r="V58" s="1611"/>
      <c r="W58" s="1469"/>
      <c r="X58" s="1469"/>
      <c r="Y58" s="1469"/>
      <c r="Z58" s="1469"/>
      <c r="AA58" s="1469"/>
      <c r="AB58" s="1469"/>
      <c r="AC58" s="1469"/>
      <c r="AD58" s="1611"/>
      <c r="AE58" s="1317"/>
      <c r="AF58" s="1317"/>
      <c r="AG58" s="1317"/>
      <c r="AH58" s="1317"/>
      <c r="AI58" s="1317"/>
      <c r="AJ58" s="1317"/>
      <c r="AK58" s="1317"/>
      <c r="AL58" s="1317"/>
      <c r="AM58" s="1317"/>
      <c r="AN58" s="1317"/>
    </row>
    <row r="59" spans="1:40" s="1313" customFormat="1" ht="132.75" hidden="1" thickBot="1">
      <c r="A59" s="1281" t="s">
        <v>649</v>
      </c>
      <c r="B59"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59" s="1493"/>
      <c r="D59" s="1494">
        <f t="shared" si="15"/>
        <v>0</v>
      </c>
      <c r="E59" s="1499"/>
      <c r="F59" s="1496"/>
      <c r="G59" s="1497"/>
      <c r="H59" s="1508" t="str">
        <f t="shared" ref="H59:H66" si="19">IFERROR($F$58*I59/2,"——")</f>
        <v>——</v>
      </c>
      <c r="I59" s="1597">
        <v>0.3</v>
      </c>
      <c r="J59" s="1598">
        <f t="shared" si="16"/>
        <v>0</v>
      </c>
      <c r="K59" s="1598">
        <f t="shared" si="17"/>
        <v>0</v>
      </c>
      <c r="L59" s="1598">
        <v>0</v>
      </c>
      <c r="M59" s="1598">
        <f t="shared" si="18"/>
        <v>0</v>
      </c>
      <c r="N59" s="1598">
        <f t="shared" si="18"/>
        <v>0</v>
      </c>
      <c r="P59" s="1469"/>
      <c r="Q59" s="1469"/>
      <c r="R59" s="1611"/>
      <c r="S59" s="1611"/>
      <c r="T59" s="1611"/>
      <c r="U59" s="1611"/>
      <c r="V59" s="1611"/>
      <c r="W59" s="1469"/>
      <c r="X59" s="1469"/>
      <c r="Y59" s="1469"/>
      <c r="Z59" s="1469"/>
      <c r="AA59" s="1469"/>
      <c r="AB59" s="1469"/>
      <c r="AC59" s="1469"/>
      <c r="AD59" s="1611"/>
      <c r="AE59" s="1317"/>
      <c r="AF59" s="1317"/>
      <c r="AG59" s="1317"/>
      <c r="AH59" s="1317"/>
      <c r="AI59" s="1317"/>
      <c r="AJ59" s="1317"/>
      <c r="AK59" s="1317"/>
      <c r="AL59" s="1317"/>
      <c r="AM59" s="1317"/>
      <c r="AN59" s="1317"/>
    </row>
    <row r="60" spans="1:40" s="1313" customFormat="1" ht="24.75" hidden="1" thickBot="1">
      <c r="A60" s="1281" t="s">
        <v>660</v>
      </c>
      <c r="B60" s="1486">
        <f>估价对象房地状况!C19</f>
        <v>0</v>
      </c>
      <c r="C60" s="1493"/>
      <c r="D60" s="1494">
        <f t="shared" si="15"/>
        <v>0</v>
      </c>
      <c r="E60" s="1499"/>
      <c r="F60" s="1496"/>
      <c r="G60" s="1497"/>
      <c r="H60" s="1508" t="str">
        <f t="shared" si="19"/>
        <v>——</v>
      </c>
      <c r="I60" s="1597">
        <v>0.08</v>
      </c>
      <c r="J60" s="1598">
        <f t="shared" si="16"/>
        <v>0</v>
      </c>
      <c r="K60" s="1598">
        <f t="shared" si="17"/>
        <v>0</v>
      </c>
      <c r="L60" s="1598">
        <v>0</v>
      </c>
      <c r="M60" s="1598">
        <f t="shared" si="18"/>
        <v>0</v>
      </c>
      <c r="N60" s="1598">
        <f t="shared" si="18"/>
        <v>0</v>
      </c>
      <c r="P60" s="1469"/>
      <c r="Q60" s="1469"/>
      <c r="R60" s="1611"/>
      <c r="S60" s="1611"/>
      <c r="T60" s="1611"/>
      <c r="U60" s="1611"/>
      <c r="V60" s="1611"/>
      <c r="W60" s="1469"/>
      <c r="X60" s="1469"/>
      <c r="Y60" s="1469"/>
      <c r="Z60" s="1469"/>
      <c r="AA60" s="1469"/>
      <c r="AB60" s="1469"/>
      <c r="AC60" s="1469"/>
      <c r="AD60" s="1611"/>
      <c r="AE60" s="1317"/>
      <c r="AF60" s="1317"/>
      <c r="AG60" s="1317"/>
      <c r="AH60" s="1317"/>
      <c r="AI60" s="1317"/>
      <c r="AJ60" s="1317"/>
      <c r="AK60" s="1317"/>
      <c r="AL60" s="1317"/>
      <c r="AM60" s="1317"/>
      <c r="AN60" s="1317"/>
    </row>
    <row r="61" spans="1:40" s="1313" customFormat="1" ht="36.75" hidden="1" thickBot="1">
      <c r="A61" s="1281" t="s">
        <v>1271</v>
      </c>
      <c r="B61" s="1500" t="s">
        <v>1272</v>
      </c>
      <c r="C61" s="1493"/>
      <c r="D61" s="1494">
        <f t="shared" si="15"/>
        <v>0</v>
      </c>
      <c r="E61" s="1499"/>
      <c r="F61" s="1496"/>
      <c r="G61" s="1497"/>
      <c r="H61" s="1508" t="str">
        <f t="shared" si="19"/>
        <v>——</v>
      </c>
      <c r="I61" s="1597">
        <v>0.04</v>
      </c>
      <c r="J61" s="1598">
        <f t="shared" si="16"/>
        <v>0</v>
      </c>
      <c r="K61" s="1598">
        <f t="shared" si="17"/>
        <v>0</v>
      </c>
      <c r="L61" s="1598">
        <v>0</v>
      </c>
      <c r="M61" s="1598">
        <f t="shared" si="18"/>
        <v>0</v>
      </c>
      <c r="N61" s="1598">
        <f t="shared" si="18"/>
        <v>0</v>
      </c>
      <c r="P61" s="1469"/>
      <c r="Q61" s="1469"/>
      <c r="R61" s="1611"/>
      <c r="S61" s="1611"/>
      <c r="T61" s="1611"/>
      <c r="U61" s="1611"/>
      <c r="V61" s="1611"/>
      <c r="W61" s="1469"/>
      <c r="X61" s="1469"/>
      <c r="Y61" s="1469"/>
      <c r="Z61" s="1469"/>
      <c r="AA61" s="1469"/>
      <c r="AB61" s="1469"/>
      <c r="AC61" s="1469"/>
      <c r="AD61" s="1611"/>
      <c r="AE61" s="1317"/>
      <c r="AF61" s="1317"/>
      <c r="AG61" s="1317"/>
      <c r="AH61" s="1317"/>
      <c r="AI61" s="1317"/>
      <c r="AJ61" s="1317"/>
      <c r="AK61" s="1317"/>
      <c r="AL61" s="1317"/>
      <c r="AM61" s="1317"/>
      <c r="AN61" s="1317"/>
    </row>
    <row r="62" spans="1:40" s="1313" customFormat="1" ht="24.75" hidden="1" thickBot="1">
      <c r="A62" s="1281" t="s">
        <v>1273</v>
      </c>
      <c r="B62" s="1486" t="str">
        <f>估价对象房地状况!C24</f>
        <v>城市次干道-温泉路</v>
      </c>
      <c r="C62" s="1493"/>
      <c r="D62" s="1494">
        <f t="shared" si="15"/>
        <v>0</v>
      </c>
      <c r="E62" s="1499"/>
      <c r="F62" s="1496"/>
      <c r="G62" s="1497"/>
      <c r="H62" s="1508" t="str">
        <f t="shared" si="19"/>
        <v>——</v>
      </c>
      <c r="I62" s="1597">
        <v>0.05</v>
      </c>
      <c r="J62" s="1598">
        <f t="shared" si="16"/>
        <v>0</v>
      </c>
      <c r="K62" s="1598">
        <f t="shared" si="17"/>
        <v>0</v>
      </c>
      <c r="L62" s="1598">
        <v>0</v>
      </c>
      <c r="M62" s="1598">
        <f t="shared" si="18"/>
        <v>0</v>
      </c>
      <c r="N62" s="1598">
        <f t="shared" si="18"/>
        <v>0</v>
      </c>
      <c r="P62" s="1469"/>
      <c r="Q62" s="1469"/>
      <c r="R62" s="1611"/>
      <c r="S62" s="1611"/>
      <c r="T62" s="1611"/>
      <c r="U62" s="1611"/>
      <c r="V62" s="1611"/>
      <c r="W62" s="1469"/>
      <c r="X62" s="1469"/>
      <c r="Y62" s="1469"/>
      <c r="Z62" s="1469"/>
      <c r="AA62" s="1469"/>
      <c r="AB62" s="1469"/>
      <c r="AC62" s="1469"/>
      <c r="AD62" s="1611"/>
      <c r="AE62" s="1317"/>
      <c r="AF62" s="1317"/>
      <c r="AG62" s="1317"/>
      <c r="AH62" s="1317"/>
      <c r="AI62" s="1317"/>
      <c r="AJ62" s="1317"/>
      <c r="AK62" s="1317"/>
      <c r="AL62" s="1317"/>
      <c r="AM62" s="1317"/>
      <c r="AN62" s="1317"/>
    </row>
    <row r="63" spans="1:40" s="1313" customFormat="1" ht="24.75" hidden="1" thickBot="1">
      <c r="A63" s="1281" t="s">
        <v>1274</v>
      </c>
      <c r="B63" s="1501" t="s">
        <v>1275</v>
      </c>
      <c r="C63" s="1493"/>
      <c r="D63" s="1494">
        <f t="shared" si="15"/>
        <v>0</v>
      </c>
      <c r="E63" s="1499"/>
      <c r="F63" s="1496"/>
      <c r="G63" s="1497"/>
      <c r="H63" s="1508" t="str">
        <f t="shared" si="19"/>
        <v>——</v>
      </c>
      <c r="I63" s="1597">
        <v>0.05</v>
      </c>
      <c r="J63" s="1598">
        <f t="shared" si="16"/>
        <v>0</v>
      </c>
      <c r="K63" s="1598">
        <f t="shared" si="17"/>
        <v>0</v>
      </c>
      <c r="L63" s="1598">
        <v>0</v>
      </c>
      <c r="M63" s="1598">
        <f t="shared" si="18"/>
        <v>0</v>
      </c>
      <c r="N63" s="1598">
        <f t="shared" si="18"/>
        <v>0</v>
      </c>
      <c r="P63" s="1469"/>
      <c r="Q63" s="1469"/>
      <c r="R63" s="1611"/>
      <c r="S63" s="1611"/>
      <c r="T63" s="1611"/>
      <c r="U63" s="1611"/>
      <c r="V63" s="1611"/>
      <c r="W63" s="1469"/>
      <c r="X63" s="1469"/>
      <c r="Y63" s="1469"/>
      <c r="Z63" s="1469"/>
      <c r="AA63" s="1469"/>
      <c r="AB63" s="1469"/>
      <c r="AC63" s="1469"/>
      <c r="AD63" s="1611"/>
      <c r="AE63" s="1317"/>
      <c r="AF63" s="1317"/>
      <c r="AG63" s="1317"/>
      <c r="AH63" s="1317"/>
      <c r="AI63" s="1317"/>
      <c r="AJ63" s="1317"/>
      <c r="AK63" s="1317"/>
      <c r="AL63" s="1317"/>
      <c r="AM63" s="1317"/>
      <c r="AN63" s="1317"/>
    </row>
    <row r="64" spans="1:40" s="1313" customFormat="1" ht="132.75" hidden="1" thickBot="1">
      <c r="A64" s="1281" t="s">
        <v>1276</v>
      </c>
      <c r="B64"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64" s="1493"/>
      <c r="D64" s="1494">
        <f t="shared" si="15"/>
        <v>0</v>
      </c>
      <c r="E64" s="1499"/>
      <c r="F64" s="1496"/>
      <c r="G64" s="1497"/>
      <c r="H64" s="1508" t="str">
        <f t="shared" si="19"/>
        <v>——</v>
      </c>
      <c r="I64" s="1597">
        <v>0.06</v>
      </c>
      <c r="J64" s="1598">
        <f t="shared" si="16"/>
        <v>0</v>
      </c>
      <c r="K64" s="1598">
        <f t="shared" si="17"/>
        <v>0</v>
      </c>
      <c r="L64" s="1598">
        <v>0</v>
      </c>
      <c r="M64" s="1598">
        <f t="shared" si="18"/>
        <v>0</v>
      </c>
      <c r="N64" s="1598">
        <f t="shared" si="18"/>
        <v>0</v>
      </c>
      <c r="P64" s="1469"/>
      <c r="Q64" s="1469"/>
      <c r="R64" s="1611"/>
      <c r="S64" s="1611"/>
      <c r="T64" s="1611"/>
      <c r="U64" s="1611"/>
      <c r="V64" s="1611"/>
      <c r="W64" s="1469"/>
      <c r="X64" s="1469"/>
      <c r="Y64" s="1469"/>
      <c r="Z64" s="1469"/>
      <c r="AA64" s="1469"/>
      <c r="AB64" s="1469"/>
      <c r="AC64" s="1469"/>
      <c r="AD64" s="1611"/>
      <c r="AE64" s="1317"/>
      <c r="AF64" s="1317"/>
      <c r="AG64" s="1317"/>
      <c r="AH64" s="1317"/>
      <c r="AI64" s="1317"/>
      <c r="AJ64" s="1317"/>
      <c r="AK64" s="1317"/>
      <c r="AL64" s="1317"/>
      <c r="AM64" s="1317"/>
      <c r="AN64" s="1317"/>
    </row>
    <row r="65" spans="1:40" s="1313" customFormat="1" ht="24.75" hidden="1" thickBot="1">
      <c r="A65" s="1281" t="s">
        <v>1277</v>
      </c>
      <c r="B65" s="1503" t="str">
        <f>估价对象房地状况!C22</f>
        <v>估价对象所在区域基础设施水平-七通</v>
      </c>
      <c r="C65" s="1493"/>
      <c r="D65" s="1494">
        <f t="shared" si="15"/>
        <v>0</v>
      </c>
      <c r="E65" s="1499"/>
      <c r="F65" s="1496"/>
      <c r="G65" s="1497"/>
      <c r="H65" s="1508" t="str">
        <f t="shared" si="19"/>
        <v>——</v>
      </c>
      <c r="I65" s="1597">
        <v>0.12</v>
      </c>
      <c r="J65" s="1598">
        <f t="shared" si="16"/>
        <v>0</v>
      </c>
      <c r="K65" s="1598">
        <f t="shared" si="17"/>
        <v>0</v>
      </c>
      <c r="L65" s="1598">
        <v>0</v>
      </c>
      <c r="M65" s="1598">
        <f t="shared" si="18"/>
        <v>0</v>
      </c>
      <c r="N65" s="1598">
        <f t="shared" si="18"/>
        <v>0</v>
      </c>
      <c r="P65" s="1469"/>
      <c r="Q65" s="1469"/>
      <c r="R65" s="1611"/>
      <c r="S65" s="1611"/>
      <c r="T65" s="1611"/>
      <c r="U65" s="1611"/>
      <c r="V65" s="1611"/>
      <c r="W65" s="1469"/>
      <c r="X65" s="1469"/>
      <c r="Y65" s="1469"/>
      <c r="Z65" s="1469"/>
      <c r="AA65" s="1469"/>
      <c r="AB65" s="1469"/>
      <c r="AC65" s="1469"/>
      <c r="AD65" s="1611"/>
      <c r="AE65" s="1317"/>
      <c r="AF65" s="1317"/>
      <c r="AG65" s="1317"/>
      <c r="AH65" s="1317"/>
      <c r="AI65" s="1317"/>
      <c r="AJ65" s="1317"/>
      <c r="AK65" s="1317"/>
      <c r="AL65" s="1317"/>
      <c r="AM65" s="1317"/>
      <c r="AN65" s="1317"/>
    </row>
    <row r="66" spans="1:40" s="1313" customFormat="1" ht="96.75" hidden="1" thickBot="1">
      <c r="A66" s="1504" t="s">
        <v>1278</v>
      </c>
      <c r="B66" s="1624"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66" s="1493"/>
      <c r="D66" s="1494">
        <f t="shared" si="15"/>
        <v>0</v>
      </c>
      <c r="E66" s="1506"/>
      <c r="F66" s="1496"/>
      <c r="G66" s="1497"/>
      <c r="H66" s="1508" t="str">
        <f t="shared" si="19"/>
        <v>——</v>
      </c>
      <c r="I66" s="1599">
        <v>0.06</v>
      </c>
      <c r="J66" s="1598">
        <f t="shared" si="16"/>
        <v>0</v>
      </c>
      <c r="K66" s="1598">
        <f t="shared" si="17"/>
        <v>0</v>
      </c>
      <c r="L66" s="1598">
        <v>0</v>
      </c>
      <c r="M66" s="1598">
        <f t="shared" si="18"/>
        <v>0</v>
      </c>
      <c r="N66" s="1598">
        <f t="shared" si="18"/>
        <v>0</v>
      </c>
      <c r="P66" s="1469"/>
      <c r="Q66" s="1469"/>
      <c r="R66" s="1611"/>
      <c r="S66" s="1611"/>
      <c r="T66" s="1611"/>
      <c r="U66" s="1611"/>
      <c r="V66" s="1611"/>
      <c r="W66" s="1469"/>
      <c r="X66" s="1469"/>
      <c r="Y66" s="1469"/>
      <c r="Z66" s="1469"/>
      <c r="AA66" s="1469"/>
      <c r="AB66" s="1469"/>
      <c r="AC66" s="1469"/>
      <c r="AD66" s="1611"/>
      <c r="AE66" s="1317"/>
      <c r="AF66" s="1317"/>
      <c r="AG66" s="1317"/>
      <c r="AH66" s="1317"/>
      <c r="AI66" s="1317"/>
      <c r="AJ66" s="1317"/>
      <c r="AK66" s="1317"/>
      <c r="AL66" s="1317"/>
      <c r="AM66" s="1317"/>
      <c r="AN66" s="1317"/>
    </row>
    <row r="67" spans="1:40" s="1313" customFormat="1" ht="15">
      <c r="A67" s="1480" t="s">
        <v>368</v>
      </c>
      <c r="B67" s="1481">
        <f>1+E69</f>
        <v>1.0388999999999999</v>
      </c>
      <c r="C67" s="1507"/>
      <c r="D67" s="1483"/>
      <c r="E67" s="1484"/>
      <c r="F67" s="1485"/>
      <c r="G67" s="1479"/>
      <c r="H67" s="1479"/>
      <c r="I67" s="1479"/>
      <c r="J67" s="1233"/>
      <c r="K67" s="1233"/>
      <c r="L67" s="1233"/>
      <c r="M67" s="1233"/>
      <c r="N67" s="1233"/>
      <c r="P67" s="1469"/>
      <c r="Q67" s="1469"/>
      <c r="R67" s="1611"/>
      <c r="S67" s="1611"/>
      <c r="T67" s="1611"/>
      <c r="U67" s="1611"/>
      <c r="V67" s="1611"/>
      <c r="W67" s="1469"/>
      <c r="X67" s="1469"/>
      <c r="Y67" s="1469"/>
      <c r="Z67" s="1469"/>
      <c r="AA67" s="1469"/>
      <c r="AB67" s="1469"/>
      <c r="AC67" s="1469"/>
      <c r="AD67" s="1611"/>
      <c r="AE67" s="1317"/>
      <c r="AF67" s="1317"/>
      <c r="AG67" s="1317"/>
      <c r="AH67" s="1317"/>
      <c r="AI67" s="1317"/>
      <c r="AJ67" s="1317"/>
      <c r="AK67" s="1317"/>
      <c r="AL67" s="1317"/>
      <c r="AM67" s="1317"/>
      <c r="AN67" s="1317"/>
    </row>
    <row r="68" spans="1:40" s="1313" customFormat="1" ht="24">
      <c r="A68" s="1281" t="s">
        <v>1261</v>
      </c>
      <c r="B68" s="1486"/>
      <c r="C68" s="1487" t="s">
        <v>1263</v>
      </c>
      <c r="D68" s="1488" t="s">
        <v>1264</v>
      </c>
      <c r="E68" s="1489" t="s">
        <v>1265</v>
      </c>
      <c r="F68" s="1490" t="s">
        <v>1266</v>
      </c>
      <c r="G68" s="1488" t="s">
        <v>1267</v>
      </c>
      <c r="H68" s="1491" t="s">
        <v>1268</v>
      </c>
      <c r="I68" s="1488" t="s">
        <v>1269</v>
      </c>
      <c r="J68" s="1596" t="s">
        <v>250</v>
      </c>
      <c r="K68" s="1596" t="s">
        <v>262</v>
      </c>
      <c r="L68" s="1596" t="s">
        <v>272</v>
      </c>
      <c r="M68" s="1596" t="s">
        <v>282</v>
      </c>
      <c r="N68" s="1596" t="s">
        <v>289</v>
      </c>
      <c r="P68" s="1469"/>
      <c r="Q68" s="1469"/>
      <c r="R68" s="1611"/>
      <c r="S68" s="1611"/>
      <c r="T68" s="1611"/>
      <c r="U68" s="1611"/>
      <c r="V68" s="1611"/>
      <c r="W68" s="1469"/>
      <c r="X68" s="1469"/>
      <c r="Y68" s="1469"/>
      <c r="Z68" s="1469"/>
      <c r="AA68" s="1469"/>
      <c r="AB68" s="1469"/>
      <c r="AC68" s="1469"/>
      <c r="AD68" s="1611"/>
      <c r="AE68" s="1317"/>
      <c r="AF68" s="1317"/>
      <c r="AG68" s="1317"/>
      <c r="AH68" s="1317"/>
      <c r="AI68" s="1317"/>
      <c r="AJ68" s="1317"/>
      <c r="AK68" s="1317"/>
      <c r="AL68" s="1317"/>
      <c r="AM68" s="1317"/>
      <c r="AN68" s="1317"/>
    </row>
    <row r="69" spans="1:40" s="1313" customFormat="1" ht="60">
      <c r="A69" s="1281" t="s">
        <v>644</v>
      </c>
      <c r="B69" s="1492" t="str">
        <f>估价对象房地状况!C15</f>
        <v>估价对象位于海淀区温泉镇，估价对象周边有燕保温泉家园、北辰香麓、尚峰尚水尚居园等小区，居住社区成熟度一般。</v>
      </c>
      <c r="C69" s="1625" t="s">
        <v>1280</v>
      </c>
      <c r="D69" s="1494">
        <f t="shared" ref="D69:D77" si="20">SUMIF($J$68:$N$68,C69,J69:N69)</f>
        <v>0</v>
      </c>
      <c r="E69" s="1495">
        <f>ROUND(SUM(D69:D77),4)</f>
        <v>3.8899999999999997E-2</v>
      </c>
      <c r="F69" s="1496">
        <f>IF(E2="住宅",SUMIF(L1:L12,G2,N1:N12),"——")</f>
        <v>0.15</v>
      </c>
      <c r="G69" s="1626">
        <v>1.0500000000000001E-2</v>
      </c>
      <c r="H69" s="1627">
        <f t="shared" ref="H69:H77" si="21">IFERROR(ROUNDDOWN($F$69*I69/2,4),"——")</f>
        <v>1.0500000000000001E-2</v>
      </c>
      <c r="I69" s="1597">
        <v>0.14000000000000001</v>
      </c>
      <c r="J69" s="1598">
        <f t="shared" ref="J69:J77" si="22">K69+$G69</f>
        <v>2.1000000000000001E-2</v>
      </c>
      <c r="K69" s="1598">
        <f t="shared" ref="K69:K77" si="23">$L69+$G69</f>
        <v>1.0500000000000001E-2</v>
      </c>
      <c r="L69" s="1598">
        <v>0</v>
      </c>
      <c r="M69" s="1598">
        <f t="shared" ref="M69:N77" si="24">L69-$G69</f>
        <v>-1.0500000000000001E-2</v>
      </c>
      <c r="N69" s="1598">
        <f t="shared" si="24"/>
        <v>-2.1000000000000001E-2</v>
      </c>
      <c r="P69" s="1469"/>
      <c r="Q69" s="1469"/>
      <c r="R69" s="1611"/>
      <c r="S69" s="1611"/>
      <c r="T69" s="1611"/>
      <c r="U69" s="1611"/>
      <c r="V69" s="1611"/>
      <c r="W69" s="1469"/>
      <c r="X69" s="1469"/>
      <c r="Y69" s="1469"/>
      <c r="Z69" s="1469"/>
      <c r="AA69" s="1469"/>
      <c r="AB69" s="1469"/>
      <c r="AC69" s="1469"/>
      <c r="AD69" s="1611"/>
      <c r="AE69" s="1317"/>
      <c r="AF69" s="1317"/>
      <c r="AG69" s="1317"/>
      <c r="AH69" s="1317"/>
      <c r="AI69" s="1317"/>
      <c r="AJ69" s="1317"/>
      <c r="AK69" s="1317"/>
      <c r="AL69" s="1317"/>
      <c r="AM69" s="1317"/>
      <c r="AN69" s="1317"/>
    </row>
    <row r="70" spans="1:40" s="1313" customFormat="1" ht="132">
      <c r="A70" s="1281" t="s">
        <v>649</v>
      </c>
      <c r="B70" s="1486" t="str">
        <f>估价对象房地状况!C18</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C70" s="1625" t="s">
        <v>1280</v>
      </c>
      <c r="D70" s="1494">
        <f t="shared" si="20"/>
        <v>0</v>
      </c>
      <c r="E70" s="1628"/>
      <c r="F70" s="1629"/>
      <c r="G70" s="1626">
        <v>2.2499999999999999E-2</v>
      </c>
      <c r="H70" s="1627">
        <f t="shared" si="21"/>
        <v>2.2499999999999999E-2</v>
      </c>
      <c r="I70" s="1597">
        <v>0.3</v>
      </c>
      <c r="J70" s="1598">
        <f t="shared" si="22"/>
        <v>4.4999999999999998E-2</v>
      </c>
      <c r="K70" s="1598">
        <f t="shared" si="23"/>
        <v>2.2499999999999999E-2</v>
      </c>
      <c r="L70" s="1598">
        <v>0</v>
      </c>
      <c r="M70" s="1598">
        <f t="shared" si="24"/>
        <v>-2.2499999999999999E-2</v>
      </c>
      <c r="N70" s="1598">
        <f t="shared" si="24"/>
        <v>-4.4999999999999998E-2</v>
      </c>
      <c r="P70" s="1469"/>
      <c r="Q70" s="1469"/>
      <c r="R70" s="1611"/>
      <c r="S70" s="1611"/>
      <c r="T70" s="1611"/>
      <c r="U70" s="1611"/>
      <c r="V70" s="1611"/>
      <c r="W70" s="1469"/>
      <c r="X70" s="1469"/>
      <c r="Y70" s="1469"/>
      <c r="Z70" s="1469"/>
      <c r="AA70" s="1469"/>
      <c r="AB70" s="1469"/>
      <c r="AC70" s="1469"/>
      <c r="AD70" s="1611"/>
      <c r="AE70" s="1317"/>
      <c r="AF70" s="1317"/>
      <c r="AG70" s="1317"/>
      <c r="AH70" s="1317"/>
      <c r="AI70" s="1317"/>
      <c r="AJ70" s="1317"/>
      <c r="AK70" s="1317"/>
      <c r="AL70" s="1317"/>
      <c r="AM70" s="1317"/>
      <c r="AN70" s="1317"/>
    </row>
    <row r="71" spans="1:40" s="1313" customFormat="1" ht="24">
      <c r="A71" s="1281" t="s">
        <v>660</v>
      </c>
      <c r="B71" s="1486">
        <f>估价对象房地状况!C19</f>
        <v>0</v>
      </c>
      <c r="C71" s="1625" t="s">
        <v>1279</v>
      </c>
      <c r="D71" s="1494">
        <f t="shared" si="20"/>
        <v>6.0000000000000001E-3</v>
      </c>
      <c r="E71" s="1628"/>
      <c r="F71" s="1629"/>
      <c r="G71" s="1626">
        <v>6.0000000000000001E-3</v>
      </c>
      <c r="H71" s="1627">
        <f t="shared" si="21"/>
        <v>6.0000000000000001E-3</v>
      </c>
      <c r="I71" s="1597">
        <v>0.08</v>
      </c>
      <c r="J71" s="1598">
        <f t="shared" si="22"/>
        <v>1.2E-2</v>
      </c>
      <c r="K71" s="1598">
        <f t="shared" si="23"/>
        <v>6.0000000000000001E-3</v>
      </c>
      <c r="L71" s="1598">
        <v>0</v>
      </c>
      <c r="M71" s="1598">
        <f t="shared" si="24"/>
        <v>-6.0000000000000001E-3</v>
      </c>
      <c r="N71" s="1598">
        <f t="shared" si="24"/>
        <v>-1.2E-2</v>
      </c>
      <c r="P71" s="1469"/>
      <c r="Q71" s="1469"/>
      <c r="R71" s="1611"/>
      <c r="S71" s="1611"/>
      <c r="T71" s="1611"/>
      <c r="U71" s="1611"/>
      <c r="V71" s="1611"/>
      <c r="W71" s="1469"/>
      <c r="X71" s="1469"/>
      <c r="Y71" s="1469"/>
      <c r="Z71" s="1469"/>
      <c r="AA71" s="1469"/>
      <c r="AB71" s="1469"/>
      <c r="AC71" s="1469"/>
      <c r="AD71" s="1611"/>
      <c r="AE71" s="1317"/>
      <c r="AF71" s="1317"/>
      <c r="AG71" s="1317"/>
      <c r="AH71" s="1317"/>
      <c r="AI71" s="1317"/>
      <c r="AJ71" s="1317"/>
      <c r="AK71" s="1317"/>
      <c r="AL71" s="1317"/>
      <c r="AM71" s="1317"/>
      <c r="AN71" s="1317"/>
    </row>
    <row r="72" spans="1:40" s="1313" customFormat="1" ht="14.25">
      <c r="A72" s="1281" t="s">
        <v>1281</v>
      </c>
      <c r="B72" s="1486" t="str">
        <f>估价对象房地状况!C24</f>
        <v>城市次干道-温泉路</v>
      </c>
      <c r="C72" s="1625" t="s">
        <v>1282</v>
      </c>
      <c r="D72" s="1494">
        <f t="shared" si="20"/>
        <v>-3.0000000000000001E-3</v>
      </c>
      <c r="E72" s="1628"/>
      <c r="F72" s="1629"/>
      <c r="G72" s="1626">
        <v>3.0000000000000001E-3</v>
      </c>
      <c r="H72" s="1627">
        <f t="shared" si="21"/>
        <v>3.0000000000000001E-3</v>
      </c>
      <c r="I72" s="1597">
        <v>0.04</v>
      </c>
      <c r="J72" s="1598">
        <f t="shared" si="22"/>
        <v>6.0000000000000001E-3</v>
      </c>
      <c r="K72" s="1598">
        <f t="shared" si="23"/>
        <v>3.0000000000000001E-3</v>
      </c>
      <c r="L72" s="1598">
        <v>0</v>
      </c>
      <c r="M72" s="1598">
        <f t="shared" si="24"/>
        <v>-3.0000000000000001E-3</v>
      </c>
      <c r="N72" s="1598">
        <f t="shared" si="24"/>
        <v>-6.0000000000000001E-3</v>
      </c>
      <c r="P72" s="1469"/>
      <c r="Q72" s="1469"/>
      <c r="R72" s="1611"/>
      <c r="S72" s="1611"/>
      <c r="T72" s="1611"/>
      <c r="U72" s="1611"/>
      <c r="V72" s="1611"/>
      <c r="W72" s="1469"/>
      <c r="X72" s="1469"/>
      <c r="Y72" s="1469"/>
      <c r="Z72" s="1469"/>
      <c r="AA72" s="1469"/>
      <c r="AB72" s="1469"/>
      <c r="AC72" s="1469"/>
      <c r="AD72" s="1611"/>
      <c r="AE72" s="1317"/>
      <c r="AF72" s="1317"/>
      <c r="AG72" s="1317"/>
      <c r="AH72" s="1317"/>
      <c r="AI72" s="1317"/>
      <c r="AJ72" s="1317"/>
      <c r="AK72" s="1317"/>
      <c r="AL72" s="1317"/>
      <c r="AM72" s="1317"/>
      <c r="AN72" s="1317"/>
    </row>
    <row r="73" spans="1:40" s="1313" customFormat="1" ht="132">
      <c r="A73" s="1281" t="s">
        <v>1276</v>
      </c>
      <c r="B73" s="1503" t="str">
        <f>估价对象房地状况!C21</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C73" s="1625" t="s">
        <v>1279</v>
      </c>
      <c r="D73" s="1494">
        <f t="shared" si="20"/>
        <v>6.0000000000000001E-3</v>
      </c>
      <c r="E73" s="1628"/>
      <c r="F73" s="1629"/>
      <c r="G73" s="1626">
        <v>6.0000000000000001E-3</v>
      </c>
      <c r="H73" s="1627">
        <f t="shared" si="21"/>
        <v>6.0000000000000001E-3</v>
      </c>
      <c r="I73" s="1597">
        <v>0.08</v>
      </c>
      <c r="J73" s="1598">
        <f t="shared" si="22"/>
        <v>1.2E-2</v>
      </c>
      <c r="K73" s="1598">
        <f t="shared" si="23"/>
        <v>6.0000000000000001E-3</v>
      </c>
      <c r="L73" s="1598">
        <v>0</v>
      </c>
      <c r="M73" s="1598">
        <f t="shared" si="24"/>
        <v>-6.0000000000000001E-3</v>
      </c>
      <c r="N73" s="1598">
        <f t="shared" si="24"/>
        <v>-1.2E-2</v>
      </c>
      <c r="P73" s="1469"/>
      <c r="Q73" s="1469"/>
      <c r="R73" s="1611"/>
      <c r="S73" s="1611"/>
      <c r="T73" s="1611"/>
      <c r="U73" s="1611"/>
      <c r="V73" s="1611"/>
      <c r="W73" s="1469"/>
      <c r="X73" s="1469"/>
      <c r="Y73" s="1469"/>
      <c r="Z73" s="1469"/>
      <c r="AA73" s="1469"/>
      <c r="AB73" s="1469"/>
      <c r="AC73" s="1469"/>
      <c r="AD73" s="1611"/>
      <c r="AE73" s="1317"/>
      <c r="AF73" s="1317"/>
      <c r="AG73" s="1317"/>
      <c r="AH73" s="1317"/>
      <c r="AI73" s="1317"/>
      <c r="AJ73" s="1317"/>
      <c r="AK73" s="1317"/>
      <c r="AL73" s="1317"/>
      <c r="AM73" s="1317"/>
      <c r="AN73" s="1317"/>
    </row>
    <row r="74" spans="1:40" s="1313" customFormat="1" ht="24">
      <c r="A74" s="1281" t="s">
        <v>1277</v>
      </c>
      <c r="B74" s="1503" t="str">
        <f>估价对象房地状况!C22</f>
        <v>估价对象所在区域基础设施水平-七通</v>
      </c>
      <c r="C74" s="1625" t="s">
        <v>1283</v>
      </c>
      <c r="D74" s="1494">
        <f t="shared" si="20"/>
        <v>1.7999999999999999E-2</v>
      </c>
      <c r="E74" s="1628"/>
      <c r="F74" s="1629"/>
      <c r="G74" s="1626">
        <v>8.9999999999999993E-3</v>
      </c>
      <c r="H74" s="1627">
        <f t="shared" si="21"/>
        <v>8.9999999999999993E-3</v>
      </c>
      <c r="I74" s="1597">
        <v>0.12</v>
      </c>
      <c r="J74" s="1598">
        <f t="shared" si="22"/>
        <v>1.7999999999999999E-2</v>
      </c>
      <c r="K74" s="1598">
        <f t="shared" si="23"/>
        <v>8.9999999999999993E-3</v>
      </c>
      <c r="L74" s="1598">
        <v>0</v>
      </c>
      <c r="M74" s="1598">
        <f t="shared" si="24"/>
        <v>-8.9999999999999993E-3</v>
      </c>
      <c r="N74" s="1598">
        <f t="shared" si="24"/>
        <v>-1.7999999999999999E-2</v>
      </c>
      <c r="P74" s="1469"/>
      <c r="Q74" s="1469"/>
      <c r="R74" s="1611"/>
      <c r="S74" s="1611"/>
      <c r="T74" s="1611"/>
      <c r="U74" s="1611"/>
      <c r="V74" s="1611"/>
      <c r="W74" s="1469"/>
      <c r="X74" s="1469"/>
      <c r="Y74" s="1469"/>
      <c r="Z74" s="1469"/>
      <c r="AA74" s="1469"/>
      <c r="AB74" s="1469"/>
      <c r="AC74" s="1469"/>
      <c r="AD74" s="1611"/>
      <c r="AE74" s="1317"/>
      <c r="AF74" s="1317"/>
      <c r="AG74" s="1317"/>
      <c r="AH74" s="1317"/>
      <c r="AI74" s="1317"/>
      <c r="AJ74" s="1317"/>
      <c r="AK74" s="1317"/>
      <c r="AL74" s="1317"/>
      <c r="AM74" s="1317"/>
      <c r="AN74" s="1317"/>
    </row>
    <row r="75" spans="1:40" s="1313" customFormat="1" ht="24">
      <c r="A75" s="1281" t="s">
        <v>1274</v>
      </c>
      <c r="B75" s="1501" t="s">
        <v>2708</v>
      </c>
      <c r="C75" s="1625" t="s">
        <v>1279</v>
      </c>
      <c r="D75" s="1494">
        <f t="shared" si="20"/>
        <v>3.7000000000000002E-3</v>
      </c>
      <c r="E75" s="1628"/>
      <c r="F75" s="1629"/>
      <c r="G75" s="1626">
        <v>3.7000000000000002E-3</v>
      </c>
      <c r="H75" s="1627">
        <f t="shared" si="21"/>
        <v>3.7000000000000002E-3</v>
      </c>
      <c r="I75" s="1597">
        <v>0.05</v>
      </c>
      <c r="J75" s="1598">
        <f t="shared" si="22"/>
        <v>7.4000000000000003E-3</v>
      </c>
      <c r="K75" s="1598">
        <f t="shared" si="23"/>
        <v>3.7000000000000002E-3</v>
      </c>
      <c r="L75" s="1598">
        <v>0</v>
      </c>
      <c r="M75" s="1598">
        <f t="shared" si="24"/>
        <v>-3.7000000000000002E-3</v>
      </c>
      <c r="N75" s="1598">
        <f t="shared" si="24"/>
        <v>-7.4000000000000003E-3</v>
      </c>
      <c r="P75" s="1469"/>
      <c r="Q75" s="1469"/>
      <c r="R75" s="1611"/>
      <c r="S75" s="1611"/>
      <c r="T75" s="1611"/>
      <c r="U75" s="1611"/>
      <c r="V75" s="1611"/>
      <c r="W75" s="1469"/>
      <c r="X75" s="1469"/>
      <c r="Y75" s="1469"/>
      <c r="Z75" s="1469"/>
      <c r="AA75" s="1469"/>
      <c r="AB75" s="1469"/>
      <c r="AC75" s="1469"/>
      <c r="AD75" s="1611"/>
      <c r="AE75" s="1317"/>
      <c r="AF75" s="1317"/>
      <c r="AG75" s="1317"/>
      <c r="AH75" s="1317"/>
      <c r="AI75" s="1317"/>
      <c r="AJ75" s="1317"/>
      <c r="AK75" s="1317"/>
      <c r="AL75" s="1317"/>
      <c r="AM75" s="1317"/>
      <c r="AN75" s="1317"/>
    </row>
    <row r="76" spans="1:40" ht="96">
      <c r="A76" s="1281" t="s">
        <v>1278</v>
      </c>
      <c r="B76" s="1492" t="str">
        <f>估价对象房地状况!C20</f>
        <v>估价对象所在海淀区温泉镇周边绿化条件较好，周边2公里内有温泉公园、齐物潭、梅花鹿公园、白家疃公园等绿化设施；辛亥滦州革命先烈纪念园等人文设施，综合考虑自然环境与人文环境较好。</v>
      </c>
      <c r="C76" s="1625" t="s">
        <v>1279</v>
      </c>
      <c r="D76" s="1494">
        <f t="shared" si="20"/>
        <v>1.12E-2</v>
      </c>
      <c r="E76" s="1628"/>
      <c r="F76" s="1629"/>
      <c r="G76" s="1626">
        <v>1.12E-2</v>
      </c>
      <c r="H76" s="1627">
        <f t="shared" si="21"/>
        <v>1.12E-2</v>
      </c>
      <c r="I76" s="1597">
        <v>0.15</v>
      </c>
      <c r="J76" s="1598">
        <f t="shared" si="22"/>
        <v>2.24E-2</v>
      </c>
      <c r="K76" s="1598">
        <f t="shared" si="23"/>
        <v>1.12E-2</v>
      </c>
      <c r="L76" s="1598">
        <v>0</v>
      </c>
      <c r="M76" s="1598">
        <f t="shared" si="24"/>
        <v>-1.12E-2</v>
      </c>
      <c r="N76" s="1598">
        <f t="shared" si="24"/>
        <v>-2.24E-2</v>
      </c>
      <c r="P76" s="1656"/>
      <c r="Q76" s="1656"/>
      <c r="R76" s="1662"/>
      <c r="S76" s="1662"/>
      <c r="T76" s="1662"/>
      <c r="U76" s="1662"/>
      <c r="V76" s="1662"/>
      <c r="W76" s="1656"/>
      <c r="X76" s="1656"/>
      <c r="Y76" s="1656"/>
      <c r="Z76" s="1656"/>
      <c r="AA76" s="1656"/>
      <c r="AB76" s="1656"/>
      <c r="AC76" s="1656"/>
      <c r="AD76" s="1662"/>
      <c r="AJ76" s="1317"/>
      <c r="AN76" s="1314"/>
    </row>
    <row r="77" spans="1:40" ht="24.75" thickBot="1">
      <c r="A77" s="1504" t="s">
        <v>1284</v>
      </c>
      <c r="B77" s="1630" t="s">
        <v>2709</v>
      </c>
      <c r="C77" s="1625" t="s">
        <v>1282</v>
      </c>
      <c r="D77" s="1494">
        <f t="shared" si="20"/>
        <v>-3.0000000000000001E-3</v>
      </c>
      <c r="E77" s="1572"/>
      <c r="F77" s="1629"/>
      <c r="G77" s="1626">
        <v>3.0000000000000001E-3</v>
      </c>
      <c r="H77" s="1627">
        <f t="shared" si="21"/>
        <v>3.0000000000000001E-3</v>
      </c>
      <c r="I77" s="1599">
        <v>0.04</v>
      </c>
      <c r="J77" s="1598">
        <f t="shared" si="22"/>
        <v>6.0000000000000001E-3</v>
      </c>
      <c r="K77" s="1598">
        <f t="shared" si="23"/>
        <v>3.0000000000000001E-3</v>
      </c>
      <c r="L77" s="1598">
        <v>0</v>
      </c>
      <c r="M77" s="1598">
        <f t="shared" si="24"/>
        <v>-3.0000000000000001E-3</v>
      </c>
      <c r="N77" s="1598">
        <f t="shared" si="24"/>
        <v>-6.0000000000000001E-3</v>
      </c>
      <c r="AC77" s="1316"/>
      <c r="AD77" s="1314"/>
      <c r="AJ77" s="1317"/>
      <c r="AN77" s="1314"/>
    </row>
    <row r="78" spans="1:40" ht="15">
      <c r="A78" s="1480" t="s">
        <v>164</v>
      </c>
      <c r="B78" s="1481">
        <f>1+E80</f>
        <v>1</v>
      </c>
      <c r="C78" s="1507"/>
      <c r="D78" s="1483"/>
      <c r="E78" s="1484"/>
      <c r="F78" s="1485"/>
      <c r="G78" s="1479"/>
      <c r="H78" s="1479"/>
      <c r="I78" s="1479"/>
      <c r="J78" s="1233"/>
      <c r="K78" s="1233"/>
      <c r="L78" s="1233"/>
      <c r="M78" s="1233"/>
      <c r="N78" s="1233"/>
      <c r="AC78" s="1316"/>
      <c r="AD78" s="1314"/>
      <c r="AJ78" s="1317"/>
      <c r="AN78" s="1314"/>
    </row>
    <row r="79" spans="1:40" ht="24">
      <c r="A79" s="1281" t="s">
        <v>1261</v>
      </c>
      <c r="B79" s="1486"/>
      <c r="C79" s="1487" t="s">
        <v>1263</v>
      </c>
      <c r="D79" s="1488" t="s">
        <v>1264</v>
      </c>
      <c r="E79" s="1489" t="s">
        <v>1265</v>
      </c>
      <c r="F79" s="1490" t="s">
        <v>1266</v>
      </c>
      <c r="G79" s="1488" t="s">
        <v>1267</v>
      </c>
      <c r="H79" s="1491" t="s">
        <v>1268</v>
      </c>
      <c r="I79" s="1488" t="s">
        <v>1269</v>
      </c>
      <c r="J79" s="1596" t="s">
        <v>250</v>
      </c>
      <c r="K79" s="1596" t="s">
        <v>262</v>
      </c>
      <c r="L79" s="1596" t="s">
        <v>272</v>
      </c>
      <c r="M79" s="1596" t="s">
        <v>282</v>
      </c>
      <c r="N79" s="1596" t="s">
        <v>289</v>
      </c>
      <c r="AC79" s="1316"/>
      <c r="AD79" s="1314"/>
      <c r="AJ79" s="1317"/>
      <c r="AN79" s="1314"/>
    </row>
    <row r="80" spans="1:40" ht="36">
      <c r="A80" s="1281" t="s">
        <v>645</v>
      </c>
      <c r="B80" s="1486" t="str">
        <f>估价对象房地状况!G15</f>
        <v>估价对象位于XX开发区，园区建设成熟度XX，产业集聚程度XX</v>
      </c>
      <c r="C80" s="1493"/>
      <c r="D80" s="1494">
        <f t="shared" ref="D80:D87" si="25">SUMIF($J$79:$N$79,C80,J80:N80)</f>
        <v>0</v>
      </c>
      <c r="E80" s="1495">
        <f>ROUND(SUM(D80:D87),4)</f>
        <v>0</v>
      </c>
      <c r="F80" s="1496" t="str">
        <f>IF(E2="工业",SUMIF(L1:L12,G2,N1:N12),"——")</f>
        <v>——</v>
      </c>
      <c r="G80" s="1497"/>
      <c r="H80" s="1498" t="str">
        <f t="shared" ref="H80:H87" si="26">IFERROR(ROUNDDOWN($F$80*I80/2,4),"——")</f>
        <v>——</v>
      </c>
      <c r="I80" s="1597">
        <v>0.26</v>
      </c>
      <c r="J80" s="1598">
        <f t="shared" ref="J80:J87" si="27">K80+$G80</f>
        <v>0</v>
      </c>
      <c r="K80" s="1598">
        <f t="shared" ref="K80:K87" si="28">$L80+$G80</f>
        <v>0</v>
      </c>
      <c r="L80" s="1598">
        <v>0</v>
      </c>
      <c r="M80" s="1598">
        <f t="shared" ref="M80:N87" si="29">L80-$G80</f>
        <v>0</v>
      </c>
      <c r="N80" s="1598">
        <f t="shared" si="29"/>
        <v>0</v>
      </c>
      <c r="AC80" s="1316"/>
      <c r="AD80" s="1314"/>
      <c r="AJ80" s="1317"/>
      <c r="AN80" s="1314"/>
    </row>
    <row r="81" spans="1:40" ht="48">
      <c r="A81" s="1281" t="s">
        <v>649</v>
      </c>
      <c r="B81" s="1486" t="str">
        <f>估价对象房地状况!G16</f>
        <v>估价对象周边道路状况、公共交通通达情况、停车便捷程度，综合评价交通便捷度较好</v>
      </c>
      <c r="C81" s="1493"/>
      <c r="D81" s="1494">
        <f t="shared" si="25"/>
        <v>0</v>
      </c>
      <c r="E81" s="1628"/>
      <c r="F81" s="1629"/>
      <c r="G81" s="1497"/>
      <c r="H81" s="1498" t="str">
        <f t="shared" si="26"/>
        <v>——</v>
      </c>
      <c r="I81" s="1597">
        <v>0.33</v>
      </c>
      <c r="J81" s="1598">
        <f t="shared" si="27"/>
        <v>0</v>
      </c>
      <c r="K81" s="1598">
        <f t="shared" si="28"/>
        <v>0</v>
      </c>
      <c r="L81" s="1598">
        <v>0</v>
      </c>
      <c r="M81" s="1598">
        <f t="shared" si="29"/>
        <v>0</v>
      </c>
      <c r="N81" s="1598">
        <f t="shared" si="29"/>
        <v>0</v>
      </c>
      <c r="AC81" s="1316"/>
      <c r="AD81" s="1314"/>
      <c r="AJ81" s="1317"/>
      <c r="AN81" s="1314"/>
    </row>
    <row r="82" spans="1:40" ht="24">
      <c r="A82" s="1281" t="s">
        <v>660</v>
      </c>
      <c r="B82" s="1486">
        <f>估价对象房地状况!G17</f>
        <v>0</v>
      </c>
      <c r="C82" s="1493"/>
      <c r="D82" s="1494">
        <f t="shared" si="25"/>
        <v>0</v>
      </c>
      <c r="E82" s="1628"/>
      <c r="F82" s="1629"/>
      <c r="G82" s="1497"/>
      <c r="H82" s="1498" t="str">
        <f t="shared" si="26"/>
        <v>——</v>
      </c>
      <c r="I82" s="1597">
        <v>0.05</v>
      </c>
      <c r="J82" s="1598">
        <f t="shared" si="27"/>
        <v>0</v>
      </c>
      <c r="K82" s="1598">
        <f t="shared" si="28"/>
        <v>0</v>
      </c>
      <c r="L82" s="1598">
        <v>0</v>
      </c>
      <c r="M82" s="1598">
        <f t="shared" si="29"/>
        <v>0</v>
      </c>
      <c r="N82" s="1598">
        <f t="shared" si="29"/>
        <v>0</v>
      </c>
      <c r="AC82" s="1316"/>
      <c r="AD82" s="1314"/>
      <c r="AJ82" s="1317"/>
      <c r="AN82" s="1314"/>
    </row>
    <row r="83" spans="1:40" ht="14.25">
      <c r="A83" s="1281" t="s">
        <v>1281</v>
      </c>
      <c r="B83" s="1486">
        <f>估价对象房地状况!G22</f>
        <v>0</v>
      </c>
      <c r="C83" s="1493"/>
      <c r="D83" s="1494">
        <f t="shared" si="25"/>
        <v>0</v>
      </c>
      <c r="E83" s="1628"/>
      <c r="F83" s="1629"/>
      <c r="G83" s="1497"/>
      <c r="H83" s="1498" t="str">
        <f t="shared" si="26"/>
        <v>——</v>
      </c>
      <c r="I83" s="1597">
        <v>0.04</v>
      </c>
      <c r="J83" s="1598">
        <f t="shared" si="27"/>
        <v>0</v>
      </c>
      <c r="K83" s="1598">
        <f t="shared" si="28"/>
        <v>0</v>
      </c>
      <c r="L83" s="1598">
        <v>0</v>
      </c>
      <c r="M83" s="1598">
        <f t="shared" si="29"/>
        <v>0</v>
      </c>
      <c r="N83" s="1598">
        <f t="shared" si="29"/>
        <v>0</v>
      </c>
      <c r="AC83" s="1316"/>
      <c r="AD83" s="1314"/>
      <c r="AJ83" s="1317"/>
      <c r="AN83" s="1314"/>
    </row>
    <row r="84" spans="1:40" ht="24">
      <c r="A84" s="1281" t="s">
        <v>1276</v>
      </c>
      <c r="B84" s="1503" t="str">
        <f>估价对象房地状况!G19</f>
        <v>估价对象所在区域公共配套设施齐备情况</v>
      </c>
      <c r="C84" s="1493"/>
      <c r="D84" s="1494">
        <f t="shared" si="25"/>
        <v>0</v>
      </c>
      <c r="E84" s="1628"/>
      <c r="F84" s="1629"/>
      <c r="G84" s="1497"/>
      <c r="H84" s="1498" t="str">
        <f t="shared" si="26"/>
        <v>——</v>
      </c>
      <c r="I84" s="1597">
        <v>0.06</v>
      </c>
      <c r="J84" s="1598">
        <f t="shared" si="27"/>
        <v>0</v>
      </c>
      <c r="K84" s="1598">
        <f t="shared" si="28"/>
        <v>0</v>
      </c>
      <c r="L84" s="1598">
        <v>0</v>
      </c>
      <c r="M84" s="1598">
        <f t="shared" si="29"/>
        <v>0</v>
      </c>
      <c r="N84" s="1598">
        <f t="shared" si="29"/>
        <v>0</v>
      </c>
      <c r="AC84" s="1316"/>
      <c r="AD84" s="1314"/>
      <c r="AJ84" s="1317"/>
      <c r="AN84" s="1314"/>
    </row>
    <row r="85" spans="1:40" ht="24">
      <c r="A85" s="1281" t="s">
        <v>1277</v>
      </c>
      <c r="B85" s="1503" t="str">
        <f>估价对象房地状况!G20</f>
        <v>估价对象所在区域基础设施水平</v>
      </c>
      <c r="C85" s="1493"/>
      <c r="D85" s="1494">
        <f t="shared" si="25"/>
        <v>0</v>
      </c>
      <c r="E85" s="1628"/>
      <c r="F85" s="1629"/>
      <c r="G85" s="1497"/>
      <c r="H85" s="1498" t="str">
        <f t="shared" si="26"/>
        <v>——</v>
      </c>
      <c r="I85" s="1597">
        <v>0.15</v>
      </c>
      <c r="J85" s="1598">
        <f t="shared" si="27"/>
        <v>0</v>
      </c>
      <c r="K85" s="1598">
        <f t="shared" si="28"/>
        <v>0</v>
      </c>
      <c r="L85" s="1598">
        <v>0</v>
      </c>
      <c r="M85" s="1598">
        <f t="shared" si="29"/>
        <v>0</v>
      </c>
      <c r="N85" s="1598">
        <f t="shared" si="29"/>
        <v>0</v>
      </c>
      <c r="AC85" s="1316"/>
      <c r="AD85" s="1314"/>
      <c r="AJ85" s="1317"/>
      <c r="AN85" s="1314"/>
    </row>
    <row r="86" spans="1:40" ht="24">
      <c r="A86" s="1281" t="s">
        <v>1274</v>
      </c>
      <c r="B86" s="1501" t="s">
        <v>1275</v>
      </c>
      <c r="C86" s="1493"/>
      <c r="D86" s="1494">
        <f t="shared" si="25"/>
        <v>0</v>
      </c>
      <c r="E86" s="1628"/>
      <c r="F86" s="1629"/>
      <c r="G86" s="1497"/>
      <c r="H86" s="1498" t="str">
        <f t="shared" si="26"/>
        <v>——</v>
      </c>
      <c r="I86" s="1597">
        <v>0.05</v>
      </c>
      <c r="J86" s="1598">
        <f t="shared" si="27"/>
        <v>0</v>
      </c>
      <c r="K86" s="1598">
        <f t="shared" si="28"/>
        <v>0</v>
      </c>
      <c r="L86" s="1598">
        <v>0</v>
      </c>
      <c r="M86" s="1598">
        <f t="shared" si="29"/>
        <v>0</v>
      </c>
      <c r="N86" s="1598">
        <f t="shared" si="29"/>
        <v>0</v>
      </c>
      <c r="AC86" s="1316"/>
      <c r="AD86" s="1314"/>
      <c r="AJ86" s="1317"/>
      <c r="AN86" s="1314"/>
    </row>
    <row r="87" spans="1:40" ht="36.75" thickBot="1">
      <c r="A87" s="1504" t="s">
        <v>655</v>
      </c>
      <c r="B87" s="1631" t="str">
        <f>估价对象房地状况!G18</f>
        <v>该园区内是否有污染型企业，绿化情况，卫生条件，整体环境状况判断</v>
      </c>
      <c r="C87" s="1493"/>
      <c r="D87" s="1494">
        <f t="shared" si="25"/>
        <v>0</v>
      </c>
      <c r="E87" s="1572"/>
      <c r="F87" s="1629"/>
      <c r="G87" s="1497"/>
      <c r="H87" s="1498" t="str">
        <f t="shared" si="26"/>
        <v>——</v>
      </c>
      <c r="I87" s="1599">
        <v>0.06</v>
      </c>
      <c r="J87" s="1598">
        <f t="shared" si="27"/>
        <v>0</v>
      </c>
      <c r="K87" s="1598">
        <f t="shared" si="28"/>
        <v>0</v>
      </c>
      <c r="L87" s="1598">
        <v>0</v>
      </c>
      <c r="M87" s="1598">
        <f t="shared" si="29"/>
        <v>0</v>
      </c>
      <c r="N87" s="1598">
        <f t="shared" si="29"/>
        <v>0</v>
      </c>
      <c r="AC87" s="1316"/>
      <c r="AD87" s="1314"/>
      <c r="AJ87" s="1317"/>
      <c r="AN87" s="1314"/>
    </row>
    <row r="90" spans="1:40">
      <c r="A90" s="3796" t="s">
        <v>1285</v>
      </c>
      <c r="B90" s="3796"/>
      <c r="C90" s="3796"/>
      <c r="D90" s="3796"/>
      <c r="E90" s="3796"/>
      <c r="F90" s="3796"/>
      <c r="G90" s="3796"/>
      <c r="H90" s="3796"/>
      <c r="I90" s="3796"/>
      <c r="J90" s="3796"/>
      <c r="K90" s="3375"/>
      <c r="L90" s="3375"/>
      <c r="M90" s="3375"/>
      <c r="N90" s="3375"/>
    </row>
    <row r="91" spans="1:40">
      <c r="A91" s="3806" t="s">
        <v>345</v>
      </c>
      <c r="B91" s="3806" t="s">
        <v>1087</v>
      </c>
      <c r="C91" s="1632" t="s">
        <v>1137</v>
      </c>
      <c r="D91" s="1633"/>
      <c r="E91" s="1633"/>
      <c r="F91" s="1633"/>
      <c r="G91" s="1633"/>
      <c r="H91" s="1633"/>
      <c r="I91" s="1633"/>
      <c r="J91" s="1657"/>
      <c r="K91" s="1297"/>
      <c r="L91" s="1297"/>
      <c r="M91" s="1297"/>
      <c r="N91" s="1297"/>
    </row>
    <row r="92" spans="1:40">
      <c r="A92" s="3806"/>
      <c r="B92" s="3806"/>
      <c r="C92" s="3373" t="s">
        <v>240</v>
      </c>
      <c r="D92" s="3373" t="s">
        <v>253</v>
      </c>
      <c r="E92" s="3373" t="s">
        <v>265</v>
      </c>
      <c r="F92" s="3373" t="s">
        <v>275</v>
      </c>
      <c r="G92" s="3373" t="s">
        <v>284</v>
      </c>
      <c r="H92" s="3373" t="s">
        <v>292</v>
      </c>
      <c r="I92" s="3373" t="s">
        <v>297</v>
      </c>
      <c r="J92" s="3373" t="s">
        <v>302</v>
      </c>
      <c r="K92" s="3373" t="s">
        <v>305</v>
      </c>
      <c r="L92" s="3373" t="s">
        <v>308</v>
      </c>
      <c r="M92" s="3373" t="s">
        <v>311</v>
      </c>
      <c r="N92" s="3373" t="s">
        <v>314</v>
      </c>
    </row>
    <row r="93" spans="1:40">
      <c r="A93" s="3807" t="s">
        <v>1286</v>
      </c>
      <c r="B93" s="1634">
        <v>1</v>
      </c>
      <c r="C93" s="1635">
        <v>1.9361999999999999</v>
      </c>
      <c r="D93" s="1635">
        <v>1.9361999999999999</v>
      </c>
      <c r="E93" s="1635">
        <v>1.8629</v>
      </c>
      <c r="F93" s="1635">
        <v>1.8629</v>
      </c>
      <c r="G93" s="1635">
        <v>1.8629</v>
      </c>
      <c r="H93" s="1635">
        <v>1.8629</v>
      </c>
      <c r="I93" s="1635">
        <v>1.8629</v>
      </c>
      <c r="J93" s="1635">
        <v>1.9419999999999999</v>
      </c>
      <c r="K93" s="1635">
        <v>1.9419999999999999</v>
      </c>
      <c r="L93" s="1635">
        <v>1.9419999999999999</v>
      </c>
      <c r="M93" s="1635">
        <v>1.9419999999999999</v>
      </c>
      <c r="N93" s="1635">
        <v>1.9419999999999999</v>
      </c>
    </row>
    <row r="94" spans="1:40">
      <c r="A94" s="3808"/>
      <c r="B94" s="1634">
        <v>2</v>
      </c>
      <c r="C94" s="1635">
        <v>1.4198</v>
      </c>
      <c r="D94" s="1635">
        <v>1.4198</v>
      </c>
      <c r="E94" s="1635">
        <v>1.3371999999999999</v>
      </c>
      <c r="F94" s="1635">
        <v>1.3371999999999999</v>
      </c>
      <c r="G94" s="1635">
        <v>1.3371999999999999</v>
      </c>
      <c r="H94" s="1635">
        <v>1.3371999999999999</v>
      </c>
      <c r="I94" s="1635">
        <v>1.3371999999999999</v>
      </c>
      <c r="J94" s="1635">
        <v>1.2799</v>
      </c>
      <c r="K94" s="1635">
        <v>1.2799</v>
      </c>
      <c r="L94" s="1635">
        <v>1.2799</v>
      </c>
      <c r="M94" s="1635">
        <v>1.2799</v>
      </c>
      <c r="N94" s="1635">
        <v>1.2799</v>
      </c>
    </row>
    <row r="95" spans="1:40">
      <c r="A95" s="3808"/>
      <c r="B95" s="1634">
        <v>3</v>
      </c>
      <c r="C95" s="1635">
        <v>1.1594</v>
      </c>
      <c r="D95" s="1635">
        <v>1.1594</v>
      </c>
      <c r="E95" s="1635">
        <v>1.0788</v>
      </c>
      <c r="F95" s="1635">
        <v>1.0788</v>
      </c>
      <c r="G95" s="1635">
        <v>1.0788</v>
      </c>
      <c r="H95" s="1635">
        <v>1.0788</v>
      </c>
      <c r="I95" s="1635">
        <v>1.0788</v>
      </c>
      <c r="J95" s="1635">
        <v>1.0072000000000001</v>
      </c>
      <c r="K95" s="1635">
        <v>1.0072000000000001</v>
      </c>
      <c r="L95" s="1635">
        <v>1.0072000000000001</v>
      </c>
      <c r="M95" s="1635">
        <v>1.0072000000000001</v>
      </c>
      <c r="N95" s="1635">
        <v>1.0072000000000001</v>
      </c>
    </row>
    <row r="96" spans="1:40">
      <c r="A96" s="3808"/>
      <c r="B96" s="1634">
        <v>4</v>
      </c>
      <c r="C96" s="1635">
        <v>0.96220000000000006</v>
      </c>
      <c r="D96" s="1635">
        <v>0.96220000000000006</v>
      </c>
      <c r="E96" s="1635">
        <v>0.86560000000000004</v>
      </c>
      <c r="F96" s="1635">
        <v>0.86560000000000004</v>
      </c>
      <c r="G96" s="1635">
        <v>0.86560000000000004</v>
      </c>
      <c r="H96" s="1635">
        <v>0.86560000000000004</v>
      </c>
      <c r="I96" s="1635">
        <v>0.86560000000000004</v>
      </c>
      <c r="J96" s="1635">
        <v>0.75249999999999995</v>
      </c>
      <c r="K96" s="1635">
        <v>0.75249999999999995</v>
      </c>
      <c r="L96" s="1635">
        <v>0.75249999999999995</v>
      </c>
      <c r="M96" s="1635">
        <v>0.75249999999999995</v>
      </c>
      <c r="N96" s="1635">
        <v>0.75249999999999995</v>
      </c>
    </row>
    <row r="97" spans="1:14">
      <c r="A97" s="3808"/>
      <c r="B97" s="1634">
        <v>5</v>
      </c>
      <c r="C97" s="1635">
        <v>0.8417</v>
      </c>
      <c r="D97" s="1635">
        <v>0.8417</v>
      </c>
      <c r="E97" s="1635">
        <v>0.73709999999999998</v>
      </c>
      <c r="F97" s="1635">
        <v>0.73709999999999998</v>
      </c>
      <c r="G97" s="1635">
        <v>0.73709999999999998</v>
      </c>
      <c r="H97" s="1635">
        <v>0.73709999999999998</v>
      </c>
      <c r="I97" s="1635">
        <v>0.73709999999999998</v>
      </c>
      <c r="J97" s="1635">
        <v>0.56589999999999996</v>
      </c>
      <c r="K97" s="1635">
        <v>0.56589999999999996</v>
      </c>
      <c r="L97" s="1635">
        <v>0.56589999999999996</v>
      </c>
      <c r="M97" s="1635">
        <v>0.56589999999999996</v>
      </c>
      <c r="N97" s="1635">
        <v>0.56589999999999996</v>
      </c>
    </row>
    <row r="98" spans="1:14">
      <c r="A98" s="3808"/>
      <c r="B98" s="1634">
        <v>6</v>
      </c>
      <c r="C98" s="1635">
        <v>0.76080000000000003</v>
      </c>
      <c r="D98" s="1635">
        <v>0.76080000000000003</v>
      </c>
      <c r="E98" s="1635">
        <v>0.6482</v>
      </c>
      <c r="F98" s="1635">
        <v>0.6482</v>
      </c>
      <c r="G98" s="1635">
        <v>0.6482</v>
      </c>
      <c r="H98" s="1635">
        <v>0.6482</v>
      </c>
      <c r="I98" s="1635">
        <v>0.6482</v>
      </c>
      <c r="J98" s="1635">
        <v>0.45250000000000001</v>
      </c>
      <c r="K98" s="1635">
        <v>0.45250000000000001</v>
      </c>
      <c r="L98" s="1635">
        <v>0.45250000000000001</v>
      </c>
      <c r="M98" s="1635">
        <v>0.45250000000000001</v>
      </c>
      <c r="N98" s="1635">
        <v>0.45250000000000001</v>
      </c>
    </row>
    <row r="99" spans="1:14">
      <c r="A99" s="3808"/>
      <c r="B99" s="1634" t="s">
        <v>1287</v>
      </c>
      <c r="C99" s="1636">
        <f>$I$3</f>
        <v>0</v>
      </c>
      <c r="D99" s="1636">
        <f t="shared" ref="D99:N99" si="30">$I$3</f>
        <v>0</v>
      </c>
      <c r="E99" s="1636">
        <f t="shared" si="30"/>
        <v>0</v>
      </c>
      <c r="F99" s="1636">
        <f t="shared" si="30"/>
        <v>0</v>
      </c>
      <c r="G99" s="1636">
        <f t="shared" si="30"/>
        <v>0</v>
      </c>
      <c r="H99" s="1636">
        <f t="shared" si="30"/>
        <v>0</v>
      </c>
      <c r="I99" s="1636">
        <f t="shared" si="30"/>
        <v>0</v>
      </c>
      <c r="J99" s="1636">
        <f t="shared" si="30"/>
        <v>0</v>
      </c>
      <c r="K99" s="1636">
        <f t="shared" si="30"/>
        <v>0</v>
      </c>
      <c r="L99" s="1636">
        <f t="shared" si="30"/>
        <v>0</v>
      </c>
      <c r="M99" s="1636">
        <f t="shared" si="30"/>
        <v>0</v>
      </c>
      <c r="N99" s="1636">
        <f t="shared" si="30"/>
        <v>0</v>
      </c>
    </row>
    <row r="100" spans="1:14">
      <c r="A100" s="3809"/>
      <c r="B100" s="1634">
        <v>7</v>
      </c>
      <c r="C100" s="1637">
        <f>(-0.163*(C99^2)-0.59*C99+7617)*(10^(-4))</f>
        <v>0.76170000000000004</v>
      </c>
      <c r="D100" s="1637">
        <f>(-0.163*(D99^2)-0.59*D99+7617)*(10^(-4))</f>
        <v>0.76170000000000004</v>
      </c>
      <c r="E100" s="1637">
        <f>(-0.161*(E99^2)-7.509*E99+6533)*(10^(-4))</f>
        <v>0.65329999999999999</v>
      </c>
      <c r="F100" s="1637">
        <f>(-0.161*(F99^2)-7.509*F99+6533)*(10^(-4))</f>
        <v>0.65329999999999999</v>
      </c>
      <c r="G100" s="1637">
        <f>(-0.161*(G99^2)-7.509*G99+6533)*(10^(-4))</f>
        <v>0.65329999999999999</v>
      </c>
      <c r="H100" s="1637">
        <f>(-0.161*(H99^2)-7.509*H99+6533)*(10^(-4))</f>
        <v>0.65329999999999999</v>
      </c>
      <c r="I100" s="1637">
        <f>(-0.161*(I99^2)-7.509*I99+6533)*(10^(-4))</f>
        <v>0.65329999999999999</v>
      </c>
      <c r="J100" s="1637">
        <f>(-0.214*(J99^2)-21.991*J99+4665)*(10^(-4))</f>
        <v>0.46650000000000003</v>
      </c>
      <c r="K100" s="1637">
        <f>(-0.214*(K99^2)-21.991*K99+4665)*(10^(-4))</f>
        <v>0.46650000000000003</v>
      </c>
      <c r="L100" s="1637">
        <f>(-0.214*(L99^2)-21.991*L99+4665)*(10^(-4))</f>
        <v>0.46650000000000003</v>
      </c>
      <c r="M100" s="1637">
        <f>(-0.214*(M99^2)-21.991*M99+4665)*(10^(-4))</f>
        <v>0.46650000000000003</v>
      </c>
      <c r="N100" s="1637">
        <f>(-0.214*(N99^2)-21.991*N99+4665)*(10^(-4))</f>
        <v>0.46650000000000003</v>
      </c>
    </row>
    <row r="101" spans="1:14">
      <c r="A101" s="3807" t="s">
        <v>1288</v>
      </c>
      <c r="B101" s="1638" t="s">
        <v>105</v>
      </c>
      <c r="C101" s="1639">
        <f>$G$3</f>
        <v>2.5</v>
      </c>
      <c r="D101" s="1639">
        <f t="shared" ref="D101:N101" si="31">$G$3</f>
        <v>2.5</v>
      </c>
      <c r="E101" s="1639">
        <f t="shared" si="31"/>
        <v>2.5</v>
      </c>
      <c r="F101" s="1639">
        <f t="shared" si="31"/>
        <v>2.5</v>
      </c>
      <c r="G101" s="1639">
        <f t="shared" si="31"/>
        <v>2.5</v>
      </c>
      <c r="H101" s="1639">
        <f t="shared" si="31"/>
        <v>2.5</v>
      </c>
      <c r="I101" s="1639">
        <f t="shared" si="31"/>
        <v>2.5</v>
      </c>
      <c r="J101" s="1639">
        <f t="shared" si="31"/>
        <v>2.5</v>
      </c>
      <c r="K101" s="1639">
        <f t="shared" si="31"/>
        <v>2.5</v>
      </c>
      <c r="L101" s="1639">
        <f t="shared" si="31"/>
        <v>2.5</v>
      </c>
      <c r="M101" s="1639">
        <f t="shared" si="31"/>
        <v>2.5</v>
      </c>
      <c r="N101" s="1639">
        <f t="shared" si="31"/>
        <v>2.5</v>
      </c>
    </row>
    <row r="102" spans="1:14">
      <c r="A102" s="3808"/>
      <c r="B102" s="1634">
        <v>1</v>
      </c>
      <c r="C102" s="1635">
        <f>1.9362/C101</f>
        <v>0.77447999999999995</v>
      </c>
      <c r="D102" s="1635">
        <f>1.9362/D101</f>
        <v>0.77447999999999995</v>
      </c>
      <c r="E102" s="1635">
        <f>1.8629/E101</f>
        <v>0.74516000000000004</v>
      </c>
      <c r="F102" s="1635">
        <f>1.8629/F101</f>
        <v>0.74516000000000004</v>
      </c>
      <c r="G102" s="1635">
        <f>1.8629/G101</f>
        <v>0.74516000000000004</v>
      </c>
      <c r="H102" s="1635">
        <f>1.8629/H101</f>
        <v>0.74516000000000004</v>
      </c>
      <c r="I102" s="1635">
        <f>1.8629/I101</f>
        <v>0.74516000000000004</v>
      </c>
      <c r="J102" s="1635">
        <f>1.942/J101</f>
        <v>0.77679999999999993</v>
      </c>
      <c r="K102" s="1635">
        <f>1.942/K101</f>
        <v>0.77679999999999993</v>
      </c>
      <c r="L102" s="1635">
        <f>1.942/L101</f>
        <v>0.77679999999999993</v>
      </c>
      <c r="M102" s="1635">
        <f>1.942/M101</f>
        <v>0.77679999999999993</v>
      </c>
      <c r="N102" s="1635">
        <f>1.942/N101</f>
        <v>0.77679999999999993</v>
      </c>
    </row>
    <row r="103" spans="1:14">
      <c r="A103" s="3808"/>
      <c r="B103" s="1634">
        <v>2</v>
      </c>
      <c r="C103" s="1635">
        <f>1.4198/C101</f>
        <v>0.56791999999999998</v>
      </c>
      <c r="D103" s="1635">
        <f>1.4198/D101</f>
        <v>0.56791999999999998</v>
      </c>
      <c r="E103" s="1635">
        <f>1.3372/E101</f>
        <v>0.53488000000000002</v>
      </c>
      <c r="F103" s="1635">
        <f>1.3372/F101</f>
        <v>0.53488000000000002</v>
      </c>
      <c r="G103" s="1635">
        <f>1.3372/G101</f>
        <v>0.53488000000000002</v>
      </c>
      <c r="H103" s="1635">
        <f>1.3372/H101</f>
        <v>0.53488000000000002</v>
      </c>
      <c r="I103" s="1635">
        <f>1.3372/I101</f>
        <v>0.53488000000000002</v>
      </c>
      <c r="J103" s="1635">
        <f>1.2799/J101</f>
        <v>0.51195999999999997</v>
      </c>
      <c r="K103" s="1635">
        <f>1.2799/K101</f>
        <v>0.51195999999999997</v>
      </c>
      <c r="L103" s="1635">
        <f>1.2799/L101</f>
        <v>0.51195999999999997</v>
      </c>
      <c r="M103" s="1635">
        <f>1.2799/M101</f>
        <v>0.51195999999999997</v>
      </c>
      <c r="N103" s="1635">
        <f>1.2799/N101</f>
        <v>0.51195999999999997</v>
      </c>
    </row>
    <row r="104" spans="1:14">
      <c r="A104" s="3808"/>
      <c r="B104" s="1634">
        <v>3</v>
      </c>
      <c r="C104" s="1635">
        <f>1.1594/C101</f>
        <v>0.46376000000000001</v>
      </c>
      <c r="D104" s="1635">
        <f>1.1594/D101</f>
        <v>0.46376000000000001</v>
      </c>
      <c r="E104" s="1635">
        <f>1.0788/E101</f>
        <v>0.43152000000000001</v>
      </c>
      <c r="F104" s="1635">
        <f>1.0788/F101</f>
        <v>0.43152000000000001</v>
      </c>
      <c r="G104" s="1635">
        <f>1.0788/G101</f>
        <v>0.43152000000000001</v>
      </c>
      <c r="H104" s="1635">
        <f>1.0788/H101</f>
        <v>0.43152000000000001</v>
      </c>
      <c r="I104" s="1635">
        <f>1.0788/I101</f>
        <v>0.43152000000000001</v>
      </c>
      <c r="J104" s="1635">
        <f>1.0072/J101</f>
        <v>0.40288000000000002</v>
      </c>
      <c r="K104" s="1635">
        <f>1.0072/K101</f>
        <v>0.40288000000000002</v>
      </c>
      <c r="L104" s="1635">
        <f>1.0072/L101</f>
        <v>0.40288000000000002</v>
      </c>
      <c r="M104" s="1635">
        <f>1.0072/M101</f>
        <v>0.40288000000000002</v>
      </c>
      <c r="N104" s="1635">
        <f>1.0072/N101</f>
        <v>0.40288000000000002</v>
      </c>
    </row>
    <row r="105" spans="1:14">
      <c r="A105" s="3808"/>
      <c r="B105" s="1634">
        <v>4</v>
      </c>
      <c r="C105" s="1635">
        <f>0.9622/C101</f>
        <v>0.38488</v>
      </c>
      <c r="D105" s="1635">
        <f>0.9622/D101</f>
        <v>0.38488</v>
      </c>
      <c r="E105" s="1635">
        <f>0.8656/E101</f>
        <v>0.34623999999999999</v>
      </c>
      <c r="F105" s="1635">
        <f>0.8656/F101</f>
        <v>0.34623999999999999</v>
      </c>
      <c r="G105" s="1635">
        <f>0.8656/G101</f>
        <v>0.34623999999999999</v>
      </c>
      <c r="H105" s="1635">
        <f>0.8656/H101</f>
        <v>0.34623999999999999</v>
      </c>
      <c r="I105" s="1635">
        <f>0.8656/I101</f>
        <v>0.34623999999999999</v>
      </c>
      <c r="J105" s="1635">
        <f>0.7525/J101</f>
        <v>0.30099999999999999</v>
      </c>
      <c r="K105" s="1635">
        <f>0.7525/K101</f>
        <v>0.30099999999999999</v>
      </c>
      <c r="L105" s="1635">
        <f>0.7525/L101</f>
        <v>0.30099999999999999</v>
      </c>
      <c r="M105" s="1635">
        <f>0.7525/M101</f>
        <v>0.30099999999999999</v>
      </c>
      <c r="N105" s="1635">
        <f>0.7525/N101</f>
        <v>0.30099999999999999</v>
      </c>
    </row>
    <row r="106" spans="1:14">
      <c r="A106" s="3808"/>
      <c r="B106" s="1634">
        <v>5</v>
      </c>
      <c r="C106" s="1635">
        <f>0.8417/C101</f>
        <v>0.33667999999999998</v>
      </c>
      <c r="D106" s="1635">
        <f>0.8417/D101</f>
        <v>0.33667999999999998</v>
      </c>
      <c r="E106" s="1635">
        <f>0.7371/E101</f>
        <v>0.29483999999999999</v>
      </c>
      <c r="F106" s="1635">
        <f>0.7371/F101</f>
        <v>0.29483999999999999</v>
      </c>
      <c r="G106" s="1635">
        <f>0.7371/G101</f>
        <v>0.29483999999999999</v>
      </c>
      <c r="H106" s="1635">
        <f>0.7371/H101</f>
        <v>0.29483999999999999</v>
      </c>
      <c r="I106" s="1635">
        <f>0.7371/I101</f>
        <v>0.29483999999999999</v>
      </c>
      <c r="J106" s="1635">
        <f>0.5659/J101</f>
        <v>0.22635999999999998</v>
      </c>
      <c r="K106" s="1635">
        <f>0.5659/K101</f>
        <v>0.22635999999999998</v>
      </c>
      <c r="L106" s="1635">
        <f>0.5659/L101</f>
        <v>0.22635999999999998</v>
      </c>
      <c r="M106" s="1635">
        <f>0.5659/M101</f>
        <v>0.22635999999999998</v>
      </c>
      <c r="N106" s="1635">
        <f>0.5659/N101</f>
        <v>0.22635999999999998</v>
      </c>
    </row>
    <row r="107" spans="1:14">
      <c r="A107" s="3808"/>
      <c r="B107" s="1634">
        <v>6</v>
      </c>
      <c r="C107" s="1635">
        <f>0.7608/C101</f>
        <v>0.30432000000000003</v>
      </c>
      <c r="D107" s="1635">
        <f>0.7608/D101</f>
        <v>0.30432000000000003</v>
      </c>
      <c r="E107" s="1635">
        <f>0.6482/E101</f>
        <v>0.25928000000000001</v>
      </c>
      <c r="F107" s="1635">
        <f>0.6482/F101</f>
        <v>0.25928000000000001</v>
      </c>
      <c r="G107" s="1635">
        <f>0.6482/G101</f>
        <v>0.25928000000000001</v>
      </c>
      <c r="H107" s="1635">
        <f>0.6482/H101</f>
        <v>0.25928000000000001</v>
      </c>
      <c r="I107" s="1635">
        <f>0.6482/I101</f>
        <v>0.25928000000000001</v>
      </c>
      <c r="J107" s="1635">
        <f>0.4525/J101</f>
        <v>0.18099999999999999</v>
      </c>
      <c r="K107" s="1635">
        <f>0.4525/K101</f>
        <v>0.18099999999999999</v>
      </c>
      <c r="L107" s="1635">
        <f>0.4525/L101</f>
        <v>0.18099999999999999</v>
      </c>
      <c r="M107" s="1635">
        <f>0.4525/M101</f>
        <v>0.18099999999999999</v>
      </c>
      <c r="N107" s="1635">
        <f>0.4525/N101</f>
        <v>0.18099999999999999</v>
      </c>
    </row>
    <row r="108" spans="1:14">
      <c r="A108" s="3808"/>
      <c r="B108" s="3810" t="s">
        <v>1289</v>
      </c>
      <c r="C108" s="1636">
        <f>C99</f>
        <v>0</v>
      </c>
      <c r="D108" s="1636">
        <f t="shared" ref="D108:N108" si="32">D99</f>
        <v>0</v>
      </c>
      <c r="E108" s="1636">
        <f t="shared" si="32"/>
        <v>0</v>
      </c>
      <c r="F108" s="1636">
        <f t="shared" si="32"/>
        <v>0</v>
      </c>
      <c r="G108" s="1636">
        <f t="shared" si="32"/>
        <v>0</v>
      </c>
      <c r="H108" s="1636">
        <f t="shared" si="32"/>
        <v>0</v>
      </c>
      <c r="I108" s="1636">
        <f t="shared" si="32"/>
        <v>0</v>
      </c>
      <c r="J108" s="1636">
        <f t="shared" si="32"/>
        <v>0</v>
      </c>
      <c r="K108" s="1636">
        <f t="shared" si="32"/>
        <v>0</v>
      </c>
      <c r="L108" s="1636">
        <f t="shared" si="32"/>
        <v>0</v>
      </c>
      <c r="M108" s="1636">
        <f t="shared" si="32"/>
        <v>0</v>
      </c>
      <c r="N108" s="1636">
        <f t="shared" si="32"/>
        <v>0</v>
      </c>
    </row>
    <row r="109" spans="1:14">
      <c r="A109" s="3809"/>
      <c r="B109" s="3811"/>
      <c r="C109" s="1637">
        <f>(-0.163*(C108^2)-0.59*C108+7617)*(10^(-4))/C101</f>
        <v>0.30468000000000001</v>
      </c>
      <c r="D109" s="1637">
        <f>(-0.163*(D108^2)-0.59*D108+7617)*(10^(-4))/D101</f>
        <v>0.30468000000000001</v>
      </c>
      <c r="E109" s="1637">
        <f>(-0.161*(E108^2)-7.509*E108+6533)*(10^(-4))/E101</f>
        <v>0.26132</v>
      </c>
      <c r="F109" s="1637">
        <f>(-0.161*(F108^2)-7.509*F108+6533)*(10^(-4))/F101</f>
        <v>0.26132</v>
      </c>
      <c r="G109" s="1637">
        <f>(-0.161*(G108^2)-7.509*G108+6533)*(10^(-4))/G101</f>
        <v>0.26132</v>
      </c>
      <c r="H109" s="1637">
        <f>(-0.161*(H108^2)-7.509*H108+6533)*(10^(-4))/H101</f>
        <v>0.26132</v>
      </c>
      <c r="I109" s="1637">
        <f>(-0.161*(I108^2)-7.509*I108+6533)*(10^(-4))/I101</f>
        <v>0.26132</v>
      </c>
      <c r="J109" s="1637">
        <f>(-0.214*(J108^2)-21.991*J108+4665)*(10^(-4))/J101</f>
        <v>0.18660000000000002</v>
      </c>
      <c r="K109" s="1637">
        <f>(-0.214*(K108^2)-21.991*K108+4665)*(10^(-4))/K101</f>
        <v>0.18660000000000002</v>
      </c>
      <c r="L109" s="1637">
        <f>(-0.214*(L108^2)-21.991*L108+4665)*(10^(-4))/L101</f>
        <v>0.18660000000000002</v>
      </c>
      <c r="M109" s="1637">
        <f>(-0.214*(M108^2)-21.991*M108+4665)*(10^(-4))/M101</f>
        <v>0.18660000000000002</v>
      </c>
      <c r="N109" s="1637">
        <f>(-0.214*(N108^2)-21.991*N108+4665)*(10^(-4))/N101</f>
        <v>0.18660000000000002</v>
      </c>
    </row>
    <row r="110" spans="1:14">
      <c r="A110" s="3797" t="s">
        <v>1290</v>
      </c>
      <c r="B110" s="3797"/>
      <c r="C110" s="3797"/>
      <c r="D110" s="3797"/>
      <c r="E110" s="3797"/>
      <c r="F110" s="3797"/>
      <c r="G110" s="3797"/>
      <c r="H110" s="3797"/>
      <c r="I110" s="3797"/>
      <c r="J110" s="3797"/>
      <c r="K110" s="3372"/>
      <c r="L110" s="3372"/>
      <c r="M110" s="3372"/>
      <c r="N110" s="3372"/>
    </row>
    <row r="113" spans="1:13" ht="25.5" thickBot="1">
      <c r="A113" s="1641" t="s">
        <v>1291</v>
      </c>
      <c r="B113" s="1642">
        <f>G3</f>
        <v>2.5</v>
      </c>
      <c r="C113" s="1643" t="s">
        <v>1292</v>
      </c>
      <c r="D113" s="1644">
        <f>SUMPRODUCT((A115:A118=F113)*(B114:M114=H113)*B115:M118)</f>
        <v>0.71750000000000003</v>
      </c>
      <c r="E113" s="1645" t="s">
        <v>345</v>
      </c>
      <c r="F113" s="1646" t="str">
        <f>E2</f>
        <v>住宅</v>
      </c>
      <c r="G113" s="1645" t="s">
        <v>217</v>
      </c>
      <c r="H113" s="1646" t="str">
        <f>G2</f>
        <v>八级</v>
      </c>
      <c r="I113" s="1645"/>
      <c r="J113" s="1220"/>
      <c r="K113" s="1220"/>
      <c r="L113" s="1220"/>
      <c r="M113" s="1220"/>
    </row>
    <row r="114" spans="1:13" ht="12.75">
      <c r="A114" s="1647"/>
      <c r="B114" s="1648" t="s">
        <v>240</v>
      </c>
      <c r="C114" s="1648" t="s">
        <v>253</v>
      </c>
      <c r="D114" s="1648" t="s">
        <v>265</v>
      </c>
      <c r="E114" s="1649" t="s">
        <v>275</v>
      </c>
      <c r="F114" s="1649" t="s">
        <v>284</v>
      </c>
      <c r="G114" s="1649" t="s">
        <v>292</v>
      </c>
      <c r="H114" s="1650" t="s">
        <v>297</v>
      </c>
      <c r="I114" s="1650" t="s">
        <v>302</v>
      </c>
      <c r="J114" s="1658" t="s">
        <v>305</v>
      </c>
      <c r="K114" s="1658" t="s">
        <v>308</v>
      </c>
      <c r="L114" s="1658" t="s">
        <v>311</v>
      </c>
      <c r="M114" s="1659" t="s">
        <v>314</v>
      </c>
    </row>
    <row r="115" spans="1:13" ht="12.75">
      <c r="A115" s="1651" t="s">
        <v>1293</v>
      </c>
      <c r="B115" s="1652">
        <f>ROUND(0.9335-0.0094*B113,4)</f>
        <v>0.91</v>
      </c>
      <c r="C115" s="1652">
        <f>B115</f>
        <v>0.91</v>
      </c>
      <c r="D115" s="1652">
        <f>ROUND(0.8331-0.0109*B113,4)</f>
        <v>0.80589999999999995</v>
      </c>
      <c r="E115" s="1652">
        <f>D115</f>
        <v>0.80589999999999995</v>
      </c>
      <c r="F115" s="1652">
        <f>E115</f>
        <v>0.80589999999999995</v>
      </c>
      <c r="G115" s="1652">
        <f>F115</f>
        <v>0.80589999999999995</v>
      </c>
      <c r="H115" s="1652">
        <f>G115</f>
        <v>0.80589999999999995</v>
      </c>
      <c r="I115" s="1652">
        <f>ROUND(0.689-0.0155*B113,4)</f>
        <v>0.65029999999999999</v>
      </c>
      <c r="J115" s="1652">
        <f t="shared" ref="J115:M118" si="33">I115</f>
        <v>0.65029999999999999</v>
      </c>
      <c r="K115" s="1652">
        <f t="shared" si="33"/>
        <v>0.65029999999999999</v>
      </c>
      <c r="L115" s="1652">
        <f t="shared" si="33"/>
        <v>0.65029999999999999</v>
      </c>
      <c r="M115" s="1660">
        <f t="shared" si="33"/>
        <v>0.65029999999999999</v>
      </c>
    </row>
    <row r="116" spans="1:13" ht="12.75">
      <c r="A116" s="1651" t="s">
        <v>1294</v>
      </c>
      <c r="B116" s="1652">
        <f>ROUND(0.949-0.012*B113,4)</f>
        <v>0.91900000000000004</v>
      </c>
      <c r="C116" s="1652">
        <f>B116</f>
        <v>0.91900000000000004</v>
      </c>
      <c r="D116" s="1652">
        <f>ROUND(0.8567-0.013*B113,4)</f>
        <v>0.82420000000000004</v>
      </c>
      <c r="E116" s="1652">
        <f t="shared" ref="E116:H117" si="34">D116</f>
        <v>0.82420000000000004</v>
      </c>
      <c r="F116" s="1652">
        <f t="shared" si="34"/>
        <v>0.82420000000000004</v>
      </c>
      <c r="G116" s="1652">
        <f t="shared" si="34"/>
        <v>0.82420000000000004</v>
      </c>
      <c r="H116" s="1652">
        <f t="shared" si="34"/>
        <v>0.82420000000000004</v>
      </c>
      <c r="I116" s="1652">
        <f>ROUND(0.7694-0.014*B113,4)</f>
        <v>0.73440000000000005</v>
      </c>
      <c r="J116" s="1652">
        <f t="shared" si="33"/>
        <v>0.73440000000000005</v>
      </c>
      <c r="K116" s="1652">
        <f t="shared" si="33"/>
        <v>0.73440000000000005</v>
      </c>
      <c r="L116" s="1652">
        <f t="shared" si="33"/>
        <v>0.73440000000000005</v>
      </c>
      <c r="M116" s="1660">
        <f t="shared" si="33"/>
        <v>0.73440000000000005</v>
      </c>
    </row>
    <row r="117" spans="1:13" ht="12.75">
      <c r="A117" s="1653" t="s">
        <v>368</v>
      </c>
      <c r="B117" s="1652">
        <f>ROUND(0.8808-0.006*B113,4)</f>
        <v>0.86580000000000001</v>
      </c>
      <c r="C117" s="1652">
        <f>B117</f>
        <v>0.86580000000000001</v>
      </c>
      <c r="D117" s="1652">
        <f>ROUND(0.8748-0.008*B113,4)</f>
        <v>0.8548</v>
      </c>
      <c r="E117" s="1652">
        <f t="shared" si="34"/>
        <v>0.8548</v>
      </c>
      <c r="F117" s="1652">
        <f t="shared" si="34"/>
        <v>0.8548</v>
      </c>
      <c r="G117" s="1652">
        <f t="shared" si="34"/>
        <v>0.8548</v>
      </c>
      <c r="H117" s="1652">
        <f t="shared" si="34"/>
        <v>0.8548</v>
      </c>
      <c r="I117" s="1652">
        <f>ROUND(0.7412-0.0095*B113,4)</f>
        <v>0.71750000000000003</v>
      </c>
      <c r="J117" s="1652">
        <f t="shared" si="33"/>
        <v>0.71750000000000003</v>
      </c>
      <c r="K117" s="1652">
        <f t="shared" si="33"/>
        <v>0.71750000000000003</v>
      </c>
      <c r="L117" s="1652">
        <f t="shared" si="33"/>
        <v>0.71750000000000003</v>
      </c>
      <c r="M117" s="1660">
        <f t="shared" si="33"/>
        <v>0.71750000000000003</v>
      </c>
    </row>
    <row r="118" spans="1:13" ht="13.5" thickBot="1">
      <c r="A118" s="1654" t="s">
        <v>1295</v>
      </c>
      <c r="B118" s="1655">
        <f>ROUND(0.7275-0.01*B113,4)</f>
        <v>0.70250000000000001</v>
      </c>
      <c r="C118" s="1655">
        <f>B118</f>
        <v>0.70250000000000001</v>
      </c>
      <c r="D118" s="1655">
        <f>ROUND(0.7043-0.012*B113,4)</f>
        <v>0.67430000000000001</v>
      </c>
      <c r="E118" s="1655">
        <f>D118</f>
        <v>0.67430000000000001</v>
      </c>
      <c r="F118" s="1655">
        <f>E118</f>
        <v>0.67430000000000001</v>
      </c>
      <c r="G118" s="1655">
        <f>ROUND(0.6299-0.0122*B113,4)</f>
        <v>0.59940000000000004</v>
      </c>
      <c r="H118" s="1655">
        <f>G118</f>
        <v>0.59940000000000004</v>
      </c>
      <c r="I118" s="1655">
        <f>ROUND(0.5667-0.0136*B113,4)</f>
        <v>0.53269999999999995</v>
      </c>
      <c r="J118" s="1655">
        <f t="shared" si="33"/>
        <v>0.53269999999999995</v>
      </c>
      <c r="K118" s="1655">
        <f t="shared" si="33"/>
        <v>0.53269999999999995</v>
      </c>
      <c r="L118" s="1655">
        <f t="shared" si="33"/>
        <v>0.53269999999999995</v>
      </c>
      <c r="M118" s="1661">
        <f t="shared" si="33"/>
        <v>0.53269999999999995</v>
      </c>
    </row>
  </sheetData>
  <sheetProtection formatCells="0" formatColumns="0" formatRows="0"/>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31" type="noConversion"/>
  <conditionalFormatting sqref="F47">
    <cfRule type="cellIs" dxfId="113" priority="5" stopIfTrue="1" operator="notEqual">
      <formula>"——"</formula>
    </cfRule>
  </conditionalFormatting>
  <conditionalFormatting sqref="F58">
    <cfRule type="cellIs" dxfId="112" priority="4" stopIfTrue="1" operator="notEqual">
      <formula>"——"</formula>
    </cfRule>
  </conditionalFormatting>
  <conditionalFormatting sqref="F69">
    <cfRule type="cellIs" dxfId="111" priority="3" stopIfTrue="1" operator="notEqual">
      <formula>"——"</formula>
    </cfRule>
  </conditionalFormatting>
  <conditionalFormatting sqref="F80">
    <cfRule type="cellIs" dxfId="110" priority="2" stopIfTrue="1" operator="notEqual">
      <formula>"——"</formula>
    </cfRule>
  </conditionalFormatting>
  <conditionalFormatting sqref="H58:H66 H47:H55 H69:H77 H80:H87">
    <cfRule type="cellIs" dxfId="109" priority="1" operator="notEqual">
      <formula>"——"</formula>
    </cfRule>
  </conditionalFormatting>
  <dataValidations count="11">
    <dataValidation type="list" allowBlank="1" showInputMessage="1" showErrorMessage="1" sqref="C47:C55 C58:C66 C80:C87 C69:C77" xr:uid="{142A6AC6-DAAD-4420-B0AB-378306C1B1FA}">
      <formula1>五等判定</formula1>
    </dataValidation>
    <dataValidation type="list" allowBlank="1" showInputMessage="1" showErrorMessage="1" sqref="B21" xr:uid="{5A202DF3-922A-43BC-B86C-06660FAA226D}">
      <formula1>"容积率修正,楼层修正"</formula1>
    </dataValidation>
    <dataValidation type="list" allowBlank="1" showInputMessage="1" showErrorMessage="1" sqref="H19" xr:uid="{ACF99527-18A7-4F6E-A4AC-B7000CDD85A8}">
      <formula1>"地价指数,季度增幅（自定义）,按公示增长率计算"</formula1>
    </dataValidation>
    <dataValidation type="list" allowBlank="1" showInputMessage="1" showErrorMessage="1" sqref="H16:O16" xr:uid="{FC71B426-8EAB-4C46-90E0-37DCD0CFE6AC}">
      <formula1>七通一平</formula1>
    </dataValidation>
    <dataValidation type="list" allowBlank="1" showInputMessage="1" showErrorMessage="1" sqref="F14" xr:uid="{017B3D0B-41C5-408C-A2BC-E0D02888780B}">
      <formula1>"500米范围内,500-1000米,1000米以外"</formula1>
    </dataValidation>
    <dataValidation type="list" allowBlank="1" showInputMessage="1" showErrorMessage="1" sqref="C14:E14" xr:uid="{38FD0F21-18A2-4FB7-9AF4-EBEA83596A4D}">
      <formula1>"有,无"</formula1>
    </dataValidation>
    <dataValidation type="list" allowBlank="1" showInputMessage="1" showErrorMessage="1" sqref="F3" xr:uid="{42E713AB-55B3-4FF8-8F3B-128384D9B71B}">
      <formula1>"宗地容积率,估价对象容积率,自定义容积率"</formula1>
    </dataValidation>
    <dataValidation type="list" allowBlank="1" showInputMessage="1" showErrorMessage="1" sqref="E3" xr:uid="{B2CF7633-8531-4239-B1F9-91AA6C19D332}">
      <formula1>二级分类</formula1>
    </dataValidation>
    <dataValidation type="list" allowBlank="1" showInputMessage="1" showErrorMessage="1" sqref="C8" xr:uid="{9A380CA9-18F3-4677-B771-E4773134329F}">
      <formula1>商业街名称</formula1>
    </dataValidation>
    <dataValidation type="list" allowBlank="1" showInputMessage="1" showErrorMessage="1" sqref="F17" xr:uid="{610B137D-843A-4ECF-AC55-D2BBAB07AEB5}">
      <formula1>"与级别开发程度一致,与级别开发程度不一致"</formula1>
    </dataValidation>
    <dataValidation type="list" allowBlank="1" showInputMessage="1" showErrorMessage="1" sqref="E2" xr:uid="{D4F3F88E-3A11-4F88-AFCF-4A0500E0DC45}">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H119"/>
  <sheetViews>
    <sheetView topLeftCell="L4" zoomScale="80" zoomScaleNormal="80" workbookViewId="0">
      <selection activeCell="K2" sqref="K1:K1048576"/>
    </sheetView>
  </sheetViews>
  <sheetFormatPr defaultColWidth="9" defaultRowHeight="12.75"/>
  <cols>
    <col min="1" max="1" width="9" style="1063"/>
    <col min="2" max="6" width="9" style="1063" customWidth="1"/>
    <col min="7" max="7" width="9" style="1064" customWidth="1"/>
    <col min="8" max="10" width="9" style="1063" customWidth="1"/>
    <col min="11" max="11" width="9" style="1062" customWidth="1"/>
    <col min="12" max="12" width="9" style="1063" customWidth="1"/>
    <col min="13" max="13" width="2.25" style="1063" customWidth="1"/>
    <col min="14" max="14" width="9" style="1064" customWidth="1"/>
    <col min="15" max="17" width="9" style="1063" customWidth="1"/>
    <col min="18" max="18" width="2.375" style="1063" customWidth="1"/>
    <col min="19" max="19" width="7.125" style="1064" customWidth="1"/>
    <col min="20" max="22" width="7.125" style="1063" customWidth="1"/>
    <col min="23" max="23" width="24" style="1063" customWidth="1"/>
    <col min="24" max="25" width="9" style="1063"/>
    <col min="26" max="27" width="11.625" style="1063" customWidth="1"/>
    <col min="28" max="28" width="9" style="1063"/>
    <col min="29" max="29" width="2" style="1063" customWidth="1"/>
    <col min="30" max="16384" width="9" style="1063"/>
  </cols>
  <sheetData>
    <row r="1" spans="1:34" s="1054" customFormat="1">
      <c r="B1" s="3827" t="s">
        <v>1839</v>
      </c>
      <c r="C1" s="3827"/>
      <c r="D1" s="3827"/>
      <c r="E1" s="3827"/>
      <c r="F1" s="3827"/>
      <c r="G1" s="3824" t="s">
        <v>1840</v>
      </c>
      <c r="H1" s="3824"/>
      <c r="I1" s="3824"/>
      <c r="J1" s="3824"/>
      <c r="K1" s="3824"/>
      <c r="L1" s="3824"/>
      <c r="N1" s="3824" t="s">
        <v>1841</v>
      </c>
      <c r="O1" s="3824"/>
      <c r="P1" s="3824"/>
      <c r="Q1" s="3824"/>
      <c r="S1" s="3824" t="s">
        <v>1842</v>
      </c>
      <c r="T1" s="3824"/>
      <c r="U1" s="3824"/>
      <c r="V1" s="3824"/>
      <c r="X1" s="3823" t="s">
        <v>1843</v>
      </c>
      <c r="Y1" s="3824"/>
      <c r="Z1" s="3824"/>
      <c r="AA1" s="3824"/>
      <c r="AB1" s="3824"/>
      <c r="AD1" s="3823" t="s">
        <v>1844</v>
      </c>
      <c r="AE1" s="3824"/>
      <c r="AF1" s="3824"/>
      <c r="AG1" s="3824"/>
      <c r="AH1" s="3824"/>
    </row>
    <row r="2" spans="1:34" s="1055" customFormat="1" ht="13.5">
      <c r="B2" s="1065" t="s">
        <v>965</v>
      </c>
      <c r="C2" s="1065" t="s">
        <v>1845</v>
      </c>
      <c r="D2" s="1066" t="s">
        <v>370</v>
      </c>
      <c r="E2" s="1066" t="s">
        <v>368</v>
      </c>
      <c r="F2" s="1065" t="s">
        <v>1846</v>
      </c>
      <c r="G2" s="1067"/>
      <c r="I2" s="1065" t="s">
        <v>965</v>
      </c>
      <c r="J2" s="1066" t="s">
        <v>1847</v>
      </c>
      <c r="K2" s="3444" t="s">
        <v>368</v>
      </c>
      <c r="L2" s="1065" t="s">
        <v>1846</v>
      </c>
      <c r="N2" s="1065" t="s">
        <v>965</v>
      </c>
      <c r="O2" s="1066" t="s">
        <v>1847</v>
      </c>
      <c r="P2" s="1066" t="s">
        <v>368</v>
      </c>
      <c r="Q2" s="1065" t="s">
        <v>1846</v>
      </c>
      <c r="S2" s="1065" t="s">
        <v>965</v>
      </c>
      <c r="T2" s="1066" t="s">
        <v>1847</v>
      </c>
      <c r="U2" s="1066" t="s">
        <v>368</v>
      </c>
      <c r="V2" s="1065" t="s">
        <v>1846</v>
      </c>
      <c r="X2" s="1065" t="s">
        <v>965</v>
      </c>
      <c r="Y2" s="1065" t="s">
        <v>1845</v>
      </c>
      <c r="Z2" s="1066" t="s">
        <v>370</v>
      </c>
      <c r="AA2" s="1066" t="s">
        <v>368</v>
      </c>
      <c r="AB2" s="1065" t="s">
        <v>1846</v>
      </c>
      <c r="AD2" s="1065" t="s">
        <v>965</v>
      </c>
      <c r="AE2" s="1065" t="s">
        <v>1845</v>
      </c>
      <c r="AF2" s="1066" t="s">
        <v>370</v>
      </c>
      <c r="AG2" s="1066" t="s">
        <v>368</v>
      </c>
      <c r="AH2" s="1065" t="s">
        <v>1846</v>
      </c>
    </row>
    <row r="3" spans="1:34" s="1056" customFormat="1" ht="14.25">
      <c r="A3" s="1068" t="s">
        <v>1848</v>
      </c>
      <c r="B3" s="1069"/>
      <c r="C3" s="1069"/>
      <c r="D3" s="1070"/>
      <c r="E3" s="1070"/>
      <c r="F3" s="1069"/>
      <c r="G3" s="1071"/>
      <c r="H3" s="1072"/>
      <c r="I3" s="1106">
        <f>ROUND(AVERAGE($I4:$I36),2)</f>
        <v>1.66</v>
      </c>
      <c r="J3" s="1106">
        <f>ROUND(AVERAGE($J4:$J36),2)</f>
        <v>1.05</v>
      </c>
      <c r="K3" s="3445">
        <f>ROUND(AVERAGE($K4:$K36),2)</f>
        <v>1.83</v>
      </c>
      <c r="L3" s="1106">
        <f>ROUND(AVERAGE($L4:$L36),2)</f>
        <v>1.22</v>
      </c>
      <c r="N3" s="1071"/>
      <c r="S3" s="1071"/>
      <c r="W3" s="1137"/>
      <c r="X3" s="1138">
        <f>ROUND(SUMPRODUCT(PRODUCT(1+N3:N$35)),4)</f>
        <v>1.6415999999999999</v>
      </c>
      <c r="Y3" s="1138">
        <f>ROUND(SUMPRODUCT(PRODUCT(1+O3:O$35)),4)</f>
        <v>1.3644000000000001</v>
      </c>
      <c r="Z3" s="1138">
        <f t="shared" ref="Z3" si="0">Y3</f>
        <v>1.3644000000000001</v>
      </c>
      <c r="AA3" s="1138">
        <f>ROUND(SUMPRODUCT(PRODUCT(1+P3:P$35)),4)</f>
        <v>1.7232000000000001</v>
      </c>
      <c r="AB3" s="1138">
        <f>ROUND(SUMPRODUCT(PRODUCT(1+Q3:Q$35)),4)</f>
        <v>1.4529000000000001</v>
      </c>
      <c r="AD3" s="1155">
        <f>ROUND(AVERAGE(I3:I$36)/100,4)</f>
        <v>1.66E-2</v>
      </c>
      <c r="AE3" s="1155">
        <f>ROUND(AVERAGE(J3:J$36)/100,4)</f>
        <v>1.0500000000000001E-2</v>
      </c>
      <c r="AF3" s="1155">
        <f t="shared" ref="AF3:AF34" si="1">AE3</f>
        <v>1.0500000000000001E-2</v>
      </c>
      <c r="AG3" s="1155">
        <f>ROUND(AVERAGE(K3:K$36)/100,4)</f>
        <v>1.83E-2</v>
      </c>
      <c r="AH3" s="1155">
        <f>ROUND(AVERAGE(L3:L$36)/100,4)</f>
        <v>1.2200000000000001E-2</v>
      </c>
    </row>
    <row r="4" spans="1:34" s="1057" customFormat="1" ht="14.25">
      <c r="B4" s="1073"/>
      <c r="C4" s="1073"/>
      <c r="D4" s="1074"/>
      <c r="E4" s="1074"/>
      <c r="F4" s="1073"/>
      <c r="G4" s="1075"/>
      <c r="H4" s="1076"/>
      <c r="I4" s="1107"/>
      <c r="J4" s="1107"/>
      <c r="K4" s="3446"/>
      <c r="L4" s="1107"/>
      <c r="N4" s="1075"/>
      <c r="S4" s="1075"/>
      <c r="W4" s="1139"/>
      <c r="X4" s="1063"/>
      <c r="Y4" s="1063"/>
      <c r="Z4" s="1063"/>
      <c r="AA4" s="1063"/>
      <c r="AB4" s="1063"/>
      <c r="AD4" s="1113"/>
      <c r="AE4" s="1113"/>
      <c r="AF4" s="1113"/>
      <c r="AG4" s="1113"/>
      <c r="AH4" s="1113"/>
    </row>
    <row r="5" spans="1:34" s="1058" customFormat="1">
      <c r="A5" s="1077" t="s">
        <v>1849</v>
      </c>
      <c r="B5" s="1078">
        <f t="shared" ref="B5" si="2">B6*(1+N5)</f>
        <v>504.87072809615569</v>
      </c>
      <c r="C5" s="1078">
        <f t="shared" ref="C5" si="3">C6*(1+O5)</f>
        <v>351.71182348101968</v>
      </c>
      <c r="D5" s="1078">
        <f t="shared" ref="D5" si="4">C5</f>
        <v>351.71182348101968</v>
      </c>
      <c r="E5" s="1078">
        <f t="shared" ref="E5" si="5">E6*(1+P5)</f>
        <v>728.75350858360832</v>
      </c>
      <c r="F5" s="1078">
        <f t="shared" ref="F5" si="6">F6*(1+Q5)</f>
        <v>334.04593931673656</v>
      </c>
      <c r="G5" s="1075">
        <v>2021</v>
      </c>
      <c r="H5" s="1079">
        <v>4</v>
      </c>
      <c r="I5" s="1108">
        <v>0</v>
      </c>
      <c r="J5" s="1108">
        <v>0</v>
      </c>
      <c r="K5" s="3447">
        <v>0</v>
      </c>
      <c r="L5" s="1108">
        <v>0</v>
      </c>
      <c r="N5" s="1109">
        <f t="shared" ref="N5" si="7">I5/100</f>
        <v>0</v>
      </c>
      <c r="O5" s="1109">
        <f t="shared" ref="O5" si="8">J5/100</f>
        <v>0</v>
      </c>
      <c r="P5" s="1109">
        <f t="shared" ref="P5" si="9">K5/100</f>
        <v>0</v>
      </c>
      <c r="Q5" s="1109">
        <f t="shared" ref="Q5" si="10">L5/100</f>
        <v>0</v>
      </c>
      <c r="S5" s="1140"/>
      <c r="W5" s="1141" t="s">
        <v>1850</v>
      </c>
      <c r="X5" s="1142">
        <f>ROUND(SUMPRODUCT(PRODUCT(1+N5:N$36)),4)</f>
        <v>1.6903999999999999</v>
      </c>
      <c r="Y5" s="1142">
        <f>ROUND(SUMPRODUCT(PRODUCT(1+O5:O$36)),4)</f>
        <v>1.3963000000000001</v>
      </c>
      <c r="Z5" s="1142">
        <f t="shared" ref="Z5" si="11">Y5</f>
        <v>1.3963000000000001</v>
      </c>
      <c r="AA5" s="1142">
        <f>ROUND(SUMPRODUCT(PRODUCT(1+P5:P$36)),4)</f>
        <v>1.7797000000000001</v>
      </c>
      <c r="AB5" s="1142">
        <f>ROUND(SUMPRODUCT(PRODUCT(1+Q5:Q$36)),4)</f>
        <v>1.4726999999999999</v>
      </c>
      <c r="AD5" s="1156">
        <f>ROUND(AVERAGE(I5:I$36)/100,4)</f>
        <v>1.66E-2</v>
      </c>
      <c r="AE5" s="1156">
        <f>ROUND(AVERAGE(J5:J$36)/100,4)</f>
        <v>1.0500000000000001E-2</v>
      </c>
      <c r="AF5" s="1156">
        <f t="shared" ref="AF5" si="12">AE5</f>
        <v>1.0500000000000001E-2</v>
      </c>
      <c r="AG5" s="1156">
        <f>ROUND(AVERAGE(K5:K$36)/100,4)</f>
        <v>1.83E-2</v>
      </c>
      <c r="AH5" s="1156">
        <f>ROUND(AVERAGE(L5:L$36)/100,4)</f>
        <v>1.2200000000000001E-2</v>
      </c>
    </row>
    <row r="6" spans="1:34" s="1059" customFormat="1">
      <c r="A6" s="1080" t="s">
        <v>1851</v>
      </c>
      <c r="B6" s="1081">
        <f t="shared" ref="B6" si="13">B7*(1+N6)</f>
        <v>504.87072809615569</v>
      </c>
      <c r="C6" s="1081">
        <f t="shared" ref="C6" si="14">C7*(1+O6)</f>
        <v>351.71182348101968</v>
      </c>
      <c r="D6" s="1081">
        <f t="shared" ref="D6" si="15">C6</f>
        <v>351.71182348101968</v>
      </c>
      <c r="E6" s="1081">
        <f t="shared" ref="E6" si="16">E7*(1+P6)</f>
        <v>728.75350858360832</v>
      </c>
      <c r="F6" s="1081">
        <f t="shared" ref="F6" si="17">F7*(1+Q6)</f>
        <v>334.04593931673656</v>
      </c>
      <c r="G6" s="1075">
        <v>2021</v>
      </c>
      <c r="H6" s="1082">
        <v>3</v>
      </c>
      <c r="I6" s="1110">
        <v>0.47</v>
      </c>
      <c r="J6" s="1110">
        <v>0.41</v>
      </c>
      <c r="K6" s="3448">
        <v>0.48</v>
      </c>
      <c r="L6" s="1111">
        <v>0.48</v>
      </c>
      <c r="M6" s="1063"/>
      <c r="N6" s="1112">
        <f t="shared" ref="N6" si="18">I6/100</f>
        <v>4.6999999999999993E-3</v>
      </c>
      <c r="O6" s="1113">
        <f t="shared" ref="O6" si="19">J6/100</f>
        <v>4.0999999999999995E-3</v>
      </c>
      <c r="P6" s="1113">
        <f t="shared" ref="P6" si="20">K6/100</f>
        <v>4.7999999999999996E-3</v>
      </c>
      <c r="Q6" s="1113">
        <f t="shared" ref="Q6" si="21">L6/100</f>
        <v>4.7999999999999996E-3</v>
      </c>
      <c r="R6" s="1143"/>
      <c r="S6" s="1120"/>
      <c r="T6" s="1121"/>
      <c r="U6" s="1121"/>
      <c r="V6" s="1121"/>
      <c r="W6" s="1063"/>
      <c r="X6" s="1063">
        <f>ROUND(SUMPRODUCT(PRODUCT(1+N6:N$36)),4)</f>
        <v>1.6903999999999999</v>
      </c>
      <c r="Y6" s="1063">
        <f>ROUND(SUMPRODUCT(PRODUCT(1+O6:O$36)),4)</f>
        <v>1.3963000000000001</v>
      </c>
      <c r="Z6" s="1063">
        <f t="shared" ref="Z6" si="22">Y6</f>
        <v>1.3963000000000001</v>
      </c>
      <c r="AA6" s="1063">
        <f>ROUND(SUMPRODUCT(PRODUCT(1+P6:P$36)),4)</f>
        <v>1.7797000000000001</v>
      </c>
      <c r="AB6" s="1063">
        <f>ROUND(SUMPRODUCT(PRODUCT(1+Q6:Q$36)),4)</f>
        <v>1.4726999999999999</v>
      </c>
      <c r="AC6" s="1063"/>
      <c r="AD6" s="1113">
        <f>ROUND(AVERAGE(I6:I$36)/100,4)</f>
        <v>1.72E-2</v>
      </c>
      <c r="AE6" s="1113">
        <f>ROUND(AVERAGE(J6:J$36)/100,4)</f>
        <v>1.09E-2</v>
      </c>
      <c r="AF6" s="1113">
        <f t="shared" ref="AF6" si="23">AE6</f>
        <v>1.09E-2</v>
      </c>
      <c r="AG6" s="1113">
        <f>ROUND(AVERAGE(K6:K$36)/100,4)</f>
        <v>1.89E-2</v>
      </c>
      <c r="AH6" s="1113">
        <f>ROUND(AVERAGE(L6:L$36)/100,4)</f>
        <v>1.26E-2</v>
      </c>
    </row>
    <row r="7" spans="1:34" s="1059" customFormat="1">
      <c r="A7" s="1080" t="s">
        <v>1852</v>
      </c>
      <c r="B7" s="1081">
        <f t="shared" ref="B7" si="24">B8*(1+N7)</f>
        <v>502.50893609650217</v>
      </c>
      <c r="C7" s="1081">
        <f t="shared" ref="C7" si="25">C8*(1+O7)</f>
        <v>350.27569313914915</v>
      </c>
      <c r="D7" s="1081">
        <f t="shared" ref="D7" si="26">C7</f>
        <v>350.27569313914915</v>
      </c>
      <c r="E7" s="1081">
        <f t="shared" ref="E7" si="27">E8*(1+P7)</f>
        <v>725.27220201394141</v>
      </c>
      <c r="F7" s="1081">
        <f t="shared" ref="F7" si="28">F8*(1+Q7)</f>
        <v>332.45017846012797</v>
      </c>
      <c r="G7" s="1075">
        <v>2021</v>
      </c>
      <c r="H7" s="1082">
        <v>2</v>
      </c>
      <c r="I7" s="1110">
        <v>0.92</v>
      </c>
      <c r="J7" s="1110">
        <v>0.72</v>
      </c>
      <c r="K7" s="3448">
        <v>0.95</v>
      </c>
      <c r="L7" s="1111">
        <v>1.01</v>
      </c>
      <c r="M7" s="1063"/>
      <c r="N7" s="1112">
        <f t="shared" ref="N7" si="29">I7/100</f>
        <v>9.1999999999999998E-3</v>
      </c>
      <c r="O7" s="1113">
        <f t="shared" ref="O7" si="30">J7/100</f>
        <v>7.1999999999999998E-3</v>
      </c>
      <c r="P7" s="1113">
        <f t="shared" ref="P7" si="31">K7/100</f>
        <v>9.4999999999999998E-3</v>
      </c>
      <c r="Q7" s="1113">
        <f t="shared" ref="Q7" si="32">L7/100</f>
        <v>1.01E-2</v>
      </c>
      <c r="R7" s="1143"/>
      <c r="S7" s="1120"/>
      <c r="T7" s="1121"/>
      <c r="U7" s="1121"/>
      <c r="V7" s="1121"/>
      <c r="W7" s="1063"/>
      <c r="X7" s="1063">
        <f>ROUND(SUMPRODUCT(PRODUCT(1+N7:N$36)),4)</f>
        <v>1.6825000000000001</v>
      </c>
      <c r="Y7" s="1063">
        <f>ROUND(SUMPRODUCT(PRODUCT(1+O7:O$36)),4)</f>
        <v>1.3906000000000001</v>
      </c>
      <c r="Z7" s="1063">
        <f t="shared" ref="Z7" si="33">Y7</f>
        <v>1.3906000000000001</v>
      </c>
      <c r="AA7" s="1063">
        <f>ROUND(SUMPRODUCT(PRODUCT(1+P7:P$36)),4)</f>
        <v>1.7712000000000001</v>
      </c>
      <c r="AB7" s="1063">
        <f>ROUND(SUMPRODUCT(PRODUCT(1+Q7:Q$36)),4)</f>
        <v>1.4657</v>
      </c>
      <c r="AC7" s="1063"/>
      <c r="AD7" s="1113">
        <f>ROUND(AVERAGE(I7:I$36)/100,4)</f>
        <v>1.7600000000000001E-2</v>
      </c>
      <c r="AE7" s="1113">
        <f>ROUND(AVERAGE(J7:J$36)/100,4)</f>
        <v>1.11E-2</v>
      </c>
      <c r="AF7" s="1113">
        <f t="shared" ref="AF7" si="34">AE7</f>
        <v>1.11E-2</v>
      </c>
      <c r="AG7" s="1113">
        <f>ROUND(AVERAGE(K7:K$36)/100,4)</f>
        <v>1.9400000000000001E-2</v>
      </c>
      <c r="AH7" s="1113">
        <f>ROUND(AVERAGE(L7:L$36)/100,4)</f>
        <v>1.2800000000000001E-2</v>
      </c>
    </row>
    <row r="8" spans="1:34" s="1059" customFormat="1">
      <c r="A8" s="1080" t="s">
        <v>1853</v>
      </c>
      <c r="B8" s="1081">
        <f t="shared" ref="B8" si="35">B9*(1+N8)</f>
        <v>497.92799851020823</v>
      </c>
      <c r="C8" s="1081">
        <f t="shared" ref="C8" si="36">C9*(1+O8)</f>
        <v>347.77173663537445</v>
      </c>
      <c r="D8" s="1081">
        <f t="shared" ref="D8" si="37">C8</f>
        <v>347.77173663537445</v>
      </c>
      <c r="E8" s="1081">
        <f t="shared" ref="E8" si="38">E9*(1+P8)</f>
        <v>718.44695593258189</v>
      </c>
      <c r="F8" s="1081">
        <f t="shared" ref="F8" si="39">F9*(1+Q8)</f>
        <v>329.12600580153247</v>
      </c>
      <c r="G8" s="1075">
        <v>2021</v>
      </c>
      <c r="H8" s="1082">
        <v>1</v>
      </c>
      <c r="I8" s="1110">
        <v>0.97</v>
      </c>
      <c r="J8" s="1110">
        <v>0.16</v>
      </c>
      <c r="K8" s="3448">
        <v>1.1100000000000001</v>
      </c>
      <c r="L8" s="1111">
        <v>0.36</v>
      </c>
      <c r="M8" s="1063"/>
      <c r="N8" s="1112">
        <f t="shared" ref="N8" si="40">I8/100</f>
        <v>9.7000000000000003E-3</v>
      </c>
      <c r="O8" s="1113">
        <f t="shared" ref="O8" si="41">J8/100</f>
        <v>1.6000000000000001E-3</v>
      </c>
      <c r="P8" s="1113">
        <f t="shared" ref="P8" si="42">K8/100</f>
        <v>1.11E-2</v>
      </c>
      <c r="Q8" s="1113">
        <f t="shared" ref="Q8" si="43">L8/100</f>
        <v>3.5999999999999999E-3</v>
      </c>
      <c r="R8" s="1143"/>
      <c r="S8" s="1120">
        <f>B8/B9-1</f>
        <v>9.7000000000000419E-3</v>
      </c>
      <c r="T8" s="1121">
        <f>C8/C9-1</f>
        <v>1.6000000000000458E-3</v>
      </c>
      <c r="U8" s="1121">
        <f>E8/E9-1</f>
        <v>1.110000000000011E-2</v>
      </c>
      <c r="V8" s="1121">
        <f>F8/F9-1</f>
        <v>3.6000000000000476E-3</v>
      </c>
      <c r="W8" s="1063"/>
      <c r="X8" s="1063">
        <f>ROUND(SUMPRODUCT(PRODUCT(1+N8:N$36)),4)</f>
        <v>1.6671</v>
      </c>
      <c r="Y8" s="1063">
        <f>ROUND(SUMPRODUCT(PRODUCT(1+O8:O$36)),4)</f>
        <v>1.3807</v>
      </c>
      <c r="Z8" s="1063">
        <f t="shared" ref="Z8" si="44">Y8</f>
        <v>1.3807</v>
      </c>
      <c r="AA8" s="1063">
        <f>ROUND(SUMPRODUCT(PRODUCT(1+P8:P$36)),4)</f>
        <v>1.7545999999999999</v>
      </c>
      <c r="AB8" s="1063">
        <f>ROUND(SUMPRODUCT(PRODUCT(1+Q8:Q$36)),4)</f>
        <v>1.4510000000000001</v>
      </c>
      <c r="AC8" s="1063"/>
      <c r="AD8" s="1113">
        <f>ROUND(AVERAGE(I8:I$36)/100,4)</f>
        <v>1.7899999999999999E-2</v>
      </c>
      <c r="AE8" s="1113">
        <f>ROUND(AVERAGE(J8:J$36)/100,4)</f>
        <v>1.12E-2</v>
      </c>
      <c r="AF8" s="1113">
        <f t="shared" ref="AF8" si="45">AE8</f>
        <v>1.12E-2</v>
      </c>
      <c r="AG8" s="1113">
        <f>ROUND(AVERAGE(K8:K$36)/100,4)</f>
        <v>1.9699999999999999E-2</v>
      </c>
      <c r="AH8" s="1113">
        <f>ROUND(AVERAGE(L8:L$36)/100,4)</f>
        <v>1.29E-2</v>
      </c>
    </row>
    <row r="9" spans="1:34" s="1059" customFormat="1">
      <c r="A9" s="1080" t="s">
        <v>1854</v>
      </c>
      <c r="B9" s="1081">
        <f t="shared" ref="B9" si="46">B10*(1+N9)</f>
        <v>493.14449689037161</v>
      </c>
      <c r="C9" s="1081">
        <f t="shared" ref="C9" si="47">C10*(1+O9)</f>
        <v>347.21619073020611</v>
      </c>
      <c r="D9" s="1081">
        <f t="shared" ref="D9" si="48">C9</f>
        <v>347.21619073020611</v>
      </c>
      <c r="E9" s="1081">
        <f t="shared" ref="E9" si="49">E10*(1+P9)</f>
        <v>710.55974278763904</v>
      </c>
      <c r="F9" s="1081">
        <f t="shared" ref="F9" si="50">F10*(1+Q9)</f>
        <v>327.94540235306141</v>
      </c>
      <c r="G9" s="1075">
        <v>2020</v>
      </c>
      <c r="H9" s="1082">
        <v>4</v>
      </c>
      <c r="I9" s="1110">
        <v>2.0699999999999998</v>
      </c>
      <c r="J9" s="1110">
        <v>0.37</v>
      </c>
      <c r="K9" s="3448">
        <v>2.35</v>
      </c>
      <c r="L9" s="1111">
        <v>2.69</v>
      </c>
      <c r="M9" s="1063"/>
      <c r="N9" s="1112">
        <f t="shared" ref="N9" si="51">I9/100</f>
        <v>2.07E-2</v>
      </c>
      <c r="O9" s="1113">
        <f t="shared" ref="O9" si="52">J9/100</f>
        <v>3.7000000000000002E-3</v>
      </c>
      <c r="P9" s="1113">
        <f t="shared" ref="P9" si="53">K9/100</f>
        <v>2.35E-2</v>
      </c>
      <c r="Q9" s="1113">
        <f t="shared" ref="Q9" si="54">L9/100</f>
        <v>2.69E-2</v>
      </c>
      <c r="R9" s="1143"/>
      <c r="S9" s="1120"/>
      <c r="T9" s="1121"/>
      <c r="U9" s="1121"/>
      <c r="V9" s="1121"/>
      <c r="W9" s="1063"/>
      <c r="X9" s="1063">
        <f>ROUND(SUMPRODUCT(PRODUCT(1+N9:N$36)),4)</f>
        <v>1.6511</v>
      </c>
      <c r="Y9" s="1063">
        <f>ROUND(SUMPRODUCT(PRODUCT(1+O9:O$36)),4)</f>
        <v>1.3785000000000001</v>
      </c>
      <c r="Z9" s="1063">
        <f t="shared" ref="Z9" si="55">Y9</f>
        <v>1.3785000000000001</v>
      </c>
      <c r="AA9" s="1063">
        <f>ROUND(SUMPRODUCT(PRODUCT(1+P9:P$36)),4)</f>
        <v>1.7353000000000001</v>
      </c>
      <c r="AB9" s="1063">
        <f>ROUND(SUMPRODUCT(PRODUCT(1+Q9:Q$36)),4)</f>
        <v>1.4458</v>
      </c>
      <c r="AC9" s="1063"/>
      <c r="AD9" s="1113">
        <f>ROUND(AVERAGE(I9:I$36)/100,4)</f>
        <v>1.8200000000000001E-2</v>
      </c>
      <c r="AE9" s="1113">
        <f>ROUND(AVERAGE(J9:J$36)/100,4)</f>
        <v>1.1599999999999999E-2</v>
      </c>
      <c r="AF9" s="1113">
        <f t="shared" ref="AF9" si="56">AE9</f>
        <v>1.1599999999999999E-2</v>
      </c>
      <c r="AG9" s="1113">
        <f>ROUND(AVERAGE(K9:K$36)/100,4)</f>
        <v>0.02</v>
      </c>
      <c r="AH9" s="1113">
        <f>ROUND(AVERAGE(L9:L$36)/100,4)</f>
        <v>1.3299999999999999E-2</v>
      </c>
    </row>
    <row r="10" spans="1:34" s="1059" customFormat="1">
      <c r="A10" s="1080" t="s">
        <v>1855</v>
      </c>
      <c r="B10" s="1081">
        <f t="shared" ref="B10" si="57">B11*(1+N10)</f>
        <v>483.1434279321756</v>
      </c>
      <c r="C10" s="1081">
        <f t="shared" ref="C10" si="58">C11*(1+O10)</f>
        <v>345.93622669144776</v>
      </c>
      <c r="D10" s="1081">
        <f t="shared" ref="D10" si="59">C10</f>
        <v>345.93622669144776</v>
      </c>
      <c r="E10" s="1081">
        <f t="shared" ref="E10" si="60">E11*(1+P10)</f>
        <v>694.24498562544113</v>
      </c>
      <c r="F10" s="1081">
        <f t="shared" ref="F10" si="61">F11*(1+Q10)</f>
        <v>319.35475932716082</v>
      </c>
      <c r="G10" s="1075">
        <v>2020</v>
      </c>
      <c r="H10" s="1082">
        <v>3</v>
      </c>
      <c r="I10" s="1110">
        <v>0.36</v>
      </c>
      <c r="J10" s="1110">
        <v>-0.39</v>
      </c>
      <c r="K10" s="3448">
        <v>0.49</v>
      </c>
      <c r="L10" s="1111">
        <v>7.0000000000000007E-2</v>
      </c>
      <c r="M10" s="1063"/>
      <c r="N10" s="1112">
        <f t="shared" ref="N10" si="62">I10/100</f>
        <v>3.5999999999999999E-3</v>
      </c>
      <c r="O10" s="1113">
        <f t="shared" ref="O10" si="63">J10/100</f>
        <v>-3.9000000000000003E-3</v>
      </c>
      <c r="P10" s="1113">
        <f t="shared" ref="P10" si="64">K10/100</f>
        <v>4.8999999999999998E-3</v>
      </c>
      <c r="Q10" s="1113">
        <f t="shared" ref="Q10" si="65">L10/100</f>
        <v>7.000000000000001E-4</v>
      </c>
      <c r="R10" s="1143"/>
      <c r="S10" s="1120"/>
      <c r="T10" s="1121"/>
      <c r="U10" s="1121"/>
      <c r="V10" s="1121"/>
      <c r="W10" s="1063"/>
      <c r="X10" s="1063">
        <f>ROUND(SUMPRODUCT(PRODUCT(1+N10:N$36)),4)</f>
        <v>1.6175999999999999</v>
      </c>
      <c r="Y10" s="1063">
        <f>ROUND(SUMPRODUCT(PRODUCT(1+O10:O$36)),4)</f>
        <v>1.3734</v>
      </c>
      <c r="Z10" s="1063">
        <f t="shared" ref="Z10" si="66">Y10</f>
        <v>1.3734</v>
      </c>
      <c r="AA10" s="1063">
        <f>ROUND(SUMPRODUCT(PRODUCT(1+P10:P$36)),4)</f>
        <v>1.6955</v>
      </c>
      <c r="AB10" s="1063">
        <f>ROUND(SUMPRODUCT(PRODUCT(1+Q10:Q$36)),4)</f>
        <v>1.4078999999999999</v>
      </c>
      <c r="AC10" s="1063"/>
      <c r="AD10" s="1113">
        <f>ROUND(AVERAGE(I10:I$36)/100,4)</f>
        <v>1.8100000000000002E-2</v>
      </c>
      <c r="AE10" s="1113">
        <f>ROUND(AVERAGE(J10:J$36)/100,4)</f>
        <v>1.1900000000000001E-2</v>
      </c>
      <c r="AF10" s="1113">
        <f t="shared" ref="AF10" si="67">AE10</f>
        <v>1.1900000000000001E-2</v>
      </c>
      <c r="AG10" s="1113">
        <f>ROUND(AVERAGE(K10:K$36)/100,4)</f>
        <v>1.9900000000000001E-2</v>
      </c>
      <c r="AH10" s="1113">
        <f>ROUND(AVERAGE(L10:L$36)/100,4)</f>
        <v>1.2800000000000001E-2</v>
      </c>
    </row>
    <row r="11" spans="1:34" s="1059" customFormat="1">
      <c r="A11" s="1080" t="s">
        <v>1856</v>
      </c>
      <c r="B11" s="1081">
        <f t="shared" ref="B11" si="68">B12*(1+N11)</f>
        <v>481.4103506697644</v>
      </c>
      <c r="C11" s="1081">
        <f t="shared" ref="C11" si="69">C12*(1+O11)</f>
        <v>347.29066026648707</v>
      </c>
      <c r="D11" s="1081">
        <f t="shared" ref="D11" si="70">C11</f>
        <v>347.29066026648707</v>
      </c>
      <c r="E11" s="1081">
        <f t="shared" ref="E11" si="71">E12*(1+P11)</f>
        <v>690.85977273901995</v>
      </c>
      <c r="F11" s="1081">
        <f t="shared" ref="F11" si="72">F12*(1+Q11)</f>
        <v>319.13136737000184</v>
      </c>
      <c r="G11" s="1075">
        <v>2020</v>
      </c>
      <c r="H11" s="1082">
        <v>2</v>
      </c>
      <c r="I11" s="1110">
        <v>0.31</v>
      </c>
      <c r="J11" s="1110">
        <v>-0.78</v>
      </c>
      <c r="K11" s="3448">
        <v>0.5</v>
      </c>
      <c r="L11" s="1111">
        <v>0.47</v>
      </c>
      <c r="M11" s="1063"/>
      <c r="N11" s="1112">
        <f t="shared" ref="N11" si="73">I11/100</f>
        <v>3.0999999999999999E-3</v>
      </c>
      <c r="O11" s="1113">
        <f t="shared" ref="O11" si="74">J11/100</f>
        <v>-7.8000000000000005E-3</v>
      </c>
      <c r="P11" s="1113">
        <f t="shared" ref="P11" si="75">K11/100</f>
        <v>5.0000000000000001E-3</v>
      </c>
      <c r="Q11" s="1113">
        <f t="shared" ref="Q11" si="76">L11/100</f>
        <v>4.6999999999999993E-3</v>
      </c>
      <c r="R11" s="1143"/>
      <c r="S11" s="1120"/>
      <c r="T11" s="1121"/>
      <c r="U11" s="1121"/>
      <c r="V11" s="1121"/>
      <c r="W11" s="1063"/>
      <c r="X11" s="1063">
        <f>ROUND(SUMPRODUCT(PRODUCT(1+N11:N$36)),4)</f>
        <v>1.6117999999999999</v>
      </c>
      <c r="Y11" s="1063">
        <f>ROUND(SUMPRODUCT(PRODUCT(1+O11:O$36)),4)</f>
        <v>1.3788</v>
      </c>
      <c r="Z11" s="1063">
        <f t="shared" ref="Z11" si="77">Y11</f>
        <v>1.3788</v>
      </c>
      <c r="AA11" s="1063">
        <f>ROUND(SUMPRODUCT(PRODUCT(1+P11:P$36)),4)</f>
        <v>1.6872</v>
      </c>
      <c r="AB11" s="1063">
        <f>ROUND(SUMPRODUCT(PRODUCT(1+Q11:Q$36)),4)</f>
        <v>1.4069</v>
      </c>
      <c r="AC11" s="1063"/>
      <c r="AD11" s="1113">
        <f>ROUND(AVERAGE(I11:I$36)/100,4)</f>
        <v>1.8599999999999998E-2</v>
      </c>
      <c r="AE11" s="1113">
        <f>ROUND(AVERAGE(J11:J$36)/100,4)</f>
        <v>1.2500000000000001E-2</v>
      </c>
      <c r="AF11" s="1113">
        <f t="shared" ref="AF11" si="78">AE11</f>
        <v>1.2500000000000001E-2</v>
      </c>
      <c r="AG11" s="1113">
        <f>ROUND(AVERAGE(K11:K$36)/100,4)</f>
        <v>2.0400000000000001E-2</v>
      </c>
      <c r="AH11" s="1113">
        <f>ROUND(AVERAGE(L11:L$36)/100,4)</f>
        <v>1.32E-2</v>
      </c>
    </row>
    <row r="12" spans="1:34" s="1059" customFormat="1">
      <c r="A12" s="1080" t="s">
        <v>1857</v>
      </c>
      <c r="B12" s="1081">
        <f t="shared" ref="B12" si="79">B13*(1+N12)</f>
        <v>479.92259063878413</v>
      </c>
      <c r="C12" s="1081">
        <f t="shared" ref="C12" si="80">C13*(1+O12)</f>
        <v>350.02082268341775</v>
      </c>
      <c r="D12" s="1081">
        <f t="shared" ref="D12" si="81">C12</f>
        <v>350.02082268341775</v>
      </c>
      <c r="E12" s="1081">
        <f t="shared" ref="E12" si="82">E13*(1+P12)</f>
        <v>687.42265944181099</v>
      </c>
      <c r="F12" s="1081">
        <f t="shared" ref="F12" si="83">F13*(1+Q12)</f>
        <v>317.63846657708956</v>
      </c>
      <c r="G12" s="1075">
        <v>2020</v>
      </c>
      <c r="H12" s="1082">
        <v>1</v>
      </c>
      <c r="I12" s="1110">
        <v>0.12</v>
      </c>
      <c r="J12" s="1110">
        <v>-0.4</v>
      </c>
      <c r="K12" s="3448">
        <v>0.21</v>
      </c>
      <c r="L12" s="1111">
        <v>0.27</v>
      </c>
      <c r="M12" s="1063"/>
      <c r="N12" s="1112">
        <f t="shared" ref="N12" si="84">I12/100</f>
        <v>1.1999999999999999E-3</v>
      </c>
      <c r="O12" s="1113">
        <f t="shared" ref="O12" si="85">J12/100</f>
        <v>-4.0000000000000001E-3</v>
      </c>
      <c r="P12" s="1113">
        <f t="shared" ref="P12" si="86">K12/100</f>
        <v>2.0999999999999999E-3</v>
      </c>
      <c r="Q12" s="1113">
        <f t="shared" ref="Q12" si="87">L12/100</f>
        <v>2.7000000000000001E-3</v>
      </c>
      <c r="R12" s="1143"/>
      <c r="S12" s="1120">
        <f>B12/B13-1</f>
        <v>1.2000000000000899E-3</v>
      </c>
      <c r="T12" s="1121">
        <f>C12/C13-1</f>
        <v>-4.0000000000000036E-3</v>
      </c>
      <c r="U12" s="1121">
        <f>E12/E13-1</f>
        <v>2.0999999999999908E-3</v>
      </c>
      <c r="V12" s="1121">
        <f>F12/F13-1</f>
        <v>2.6999999999999247E-3</v>
      </c>
      <c r="W12" s="1063"/>
      <c r="X12" s="1063">
        <f>ROUND(SUMPRODUCT(PRODUCT(1+N12:N$36)),4)</f>
        <v>1.6068</v>
      </c>
      <c r="Y12" s="1063">
        <f>ROUND(SUMPRODUCT(PRODUCT(1+O12:O$36)),4)</f>
        <v>1.3895999999999999</v>
      </c>
      <c r="Z12" s="1063">
        <f t="shared" ref="Z12:Z35" si="88">Y12</f>
        <v>1.3895999999999999</v>
      </c>
      <c r="AA12" s="1063">
        <f>ROUND(SUMPRODUCT(PRODUCT(1+P12:P$36)),4)</f>
        <v>1.6788000000000001</v>
      </c>
      <c r="AB12" s="1063">
        <f>ROUND(SUMPRODUCT(PRODUCT(1+Q12:Q$36)),4)</f>
        <v>1.4004000000000001</v>
      </c>
      <c r="AC12" s="1063"/>
      <c r="AD12" s="1113">
        <f>ROUND(AVERAGE(I12:I$36)/100,4)</f>
        <v>1.9199999999999998E-2</v>
      </c>
      <c r="AE12" s="1113">
        <f>ROUND(AVERAGE(J12:J$36)/100,4)</f>
        <v>1.3299999999999999E-2</v>
      </c>
      <c r="AF12" s="1113">
        <f t="shared" ref="AF12" si="89">AE12</f>
        <v>1.3299999999999999E-2</v>
      </c>
      <c r="AG12" s="1113">
        <f>ROUND(AVERAGE(K12:K$36)/100,4)</f>
        <v>2.1100000000000001E-2</v>
      </c>
      <c r="AH12" s="1113">
        <f>ROUND(AVERAGE(L12:L$36)/100,4)</f>
        <v>1.3599999999999999E-2</v>
      </c>
    </row>
    <row r="13" spans="1:34" s="1059" customFormat="1">
      <c r="A13" s="1080" t="s">
        <v>1858</v>
      </c>
      <c r="B13" s="1081">
        <f t="shared" ref="B13" si="90">B14*(1+N13)</f>
        <v>479.34737379023579</v>
      </c>
      <c r="C13" s="1081">
        <f t="shared" ref="C13" si="91">C14*(1+O13)</f>
        <v>351.4265287986122</v>
      </c>
      <c r="D13" s="1081">
        <f t="shared" ref="D13" si="92">C13</f>
        <v>351.4265287986122</v>
      </c>
      <c r="E13" s="1081">
        <f t="shared" ref="E13" si="93">E14*(1+P13)</f>
        <v>685.98209703803116</v>
      </c>
      <c r="F13" s="1081">
        <f t="shared" ref="F13" si="94">F14*(1+Q13)</f>
        <v>316.78315206651001</v>
      </c>
      <c r="G13" s="1075">
        <v>2019</v>
      </c>
      <c r="H13" s="1082">
        <v>4</v>
      </c>
      <c r="I13" s="1082">
        <v>0.45</v>
      </c>
      <c r="J13" s="1082">
        <v>-0.12</v>
      </c>
      <c r="K13" s="3449">
        <v>0.54</v>
      </c>
      <c r="L13" s="1114">
        <v>0.48</v>
      </c>
      <c r="M13" s="1063"/>
      <c r="N13" s="1112">
        <f t="shared" ref="N13" si="95">I13/100</f>
        <v>4.5000000000000005E-3</v>
      </c>
      <c r="O13" s="1113">
        <f t="shared" ref="O13" si="96">J13/100</f>
        <v>-1.1999999999999999E-3</v>
      </c>
      <c r="P13" s="1113">
        <f t="shared" ref="P13" si="97">K13/100</f>
        <v>5.4000000000000003E-3</v>
      </c>
      <c r="Q13" s="1113">
        <f t="shared" ref="Q13" si="98">L13/100</f>
        <v>4.7999999999999996E-3</v>
      </c>
      <c r="R13" s="1143"/>
      <c r="S13" s="1120"/>
      <c r="T13" s="1121"/>
      <c r="U13" s="1121"/>
      <c r="V13" s="1121"/>
      <c r="W13" s="1063"/>
      <c r="X13" s="1063">
        <f>ROUND(SUMPRODUCT(PRODUCT(1+N13:N$36)),4)</f>
        <v>1.6049</v>
      </c>
      <c r="Y13" s="1063">
        <f>ROUND(SUMPRODUCT(PRODUCT(1+O13:O$36)),4)</f>
        <v>1.3952</v>
      </c>
      <c r="Z13" s="1063">
        <f t="shared" si="88"/>
        <v>1.3952</v>
      </c>
      <c r="AA13" s="1063">
        <f>ROUND(SUMPRODUCT(PRODUCT(1+P13:P$36)),4)</f>
        <v>1.6753</v>
      </c>
      <c r="AB13" s="1063">
        <f>ROUND(SUMPRODUCT(PRODUCT(1+Q13:Q$36)),4)</f>
        <v>1.3966000000000001</v>
      </c>
      <c r="AC13" s="1063"/>
      <c r="AD13" s="1113">
        <f>ROUND(AVERAGE(I13:I$36)/100,4)</f>
        <v>0.02</v>
      </c>
      <c r="AE13" s="1113">
        <f>ROUND(AVERAGE(J13:J$36)/100,4)</f>
        <v>1.4E-2</v>
      </c>
      <c r="AF13" s="1113">
        <f t="shared" ref="AF13" si="99">AE13</f>
        <v>1.4E-2</v>
      </c>
      <c r="AG13" s="1113">
        <f>ROUND(AVERAGE(K13:K$36)/100,4)</f>
        <v>2.1899999999999999E-2</v>
      </c>
      <c r="AH13" s="1113">
        <f>ROUND(AVERAGE(L13:L$36)/100,4)</f>
        <v>1.4E-2</v>
      </c>
    </row>
    <row r="14" spans="1:34" s="1059" customFormat="1">
      <c r="A14" s="1080" t="s">
        <v>1859</v>
      </c>
      <c r="B14" s="1081">
        <f t="shared" ref="B14" si="100">B15*(1+N14)</f>
        <v>477.19997390765138</v>
      </c>
      <c r="C14" s="1081">
        <f t="shared" ref="C14" si="101">C15*(1+O14)</f>
        <v>351.84874729536665</v>
      </c>
      <c r="D14" s="1081">
        <f t="shared" ref="D14" si="102">C14</f>
        <v>351.84874729536665</v>
      </c>
      <c r="E14" s="1081">
        <f t="shared" ref="E14" si="103">E15*(1+P14)</f>
        <v>682.29768951465201</v>
      </c>
      <c r="F14" s="1081">
        <f t="shared" ref="F14" si="104">F15*(1+Q14)</f>
        <v>315.26985675409043</v>
      </c>
      <c r="G14" s="1075">
        <v>2019</v>
      </c>
      <c r="H14" s="1082">
        <v>3</v>
      </c>
      <c r="I14" s="1082">
        <v>0.61</v>
      </c>
      <c r="J14" s="1082">
        <v>0.67</v>
      </c>
      <c r="K14" s="3449">
        <v>0.6</v>
      </c>
      <c r="L14" s="1114">
        <v>1.03</v>
      </c>
      <c r="M14" s="1063"/>
      <c r="N14" s="1112">
        <f t="shared" ref="N14" si="105">I14/100</f>
        <v>6.0999999999999995E-3</v>
      </c>
      <c r="O14" s="1113">
        <f t="shared" ref="O14" si="106">J14/100</f>
        <v>6.7000000000000002E-3</v>
      </c>
      <c r="P14" s="1113">
        <f t="shared" ref="P14" si="107">K14/100</f>
        <v>6.0000000000000001E-3</v>
      </c>
      <c r="Q14" s="1113">
        <f t="shared" ref="Q14" si="108">L14/100</f>
        <v>1.03E-2</v>
      </c>
      <c r="R14" s="1143"/>
      <c r="S14" s="1120"/>
      <c r="T14" s="1121"/>
      <c r="U14" s="1121"/>
      <c r="V14" s="1121"/>
      <c r="W14" s="1063"/>
      <c r="X14" s="1063">
        <f>ROUND(SUMPRODUCT(PRODUCT(1+N14:N$36)),4)</f>
        <v>1.5976999999999999</v>
      </c>
      <c r="Y14" s="1063">
        <f>ROUND(SUMPRODUCT(PRODUCT(1+O14:O$36)),4)</f>
        <v>1.3969</v>
      </c>
      <c r="Z14" s="1063">
        <f t="shared" si="88"/>
        <v>1.3969</v>
      </c>
      <c r="AA14" s="1063">
        <f>ROUND(SUMPRODUCT(PRODUCT(1+P14:P$36)),4)</f>
        <v>1.6662999999999999</v>
      </c>
      <c r="AB14" s="1063">
        <f>ROUND(SUMPRODUCT(PRODUCT(1+Q14:Q$36)),4)</f>
        <v>1.3898999999999999</v>
      </c>
      <c r="AC14" s="1063"/>
      <c r="AD14" s="1113">
        <f>ROUND(AVERAGE(I14:I$36)/100,4)</f>
        <v>2.07E-2</v>
      </c>
      <c r="AE14" s="1113">
        <f>ROUND(AVERAGE(J14:J$36)/100,4)</f>
        <v>1.47E-2</v>
      </c>
      <c r="AF14" s="1113">
        <f t="shared" ref="AF14" si="109">AE14</f>
        <v>1.47E-2</v>
      </c>
      <c r="AG14" s="1113">
        <f>ROUND(AVERAGE(K14:K$36)/100,4)</f>
        <v>2.2599999999999999E-2</v>
      </c>
      <c r="AH14" s="1113">
        <f>ROUND(AVERAGE(L14:L$36)/100,4)</f>
        <v>1.44E-2</v>
      </c>
    </row>
    <row r="15" spans="1:34" s="1059" customFormat="1">
      <c r="A15" s="1080" t="s">
        <v>1860</v>
      </c>
      <c r="B15" s="1081">
        <f t="shared" ref="B15:B20" si="110">B16*(1+N15)</f>
        <v>474.30670301923408</v>
      </c>
      <c r="C15" s="1081">
        <f t="shared" ref="C15" si="111">C16*(1+O15)</f>
        <v>349.50705005996491</v>
      </c>
      <c r="D15" s="1081">
        <f t="shared" ref="D15" si="112">C15</f>
        <v>349.50705005996491</v>
      </c>
      <c r="E15" s="1081">
        <f t="shared" ref="E15" si="113">E16*(1+P15)</f>
        <v>678.22831959706957</v>
      </c>
      <c r="F15" s="1081">
        <f t="shared" ref="F15" si="114">F16*(1+Q15)</f>
        <v>312.0556832169558</v>
      </c>
      <c r="G15" s="1075">
        <v>2019</v>
      </c>
      <c r="H15" s="1083">
        <v>2</v>
      </c>
      <c r="I15" s="1083">
        <v>1.53</v>
      </c>
      <c r="J15" s="1083">
        <v>1.01</v>
      </c>
      <c r="K15" s="3450">
        <v>1.62</v>
      </c>
      <c r="L15" s="1115">
        <v>1.25</v>
      </c>
      <c r="M15" s="1063"/>
      <c r="N15" s="1112">
        <f t="shared" ref="N15" si="115">I15/100</f>
        <v>1.5300000000000001E-2</v>
      </c>
      <c r="O15" s="1113">
        <f t="shared" ref="O15" si="116">J15/100</f>
        <v>1.01E-2</v>
      </c>
      <c r="P15" s="1113">
        <f t="shared" ref="P15" si="117">K15/100</f>
        <v>1.6200000000000003E-2</v>
      </c>
      <c r="Q15" s="1113">
        <f t="shared" ref="Q15" si="118">L15/100</f>
        <v>1.2500000000000001E-2</v>
      </c>
      <c r="R15" s="1143"/>
      <c r="S15" s="1120"/>
      <c r="T15" s="1121"/>
      <c r="U15" s="1121"/>
      <c r="V15" s="1121"/>
      <c r="W15" s="1063"/>
      <c r="X15" s="1063">
        <f>ROUND(SUMPRODUCT(PRODUCT(1+N15:N$36)),4)</f>
        <v>1.5880000000000001</v>
      </c>
      <c r="Y15" s="1063">
        <f>ROUND(SUMPRODUCT(PRODUCT(1+O15:O$36)),4)</f>
        <v>1.3875999999999999</v>
      </c>
      <c r="Z15" s="1063">
        <f t="shared" si="88"/>
        <v>1.3875999999999999</v>
      </c>
      <c r="AA15" s="1063">
        <f>ROUND(SUMPRODUCT(PRODUCT(1+P15:P$36)),4)</f>
        <v>1.6563000000000001</v>
      </c>
      <c r="AB15" s="1063">
        <f>ROUND(SUMPRODUCT(PRODUCT(1+Q15:Q$36)),4)</f>
        <v>1.3756999999999999</v>
      </c>
      <c r="AC15" s="1063"/>
      <c r="AD15" s="1113">
        <f>ROUND(AVERAGE(I15:I$36)/100,4)</f>
        <v>2.1299999999999999E-2</v>
      </c>
      <c r="AE15" s="1113">
        <f>ROUND(AVERAGE(J15:J$36)/100,4)</f>
        <v>1.4999999999999999E-2</v>
      </c>
      <c r="AF15" s="1113">
        <f t="shared" ref="AF15" si="119">AE15</f>
        <v>1.4999999999999999E-2</v>
      </c>
      <c r="AG15" s="1113">
        <f>ROUND(AVERAGE(K15:K$36)/100,4)</f>
        <v>2.3300000000000001E-2</v>
      </c>
      <c r="AH15" s="1113">
        <f>ROUND(AVERAGE(L15:L$36)/100,4)</f>
        <v>1.46E-2</v>
      </c>
    </row>
    <row r="16" spans="1:34" s="1059" customFormat="1">
      <c r="A16" s="1080" t="s">
        <v>1861</v>
      </c>
      <c r="B16" s="1081">
        <f t="shared" si="110"/>
        <v>467.15916775261894</v>
      </c>
      <c r="C16" s="1081">
        <f t="shared" ref="C16" si="120">C17*(1+O16)</f>
        <v>346.01232557169084</v>
      </c>
      <c r="D16" s="1081">
        <f t="shared" ref="D16" si="121">C16</f>
        <v>346.01232557169084</v>
      </c>
      <c r="E16" s="1081">
        <f t="shared" ref="E16" si="122">E17*(1+P16)</f>
        <v>667.41617752122568</v>
      </c>
      <c r="F16" s="1081">
        <f t="shared" ref="F16" si="123">F17*(1+Q16)</f>
        <v>308.20314391798104</v>
      </c>
      <c r="G16" s="1075">
        <v>2019</v>
      </c>
      <c r="H16" s="1082">
        <v>1</v>
      </c>
      <c r="I16" s="1082">
        <v>0.6</v>
      </c>
      <c r="J16" s="1082">
        <v>0.37</v>
      </c>
      <c r="K16" s="3449">
        <v>0.63</v>
      </c>
      <c r="L16" s="1114">
        <v>1.1299999999999999</v>
      </c>
      <c r="M16" s="1063"/>
      <c r="N16" s="1112">
        <f t="shared" ref="N16" si="124">I16/100</f>
        <v>6.0000000000000001E-3</v>
      </c>
      <c r="O16" s="1113">
        <f t="shared" ref="O16" si="125">J16/100</f>
        <v>3.7000000000000002E-3</v>
      </c>
      <c r="P16" s="1113">
        <f t="shared" ref="P16" si="126">K16/100</f>
        <v>6.3E-3</v>
      </c>
      <c r="Q16" s="1113">
        <f t="shared" ref="Q16" si="127">L16/100</f>
        <v>1.1299999999999999E-2</v>
      </c>
      <c r="R16" s="1143"/>
      <c r="S16" s="1120">
        <f>B16/B17-1</f>
        <v>6.0000000000000053E-3</v>
      </c>
      <c r="T16" s="1121">
        <f>C16/C17-1</f>
        <v>3.7000000000000366E-3</v>
      </c>
      <c r="U16" s="1121">
        <f>E16/E17-1</f>
        <v>6.2999999999999723E-3</v>
      </c>
      <c r="V16" s="1121">
        <f>F16/F17-1</f>
        <v>1.1300000000000088E-2</v>
      </c>
      <c r="W16" s="1063"/>
      <c r="X16" s="1063">
        <f>ROUND(SUMPRODUCT(PRODUCT(1+N16:N$36)),4)</f>
        <v>1.5641</v>
      </c>
      <c r="Y16" s="1063">
        <f>ROUND(SUMPRODUCT(PRODUCT(1+O16:O$36)),4)</f>
        <v>1.3736999999999999</v>
      </c>
      <c r="Z16" s="1063">
        <f t="shared" si="88"/>
        <v>1.3736999999999999</v>
      </c>
      <c r="AA16" s="1063">
        <f>ROUND(SUMPRODUCT(PRODUCT(1+P16:P$36)),4)</f>
        <v>1.6298999999999999</v>
      </c>
      <c r="AB16" s="1063">
        <f>ROUND(SUMPRODUCT(PRODUCT(1+Q16:Q$36)),4)</f>
        <v>1.3588</v>
      </c>
      <c r="AC16" s="1063"/>
      <c r="AD16" s="1113">
        <f>ROUND(AVERAGE(I16:I$36)/100,4)</f>
        <v>2.1600000000000001E-2</v>
      </c>
      <c r="AE16" s="1113">
        <f>ROUND(AVERAGE(J16:J$36)/100,4)</f>
        <v>1.5299999999999999E-2</v>
      </c>
      <c r="AF16" s="1113">
        <f t="shared" ref="AF16" si="128">AE16</f>
        <v>1.5299999999999999E-2</v>
      </c>
      <c r="AG16" s="1113">
        <f>ROUND(AVERAGE(K16:K$36)/100,4)</f>
        <v>2.3699999999999999E-2</v>
      </c>
      <c r="AH16" s="1113">
        <f>ROUND(AVERAGE(L16:L$36)/100,4)</f>
        <v>1.47E-2</v>
      </c>
    </row>
    <row r="17" spans="1:34" s="1059" customFormat="1">
      <c r="A17" s="1080" t="s">
        <v>1862</v>
      </c>
      <c r="B17" s="1084">
        <f t="shared" si="110"/>
        <v>464.37293017158942</v>
      </c>
      <c r="C17" s="1084">
        <f t="shared" ref="C17" si="129">C18*(1+O17)</f>
        <v>344.73679941385956</v>
      </c>
      <c r="D17" s="1084">
        <f t="shared" ref="D17" si="130">C17</f>
        <v>344.73679941385956</v>
      </c>
      <c r="E17" s="1084">
        <f t="shared" ref="E17" si="131">E18*(1+P17)</f>
        <v>663.2377795103107</v>
      </c>
      <c r="F17" s="1085">
        <f t="shared" ref="F17" si="132">F18*(1+Q17)</f>
        <v>304.75936311478398</v>
      </c>
      <c r="G17" s="3818">
        <v>2018</v>
      </c>
      <c r="H17" s="1083">
        <v>4</v>
      </c>
      <c r="I17" s="1083">
        <v>0.96</v>
      </c>
      <c r="J17" s="1083">
        <v>1.03</v>
      </c>
      <c r="K17" s="3450">
        <v>0.92</v>
      </c>
      <c r="L17" s="1115">
        <v>1.29</v>
      </c>
      <c r="M17" s="1063"/>
      <c r="N17" s="1112">
        <f t="shared" ref="N17" si="133">I17/100</f>
        <v>9.5999999999999992E-3</v>
      </c>
      <c r="O17" s="1113">
        <f t="shared" ref="O17" si="134">J17/100</f>
        <v>1.03E-2</v>
      </c>
      <c r="P17" s="1113">
        <f t="shared" ref="P17" si="135">K17/100</f>
        <v>9.1999999999999998E-3</v>
      </c>
      <c r="Q17" s="1113">
        <f t="shared" ref="Q17" si="136">L17/100</f>
        <v>1.29E-2</v>
      </c>
      <c r="R17" s="1143"/>
      <c r="S17" s="1144"/>
      <c r="T17" s="1145"/>
      <c r="U17" s="1145"/>
      <c r="V17" s="1145"/>
      <c r="W17" s="1063"/>
      <c r="X17" s="1063">
        <f>ROUND(SUMPRODUCT(PRODUCT(1+N17:N$36)),4)</f>
        <v>1.5548</v>
      </c>
      <c r="Y17" s="1063">
        <f>ROUND(SUMPRODUCT(PRODUCT(1+O17:O$36)),4)</f>
        <v>1.3686</v>
      </c>
      <c r="Z17" s="1063">
        <f t="shared" si="88"/>
        <v>1.3686</v>
      </c>
      <c r="AA17" s="1063">
        <f>ROUND(SUMPRODUCT(PRODUCT(1+P17:P$36)),4)</f>
        <v>1.6196999999999999</v>
      </c>
      <c r="AB17" s="1063">
        <f>ROUND(SUMPRODUCT(PRODUCT(1+Q17:Q$36)),4)</f>
        <v>1.3435999999999999</v>
      </c>
      <c r="AC17" s="1063"/>
      <c r="AD17" s="1113">
        <f>ROUND(AVERAGE(I17:I$36)/100,4)</f>
        <v>2.24E-2</v>
      </c>
      <c r="AE17" s="1113">
        <f>ROUND(AVERAGE(J17:J$36)/100,4)</f>
        <v>1.5800000000000002E-2</v>
      </c>
      <c r="AF17" s="1113">
        <f t="shared" ref="AF17" si="137">AE17</f>
        <v>1.5800000000000002E-2</v>
      </c>
      <c r="AG17" s="1113">
        <f>ROUND(AVERAGE(K17:K$36)/100,4)</f>
        <v>2.4500000000000001E-2</v>
      </c>
      <c r="AH17" s="1113">
        <f>ROUND(AVERAGE(L17:L$36)/100,4)</f>
        <v>1.49E-2</v>
      </c>
    </row>
    <row r="18" spans="1:34" s="1059" customFormat="1" ht="14.45" customHeight="1">
      <c r="A18" s="1080" t="s">
        <v>1863</v>
      </c>
      <c r="B18" s="1081">
        <f t="shared" si="110"/>
        <v>459.95733971036987</v>
      </c>
      <c r="C18" s="1081">
        <f t="shared" ref="C18" si="138">C19*(1+O18)</f>
        <v>341.22221064422405</v>
      </c>
      <c r="D18" s="1081">
        <f t="shared" ref="D18" si="139">C18</f>
        <v>341.22221064422405</v>
      </c>
      <c r="E18" s="1081">
        <f t="shared" ref="E18" si="140">E19*(1+P18)</f>
        <v>657.19161663724799</v>
      </c>
      <c r="F18" s="1081">
        <f t="shared" ref="F18" si="141">F19*(1+Q18)</f>
        <v>300.87803644464805</v>
      </c>
      <c r="G18" s="3818"/>
      <c r="H18" s="1082">
        <v>3</v>
      </c>
      <c r="I18" s="1082">
        <v>1.51</v>
      </c>
      <c r="J18" s="1082">
        <v>1.41</v>
      </c>
      <c r="K18" s="3449">
        <v>1.52</v>
      </c>
      <c r="L18" s="1114">
        <v>1.74</v>
      </c>
      <c r="M18" s="1063"/>
      <c r="N18" s="1112">
        <f t="shared" ref="N18" si="142">I18/100</f>
        <v>1.5100000000000001E-2</v>
      </c>
      <c r="O18" s="1113">
        <f t="shared" ref="O18" si="143">J18/100</f>
        <v>1.41E-2</v>
      </c>
      <c r="P18" s="1113">
        <f t="shared" ref="P18" si="144">K18/100</f>
        <v>1.52E-2</v>
      </c>
      <c r="Q18" s="1113">
        <f t="shared" ref="Q18" si="145">L18/100</f>
        <v>1.7399999999999999E-2</v>
      </c>
      <c r="R18" s="1143"/>
      <c r="S18" s="1112"/>
      <c r="T18" s="1113"/>
      <c r="U18" s="1113"/>
      <c r="V18" s="1113"/>
      <c r="W18" s="1063"/>
      <c r="X18" s="1063">
        <f>ROUND(SUMPRODUCT(PRODUCT(1+N18:N$36)),4)</f>
        <v>1.54</v>
      </c>
      <c r="Y18" s="1063">
        <f>ROUND(SUMPRODUCT(PRODUCT(1+O18:O$36)),4)</f>
        <v>1.3547</v>
      </c>
      <c r="Z18" s="1063">
        <f t="shared" si="88"/>
        <v>1.3547</v>
      </c>
      <c r="AA18" s="1063">
        <f>ROUND(SUMPRODUCT(PRODUCT(1+P18:P$36)),4)</f>
        <v>1.605</v>
      </c>
      <c r="AB18" s="1063">
        <f>ROUND(SUMPRODUCT(PRODUCT(1+Q18:Q$36)),4)</f>
        <v>1.3265</v>
      </c>
      <c r="AC18" s="1063"/>
      <c r="AD18" s="1113">
        <f>ROUND(AVERAGE(I18:I$36)/100,4)</f>
        <v>2.3099999999999999E-2</v>
      </c>
      <c r="AE18" s="1113">
        <f>ROUND(AVERAGE(J18:J$36)/100,4)</f>
        <v>1.61E-2</v>
      </c>
      <c r="AF18" s="1113">
        <f t="shared" ref="AF18" si="146">AE18</f>
        <v>1.61E-2</v>
      </c>
      <c r="AG18" s="1113">
        <f>ROUND(AVERAGE(K18:K$36)/100,4)</f>
        <v>2.53E-2</v>
      </c>
      <c r="AH18" s="1113">
        <f>ROUND(AVERAGE(L18:L$36)/100,4)</f>
        <v>1.4999999999999999E-2</v>
      </c>
    </row>
    <row r="19" spans="1:34" s="1059" customFormat="1" ht="14.45" customHeight="1">
      <c r="A19" s="1080" t="s">
        <v>1864</v>
      </c>
      <c r="B19" s="1081">
        <f t="shared" si="110"/>
        <v>453.11529869999993</v>
      </c>
      <c r="C19" s="1081">
        <f t="shared" ref="C19" si="147">C20*(1+O19)</f>
        <v>336.47787264000004</v>
      </c>
      <c r="D19" s="1081">
        <f t="shared" ref="D19" si="148">C19</f>
        <v>336.47787264000004</v>
      </c>
      <c r="E19" s="1081">
        <f t="shared" ref="E19" si="149">E20*(1+P19)</f>
        <v>647.35186823999993</v>
      </c>
      <c r="F19" s="1081">
        <f t="shared" ref="F19" si="150">F20*(1+Q19)</f>
        <v>295.73229452000004</v>
      </c>
      <c r="G19" s="3818"/>
      <c r="H19" s="1086">
        <v>2</v>
      </c>
      <c r="I19" s="1086">
        <v>1.49</v>
      </c>
      <c r="J19" s="1086">
        <v>0.96</v>
      </c>
      <c r="K19" s="3451">
        <v>1.58</v>
      </c>
      <c r="L19" s="1116">
        <v>2.44</v>
      </c>
      <c r="M19" s="1063"/>
      <c r="N19" s="1112">
        <f t="shared" ref="N19" si="151">I19/100</f>
        <v>1.49E-2</v>
      </c>
      <c r="O19" s="1113">
        <f t="shared" ref="O19" si="152">J19/100</f>
        <v>9.5999999999999992E-3</v>
      </c>
      <c r="P19" s="1113">
        <f t="shared" ref="P19" si="153">K19/100</f>
        <v>1.5800000000000002E-2</v>
      </c>
      <c r="Q19" s="1113">
        <f t="shared" ref="Q19" si="154">L19/100</f>
        <v>2.4399999999999998E-2</v>
      </c>
      <c r="R19" s="1143"/>
      <c r="S19" s="1112"/>
      <c r="T19" s="1113"/>
      <c r="U19" s="1113"/>
      <c r="V19" s="1113"/>
      <c r="W19" s="1063"/>
      <c r="X19" s="1063">
        <f>ROUND(SUMPRODUCT(PRODUCT(1+N19:N$36)),4)</f>
        <v>1.5170999999999999</v>
      </c>
      <c r="Y19" s="1063">
        <f>ROUND(SUMPRODUCT(PRODUCT(1+O19:O$36)),4)</f>
        <v>1.3358000000000001</v>
      </c>
      <c r="Z19" s="1063">
        <f t="shared" si="88"/>
        <v>1.3358000000000001</v>
      </c>
      <c r="AA19" s="1063">
        <f>ROUND(SUMPRODUCT(PRODUCT(1+P19:P$36)),4)</f>
        <v>1.5809</v>
      </c>
      <c r="AB19" s="1063">
        <f>ROUND(SUMPRODUCT(PRODUCT(1+Q19:Q$36)),4)</f>
        <v>1.3038000000000001</v>
      </c>
      <c r="AC19" s="1063"/>
      <c r="AD19" s="1113">
        <f>ROUND(AVERAGE(I19:I$36)/100,4)</f>
        <v>2.35E-2</v>
      </c>
      <c r="AE19" s="1113">
        <f>ROUND(AVERAGE(J19:J$36)/100,4)</f>
        <v>1.6199999999999999E-2</v>
      </c>
      <c r="AF19" s="1113">
        <f t="shared" ref="AF19" si="155">AE19</f>
        <v>1.6199999999999999E-2</v>
      </c>
      <c r="AG19" s="1113">
        <f>ROUND(AVERAGE(K19:K$36)/100,4)</f>
        <v>2.5899999999999999E-2</v>
      </c>
      <c r="AH19" s="1113">
        <f>ROUND(AVERAGE(L19:L$36)/100,4)</f>
        <v>1.49E-2</v>
      </c>
    </row>
    <row r="20" spans="1:34" s="1059" customFormat="1" ht="15" customHeight="1">
      <c r="A20" s="1080" t="s">
        <v>1865</v>
      </c>
      <c r="B20" s="1081">
        <f t="shared" si="110"/>
        <v>446.46299999999997</v>
      </c>
      <c r="C20" s="1081">
        <f t="shared" ref="C20" si="156">C21*(1+O20)</f>
        <v>333.27840000000003</v>
      </c>
      <c r="D20" s="1081">
        <f t="shared" ref="D20:D25" si="157">C20</f>
        <v>333.27840000000003</v>
      </c>
      <c r="E20" s="1081">
        <f t="shared" ref="E20" si="158">E21*(1+P20)</f>
        <v>637.28279999999995</v>
      </c>
      <c r="F20" s="1081">
        <f t="shared" ref="F20" si="159">F21*(1+Q20)</f>
        <v>288.68830000000003</v>
      </c>
      <c r="G20" s="3825"/>
      <c r="H20" s="1082">
        <v>1</v>
      </c>
      <c r="I20" s="1082">
        <v>1.7</v>
      </c>
      <c r="J20" s="1082">
        <v>1.92</v>
      </c>
      <c r="K20" s="3449">
        <v>1.64</v>
      </c>
      <c r="L20" s="1114">
        <v>2.0099999999999998</v>
      </c>
      <c r="M20" s="1063"/>
      <c r="N20" s="1112">
        <f t="shared" ref="N20:N25" si="160">I20/100</f>
        <v>1.7000000000000001E-2</v>
      </c>
      <c r="O20" s="1113">
        <f t="shared" ref="O20" si="161">J20/100</f>
        <v>1.9199999999999998E-2</v>
      </c>
      <c r="P20" s="1113">
        <f t="shared" ref="P20" si="162">K20/100</f>
        <v>1.6399999999999998E-2</v>
      </c>
      <c r="Q20" s="1113">
        <f t="shared" ref="Q20" si="163">L20/100</f>
        <v>2.0099999999999996E-2</v>
      </c>
      <c r="R20" s="1143"/>
      <c r="S20" s="1120">
        <f>B20/B21-1</f>
        <v>1.6999999999999904E-2</v>
      </c>
      <c r="T20" s="1121">
        <f>C20/C21-1</f>
        <v>1.9200000000000106E-2</v>
      </c>
      <c r="U20" s="1121">
        <f>E20/E21-1</f>
        <v>1.639999999999997E-2</v>
      </c>
      <c r="V20" s="1121">
        <f>F20/F21-1</f>
        <v>2.0100000000000007E-2</v>
      </c>
      <c r="W20" s="1063"/>
      <c r="X20" s="1063">
        <f>ROUND(SUMPRODUCT(PRODUCT(1+N20:N$36)),4)</f>
        <v>1.4947999999999999</v>
      </c>
      <c r="Y20" s="1063">
        <f>ROUND(SUMPRODUCT(PRODUCT(1+O20:O$36)),4)</f>
        <v>1.3230999999999999</v>
      </c>
      <c r="Z20" s="1063">
        <f t="shared" si="88"/>
        <v>1.3230999999999999</v>
      </c>
      <c r="AA20" s="1063">
        <f>ROUND(SUMPRODUCT(PRODUCT(1+P20:P$36)),4)</f>
        <v>1.5564</v>
      </c>
      <c r="AB20" s="1063">
        <f>ROUND(SUMPRODUCT(PRODUCT(1+Q20:Q$36)),4)</f>
        <v>1.2726999999999999</v>
      </c>
      <c r="AC20" s="1063"/>
      <c r="AD20" s="1113">
        <f>ROUND(AVERAGE(I20:I$36)/100,4)</f>
        <v>2.4E-2</v>
      </c>
      <c r="AE20" s="1113">
        <f>ROUND(AVERAGE(J20:J$36)/100,4)</f>
        <v>1.66E-2</v>
      </c>
      <c r="AF20" s="1113">
        <f t="shared" ref="AF20" si="164">AE20</f>
        <v>1.66E-2</v>
      </c>
      <c r="AG20" s="1113">
        <f>ROUND(AVERAGE(K20:K$36)/100,4)</f>
        <v>2.6499999999999999E-2</v>
      </c>
      <c r="AH20" s="1113">
        <f>ROUND(AVERAGE(L20:L$36)/100,4)</f>
        <v>1.43E-2</v>
      </c>
    </row>
    <row r="21" spans="1:34">
      <c r="A21" s="1080" t="s">
        <v>1866</v>
      </c>
      <c r="B21" s="1087">
        <v>439</v>
      </c>
      <c r="C21" s="1087">
        <v>327</v>
      </c>
      <c r="D21" s="1087">
        <f t="shared" si="157"/>
        <v>327</v>
      </c>
      <c r="E21" s="1087">
        <v>627</v>
      </c>
      <c r="F21" s="1088">
        <v>283</v>
      </c>
      <c r="G21" s="3826">
        <v>2017</v>
      </c>
      <c r="H21" s="1083">
        <v>4</v>
      </c>
      <c r="I21" s="1083">
        <v>1.71</v>
      </c>
      <c r="J21" s="1083">
        <v>1.78</v>
      </c>
      <c r="K21" s="3450">
        <v>1.71</v>
      </c>
      <c r="L21" s="1115">
        <v>1.43</v>
      </c>
      <c r="N21" s="1117">
        <f t="shared" si="160"/>
        <v>1.7100000000000001E-2</v>
      </c>
      <c r="O21" s="1118">
        <f t="shared" ref="O21" si="165">J21/100</f>
        <v>1.78E-2</v>
      </c>
      <c r="P21" s="1118">
        <f t="shared" ref="P21" si="166">K21/100</f>
        <v>1.7100000000000001E-2</v>
      </c>
      <c r="Q21" s="1118">
        <f t="shared" ref="Q21" si="167">L21/100</f>
        <v>1.43E-2</v>
      </c>
      <c r="R21" s="1143"/>
      <c r="S21" s="1144"/>
      <c r="T21" s="1145"/>
      <c r="U21" s="1145"/>
      <c r="V21" s="1145"/>
      <c r="X21" s="1063">
        <f>ROUND(SUMPRODUCT(PRODUCT(1+N21:N$36)),4)</f>
        <v>1.4698</v>
      </c>
      <c r="Y21" s="1063">
        <f>ROUND(SUMPRODUCT(PRODUCT(1+O21:O$36)),4)</f>
        <v>1.2982</v>
      </c>
      <c r="Z21" s="1063">
        <f t="shared" si="88"/>
        <v>1.2982</v>
      </c>
      <c r="AA21" s="1063">
        <f>ROUND(SUMPRODUCT(PRODUCT(1+P21:P$36)),4)</f>
        <v>1.5311999999999999</v>
      </c>
      <c r="AB21" s="1063">
        <f>ROUND(SUMPRODUCT(PRODUCT(1+Q21:Q$36)),4)</f>
        <v>1.2476</v>
      </c>
      <c r="AD21" s="1113">
        <f>ROUND(AVERAGE(I21:I$36)/100,4)</f>
        <v>2.4500000000000001E-2</v>
      </c>
      <c r="AE21" s="1113">
        <f>ROUND(AVERAGE(J21:J$36)/100,4)</f>
        <v>1.6500000000000001E-2</v>
      </c>
      <c r="AF21" s="1113">
        <f t="shared" si="1"/>
        <v>1.6500000000000001E-2</v>
      </c>
      <c r="AG21" s="1113">
        <f>ROUND(AVERAGE(K21:K$36)/100,4)</f>
        <v>2.7099999999999999E-2</v>
      </c>
      <c r="AH21" s="1113">
        <f>ROUND(AVERAGE(L21:L$36)/100,4)</f>
        <v>1.3899999999999999E-2</v>
      </c>
    </row>
    <row r="22" spans="1:34" s="1059" customFormat="1" ht="14.45" customHeight="1">
      <c r="A22" s="1080" t="s">
        <v>1867</v>
      </c>
      <c r="B22" s="1081">
        <f t="shared" ref="B22:C24" si="168">B23*(1+N22)</f>
        <v>431.80730811680002</v>
      </c>
      <c r="C22" s="1081">
        <f t="shared" si="168"/>
        <v>320.57880516480003</v>
      </c>
      <c r="D22" s="1081">
        <f t="shared" si="157"/>
        <v>320.57880516480003</v>
      </c>
      <c r="E22" s="1081">
        <f t="shared" ref="E22:F24" si="169">E23*(1+P22)</f>
        <v>615.96110553196797</v>
      </c>
      <c r="F22" s="1081">
        <f t="shared" si="169"/>
        <v>279.46777300108801</v>
      </c>
      <c r="G22" s="3818"/>
      <c r="H22" s="1082">
        <v>3</v>
      </c>
      <c r="I22" s="1082">
        <v>2.98</v>
      </c>
      <c r="J22" s="1082">
        <v>2.11</v>
      </c>
      <c r="K22" s="3449">
        <v>3.24</v>
      </c>
      <c r="L22" s="1114">
        <v>1.72</v>
      </c>
      <c r="M22" s="1063"/>
      <c r="N22" s="1112">
        <f t="shared" si="160"/>
        <v>2.98E-2</v>
      </c>
      <c r="O22" s="1119">
        <f t="shared" ref="O22:O23" si="170">J22/100</f>
        <v>2.1099999999999997E-2</v>
      </c>
      <c r="P22" s="1119">
        <f t="shared" ref="P22:P23" si="171">K22/100</f>
        <v>3.2400000000000005E-2</v>
      </c>
      <c r="Q22" s="1119">
        <f t="shared" ref="Q22:Q23" si="172">L22/100</f>
        <v>1.72E-2</v>
      </c>
      <c r="R22" s="1143"/>
      <c r="S22" s="1112"/>
      <c r="T22" s="1113"/>
      <c r="U22" s="1113"/>
      <c r="V22" s="1113"/>
      <c r="W22" s="1063"/>
      <c r="X22" s="1063">
        <f>ROUND(SUMPRODUCT(PRODUCT(1+N22:N$36)),4)</f>
        <v>1.4451000000000001</v>
      </c>
      <c r="Y22" s="1063">
        <f>ROUND(SUMPRODUCT(PRODUCT(1+O22:O$36)),4)</f>
        <v>1.2755000000000001</v>
      </c>
      <c r="Z22" s="1063">
        <f t="shared" si="88"/>
        <v>1.2755000000000001</v>
      </c>
      <c r="AA22" s="1063">
        <f>ROUND(SUMPRODUCT(PRODUCT(1+P22:P$36)),4)</f>
        <v>1.5055000000000001</v>
      </c>
      <c r="AB22" s="1063">
        <f>ROUND(SUMPRODUCT(PRODUCT(1+Q22:Q$36)),4)</f>
        <v>1.2301</v>
      </c>
      <c r="AC22" s="1063"/>
      <c r="AD22" s="1113">
        <f>ROUND(AVERAGE(I22:I$36)/100,4)</f>
        <v>2.4899999999999999E-2</v>
      </c>
      <c r="AE22" s="1113">
        <f>ROUND(AVERAGE(J22:J$36)/100,4)</f>
        <v>1.6400000000000001E-2</v>
      </c>
      <c r="AF22" s="1113">
        <f t="shared" si="1"/>
        <v>1.6400000000000001E-2</v>
      </c>
      <c r="AG22" s="1113">
        <f>ROUND(AVERAGE(K22:K$36)/100,4)</f>
        <v>2.7799999999999998E-2</v>
      </c>
      <c r="AH22" s="1113">
        <f>ROUND(AVERAGE(L22:L$36)/100,4)</f>
        <v>1.3899999999999999E-2</v>
      </c>
    </row>
    <row r="23" spans="1:34" s="1054" customFormat="1" ht="14.45" customHeight="1">
      <c r="A23" s="1080" t="s">
        <v>1868</v>
      </c>
      <c r="B23" s="1081">
        <f t="shared" si="168"/>
        <v>419.31181600000002</v>
      </c>
      <c r="C23" s="1081">
        <f t="shared" si="168"/>
        <v>313.95436800000004</v>
      </c>
      <c r="D23" s="1081">
        <f t="shared" si="157"/>
        <v>313.95436800000004</v>
      </c>
      <c r="E23" s="1081">
        <f t="shared" si="169"/>
        <v>596.63028431999999</v>
      </c>
      <c r="F23" s="1081">
        <f t="shared" si="169"/>
        <v>274.74220703999998</v>
      </c>
      <c r="G23" s="3818"/>
      <c r="H23" s="1086">
        <v>2</v>
      </c>
      <c r="I23" s="1086">
        <v>3.4</v>
      </c>
      <c r="J23" s="1086">
        <v>2</v>
      </c>
      <c r="K23" s="3451">
        <v>3.82</v>
      </c>
      <c r="L23" s="1116">
        <v>1.68</v>
      </c>
      <c r="N23" s="1112">
        <f t="shared" si="160"/>
        <v>3.4000000000000002E-2</v>
      </c>
      <c r="O23" s="1119">
        <f t="shared" si="170"/>
        <v>0.02</v>
      </c>
      <c r="P23" s="1119">
        <f t="shared" si="171"/>
        <v>3.8199999999999998E-2</v>
      </c>
      <c r="Q23" s="1119">
        <f t="shared" si="172"/>
        <v>1.6799999999999999E-2</v>
      </c>
      <c r="S23" s="1112"/>
      <c r="T23" s="1113"/>
      <c r="U23" s="1113"/>
      <c r="V23" s="1113"/>
      <c r="X23" s="1063">
        <f>ROUND(SUMPRODUCT(PRODUCT(1+N23:N$36)),4)</f>
        <v>1.4033</v>
      </c>
      <c r="Y23" s="1063">
        <f>ROUND(SUMPRODUCT(PRODUCT(1+O23:O$36)),4)</f>
        <v>1.2491000000000001</v>
      </c>
      <c r="Z23" s="1063">
        <f t="shared" si="88"/>
        <v>1.2491000000000001</v>
      </c>
      <c r="AA23" s="1063">
        <f>ROUND(SUMPRODUCT(PRODUCT(1+P23:P$36)),4)</f>
        <v>1.4581999999999999</v>
      </c>
      <c r="AB23" s="1063">
        <f>ROUND(SUMPRODUCT(PRODUCT(1+Q23:Q$36)),4)</f>
        <v>1.2093</v>
      </c>
      <c r="AD23" s="1113">
        <f>ROUND(AVERAGE(I23:I$36)/100,4)</f>
        <v>2.46E-2</v>
      </c>
      <c r="AE23" s="1113">
        <f>ROUND(AVERAGE(J23:J$36)/100,4)</f>
        <v>1.6E-2</v>
      </c>
      <c r="AF23" s="1113">
        <f t="shared" si="1"/>
        <v>1.6E-2</v>
      </c>
      <c r="AG23" s="1113">
        <f>ROUND(AVERAGE(K23:K$36)/100,4)</f>
        <v>2.75E-2</v>
      </c>
      <c r="AH23" s="1113">
        <f>ROUND(AVERAGE(L23:L$36)/100,4)</f>
        <v>1.37E-2</v>
      </c>
    </row>
    <row r="24" spans="1:34" s="1059" customFormat="1" ht="15" customHeight="1">
      <c r="A24" s="1080" t="s">
        <v>1869</v>
      </c>
      <c r="B24" s="1081">
        <f t="shared" si="168"/>
        <v>405.524</v>
      </c>
      <c r="C24" s="1081">
        <f t="shared" si="168"/>
        <v>307.79840000000002</v>
      </c>
      <c r="D24" s="1081">
        <f t="shared" si="157"/>
        <v>307.79840000000002</v>
      </c>
      <c r="E24" s="1081">
        <f t="shared" si="169"/>
        <v>574.67759999999998</v>
      </c>
      <c r="F24" s="1081">
        <f t="shared" si="169"/>
        <v>270.20280000000002</v>
      </c>
      <c r="G24" s="3825"/>
      <c r="H24" s="1082">
        <v>1</v>
      </c>
      <c r="I24" s="1082">
        <v>3.45</v>
      </c>
      <c r="J24" s="1082">
        <v>1.92</v>
      </c>
      <c r="K24" s="3449">
        <v>3.92</v>
      </c>
      <c r="L24" s="1114">
        <v>1.58</v>
      </c>
      <c r="M24" s="1063"/>
      <c r="N24" s="1120">
        <f t="shared" si="160"/>
        <v>3.4500000000000003E-2</v>
      </c>
      <c r="O24" s="1121">
        <f t="shared" ref="O24" si="173">J24/100</f>
        <v>1.9199999999999998E-2</v>
      </c>
      <c r="P24" s="1121">
        <f t="shared" ref="P24" si="174">K24/100</f>
        <v>3.9199999999999999E-2</v>
      </c>
      <c r="Q24" s="1121">
        <f t="shared" ref="Q24" si="175">L24/100</f>
        <v>1.5800000000000002E-2</v>
      </c>
      <c r="R24" s="1143"/>
      <c r="S24" s="1120">
        <f>B24/B25-1</f>
        <v>3.4499999999999975E-2</v>
      </c>
      <c r="T24" s="1121">
        <f>C24/C25-1</f>
        <v>1.9200000000000106E-2</v>
      </c>
      <c r="U24" s="1121">
        <f>E24/E25-1</f>
        <v>3.9199999999999902E-2</v>
      </c>
      <c r="V24" s="1121">
        <f>F24/F25-1</f>
        <v>1.5800000000000036E-2</v>
      </c>
      <c r="W24" s="1063"/>
      <c r="X24" s="1063">
        <f>ROUND(SUMPRODUCT(PRODUCT(1+N24:N$36)),4)</f>
        <v>1.3571</v>
      </c>
      <c r="Y24" s="1063">
        <f>ROUND(SUMPRODUCT(PRODUCT(1+O24:O$36)),4)</f>
        <v>1.2245999999999999</v>
      </c>
      <c r="Z24" s="1063">
        <f t="shared" si="88"/>
        <v>1.2245999999999999</v>
      </c>
      <c r="AA24" s="1063">
        <f>ROUND(SUMPRODUCT(PRODUCT(1+P24:P$36)),4)</f>
        <v>1.4046000000000001</v>
      </c>
      <c r="AB24" s="1063">
        <f>ROUND(SUMPRODUCT(PRODUCT(1+Q24:Q$36)),4)</f>
        <v>1.1893</v>
      </c>
      <c r="AC24" s="1063"/>
      <c r="AD24" s="1113">
        <f>ROUND(AVERAGE(I24:I$36)/100,4)</f>
        <v>2.3900000000000001E-2</v>
      </c>
      <c r="AE24" s="1113">
        <f>ROUND(AVERAGE(J24:J$36)/100,4)</f>
        <v>1.5699999999999999E-2</v>
      </c>
      <c r="AF24" s="1113">
        <f t="shared" si="1"/>
        <v>1.5699999999999999E-2</v>
      </c>
      <c r="AG24" s="1113">
        <f>ROUND(AVERAGE(K24:K$36)/100,4)</f>
        <v>2.6599999999999999E-2</v>
      </c>
      <c r="AH24" s="1113">
        <f>ROUND(AVERAGE(L24:L$36)/100,4)</f>
        <v>1.34E-2</v>
      </c>
    </row>
    <row r="25" spans="1:34">
      <c r="A25" s="1080" t="s">
        <v>1870</v>
      </c>
      <c r="B25" s="1089">
        <v>392</v>
      </c>
      <c r="C25" s="1089">
        <v>302</v>
      </c>
      <c r="D25" s="1089">
        <f t="shared" si="157"/>
        <v>302</v>
      </c>
      <c r="E25" s="1089">
        <v>553</v>
      </c>
      <c r="F25" s="1090">
        <v>266</v>
      </c>
      <c r="G25" s="3826">
        <v>2016</v>
      </c>
      <c r="H25" s="1083">
        <v>4</v>
      </c>
      <c r="I25" s="1083">
        <v>4.5599999999999996</v>
      </c>
      <c r="J25" s="1083">
        <v>2.15</v>
      </c>
      <c r="K25" s="3450">
        <v>5.32</v>
      </c>
      <c r="L25" s="1115">
        <v>1.57</v>
      </c>
      <c r="N25" s="1112">
        <f t="shared" si="160"/>
        <v>4.5599999999999995E-2</v>
      </c>
      <c r="O25" s="1113">
        <f t="shared" ref="O25:Q40" si="176">J25/100</f>
        <v>2.1499999999999998E-2</v>
      </c>
      <c r="P25" s="1113">
        <f t="shared" si="176"/>
        <v>5.3200000000000004E-2</v>
      </c>
      <c r="Q25" s="1113">
        <f t="shared" si="176"/>
        <v>1.5700000000000002E-2</v>
      </c>
      <c r="R25" s="1143"/>
      <c r="S25" s="1144"/>
      <c r="T25" s="1145"/>
      <c r="U25" s="1145"/>
      <c r="V25" s="1145"/>
      <c r="X25" s="1063">
        <f>ROUND(SUMPRODUCT(PRODUCT(1+N25:N$36)),4)</f>
        <v>1.3119000000000001</v>
      </c>
      <c r="Y25" s="1063">
        <f>ROUND(SUMPRODUCT(PRODUCT(1+O25:O$36)),4)</f>
        <v>1.2016</v>
      </c>
      <c r="Z25" s="1063">
        <f t="shared" si="88"/>
        <v>1.2016</v>
      </c>
      <c r="AA25" s="1063">
        <f>ROUND(SUMPRODUCT(PRODUCT(1+P25:P$36)),4)</f>
        <v>1.3515999999999999</v>
      </c>
      <c r="AB25" s="1063">
        <f>ROUND(SUMPRODUCT(PRODUCT(1+Q25:Q$36)),4)</f>
        <v>1.1708000000000001</v>
      </c>
      <c r="AD25" s="1113">
        <f>ROUND(AVERAGE(I25:I$36)/100,4)</f>
        <v>2.3E-2</v>
      </c>
      <c r="AE25" s="1113">
        <f>ROUND(AVERAGE(J25:J$36)/100,4)</f>
        <v>1.55E-2</v>
      </c>
      <c r="AF25" s="1113">
        <f t="shared" si="1"/>
        <v>1.55E-2</v>
      </c>
      <c r="AG25" s="1113">
        <f>ROUND(AVERAGE(K25:K$36)/100,4)</f>
        <v>2.5600000000000001E-2</v>
      </c>
      <c r="AH25" s="1113">
        <f>ROUND(AVERAGE(L25:L$36)/100,4)</f>
        <v>1.32E-2</v>
      </c>
    </row>
    <row r="26" spans="1:34">
      <c r="A26" s="1080" t="s">
        <v>1871</v>
      </c>
      <c r="B26" s="1081">
        <f t="shared" ref="B26:C28" si="177">B25/(1+N25)</f>
        <v>374.90436113236416</v>
      </c>
      <c r="C26" s="1081">
        <f t="shared" si="177"/>
        <v>295.64366128242779</v>
      </c>
      <c r="D26" s="1081">
        <f t="shared" ref="D26:D85" si="178">C26</f>
        <v>295.64366128242779</v>
      </c>
      <c r="E26" s="1081">
        <f t="shared" ref="E26:F28" si="179">E25/(1+P25)</f>
        <v>525.06646410938095</v>
      </c>
      <c r="F26" s="1081">
        <f t="shared" si="179"/>
        <v>261.88835286009646</v>
      </c>
      <c r="G26" s="3818"/>
      <c r="H26" s="1082">
        <v>3</v>
      </c>
      <c r="I26" s="1082">
        <v>4.12</v>
      </c>
      <c r="J26" s="1082">
        <v>2</v>
      </c>
      <c r="K26" s="3449">
        <v>4.79</v>
      </c>
      <c r="L26" s="1114">
        <v>1.97</v>
      </c>
      <c r="N26" s="1112">
        <f t="shared" ref="N26:Q60" si="180">I26/100</f>
        <v>4.1200000000000001E-2</v>
      </c>
      <c r="O26" s="1113">
        <f t="shared" si="176"/>
        <v>0.02</v>
      </c>
      <c r="P26" s="1113">
        <f t="shared" si="176"/>
        <v>4.7899999999999998E-2</v>
      </c>
      <c r="Q26" s="1113">
        <f t="shared" si="176"/>
        <v>1.9699999999999999E-2</v>
      </c>
      <c r="R26" s="1143"/>
      <c r="S26" s="1112"/>
      <c r="T26" s="1113"/>
      <c r="U26" s="1113"/>
      <c r="V26" s="1113"/>
      <c r="X26" s="1063">
        <f>ROUND(SUMPRODUCT(PRODUCT(1+N26:N$36)),4)</f>
        <v>1.2546999999999999</v>
      </c>
      <c r="Y26" s="1063">
        <f>ROUND(SUMPRODUCT(PRODUCT(1+O26:O$36)),4)</f>
        <v>1.1762999999999999</v>
      </c>
      <c r="Z26" s="1063">
        <f t="shared" si="88"/>
        <v>1.1762999999999999</v>
      </c>
      <c r="AA26" s="1063">
        <f>ROUND(SUMPRODUCT(PRODUCT(1+P26:P$36)),4)</f>
        <v>1.2833000000000001</v>
      </c>
      <c r="AB26" s="1063">
        <f>ROUND(SUMPRODUCT(PRODUCT(1+Q26:Q$36)),4)</f>
        <v>1.1527000000000001</v>
      </c>
      <c r="AD26" s="1113">
        <f>ROUND(AVERAGE(I26:I$36)/100,4)</f>
        <v>2.0899999999999998E-2</v>
      </c>
      <c r="AE26" s="1113">
        <f>ROUND(AVERAGE(J26:J$36)/100,4)</f>
        <v>1.49E-2</v>
      </c>
      <c r="AF26" s="1113">
        <f t="shared" si="1"/>
        <v>1.49E-2</v>
      </c>
      <c r="AG26" s="1113">
        <f>ROUND(AVERAGE(K26:K$36)/100,4)</f>
        <v>2.3099999999999999E-2</v>
      </c>
      <c r="AH26" s="1113">
        <f>ROUND(AVERAGE(L26:L$36)/100,4)</f>
        <v>1.2999999999999999E-2</v>
      </c>
    </row>
    <row r="27" spans="1:34">
      <c r="A27" s="1080" t="s">
        <v>1872</v>
      </c>
      <c r="B27" s="1081">
        <f t="shared" si="177"/>
        <v>360.06949782209392</v>
      </c>
      <c r="C27" s="1081">
        <f t="shared" si="177"/>
        <v>289.84672674747821</v>
      </c>
      <c r="D27" s="1081">
        <f t="shared" si="178"/>
        <v>289.84672674747821</v>
      </c>
      <c r="E27" s="1081">
        <f t="shared" si="179"/>
        <v>501.06543001181495</v>
      </c>
      <c r="F27" s="1081">
        <f t="shared" si="179"/>
        <v>256.82882500744967</v>
      </c>
      <c r="G27" s="3818"/>
      <c r="H27" s="1086">
        <v>2</v>
      </c>
      <c r="I27" s="1086">
        <v>3.85</v>
      </c>
      <c r="J27" s="1086">
        <v>1.95</v>
      </c>
      <c r="K27" s="3451">
        <v>4.4800000000000004</v>
      </c>
      <c r="L27" s="1116">
        <v>1.41</v>
      </c>
      <c r="N27" s="1112">
        <f t="shared" si="180"/>
        <v>3.85E-2</v>
      </c>
      <c r="O27" s="1113">
        <f t="shared" si="176"/>
        <v>1.95E-2</v>
      </c>
      <c r="P27" s="1113">
        <f t="shared" si="176"/>
        <v>4.4800000000000006E-2</v>
      </c>
      <c r="Q27" s="1113">
        <f t="shared" si="176"/>
        <v>1.41E-2</v>
      </c>
      <c r="R27" s="1143"/>
      <c r="S27" s="1112"/>
      <c r="T27" s="1113"/>
      <c r="U27" s="1113"/>
      <c r="V27" s="1113"/>
      <c r="X27" s="1063">
        <f>ROUND(SUMPRODUCT(PRODUCT(1+N27:N$36)),4)</f>
        <v>1.2050000000000001</v>
      </c>
      <c r="Y27" s="1063">
        <f>ROUND(SUMPRODUCT(PRODUCT(1+O27:O$36)),4)</f>
        <v>1.1532</v>
      </c>
      <c r="Z27" s="1063">
        <f t="shared" si="88"/>
        <v>1.1532</v>
      </c>
      <c r="AA27" s="1063">
        <f>ROUND(SUMPRODUCT(PRODUCT(1+P27:P$36)),4)</f>
        <v>1.2246999999999999</v>
      </c>
      <c r="AB27" s="1063">
        <f>ROUND(SUMPRODUCT(PRODUCT(1+Q27:Q$36)),4)</f>
        <v>1.1304000000000001</v>
      </c>
      <c r="AD27" s="1113">
        <f>ROUND(AVERAGE(I27:I$36)/100,4)</f>
        <v>1.89E-2</v>
      </c>
      <c r="AE27" s="1113">
        <f>ROUND(AVERAGE(J27:J$36)/100,4)</f>
        <v>1.44E-2</v>
      </c>
      <c r="AF27" s="1113">
        <f t="shared" si="1"/>
        <v>1.44E-2</v>
      </c>
      <c r="AG27" s="1113">
        <f>ROUND(AVERAGE(K27:K$36)/100,4)</f>
        <v>2.06E-2</v>
      </c>
      <c r="AH27" s="1113">
        <f>ROUND(AVERAGE(L27:L$36)/100,4)</f>
        <v>1.23E-2</v>
      </c>
    </row>
    <row r="28" spans="1:34">
      <c r="A28" s="1080" t="s">
        <v>1873</v>
      </c>
      <c r="B28" s="1081">
        <f t="shared" si="177"/>
        <v>346.720748986128</v>
      </c>
      <c r="C28" s="1081">
        <f t="shared" si="177"/>
        <v>284.30282172386285</v>
      </c>
      <c r="D28" s="1081">
        <f t="shared" si="178"/>
        <v>284.30282172386285</v>
      </c>
      <c r="E28" s="1081">
        <f t="shared" si="179"/>
        <v>479.58023546306947</v>
      </c>
      <c r="F28" s="1081">
        <f t="shared" si="179"/>
        <v>253.25788877571213</v>
      </c>
      <c r="G28" s="3819"/>
      <c r="H28" s="1082">
        <v>1</v>
      </c>
      <c r="I28" s="1082">
        <v>4.09</v>
      </c>
      <c r="J28" s="1082">
        <v>2.93</v>
      </c>
      <c r="K28" s="3449">
        <v>4.54</v>
      </c>
      <c r="L28" s="1114">
        <v>1.48</v>
      </c>
      <c r="N28" s="1112">
        <f t="shared" si="180"/>
        <v>4.0899999999999999E-2</v>
      </c>
      <c r="O28" s="1113">
        <f t="shared" si="176"/>
        <v>2.9300000000000003E-2</v>
      </c>
      <c r="P28" s="1113">
        <f t="shared" si="176"/>
        <v>4.5400000000000003E-2</v>
      </c>
      <c r="Q28" s="1113">
        <f t="shared" si="176"/>
        <v>1.4800000000000001E-2</v>
      </c>
      <c r="R28" s="1143"/>
      <c r="S28" s="1120">
        <f>B28/B29-1</f>
        <v>4.1203450408792808E-2</v>
      </c>
      <c r="T28" s="1121">
        <f>C28/C29-1</f>
        <v>2.6363977342465095E-2</v>
      </c>
      <c r="U28" s="1121">
        <f>E28/E29-1</f>
        <v>4.4837114298626357E-2</v>
      </c>
      <c r="V28" s="1121">
        <f>F28/F29-1</f>
        <v>1.7099954922538574E-2</v>
      </c>
      <c r="X28" s="1063">
        <f>ROUND(SUMPRODUCT(PRODUCT(1+N28:N$36)),4)</f>
        <v>1.1604000000000001</v>
      </c>
      <c r="Y28" s="1063">
        <f>ROUND(SUMPRODUCT(PRODUCT(1+O28:O$36)),4)</f>
        <v>1.1312</v>
      </c>
      <c r="Z28" s="1063">
        <f t="shared" si="88"/>
        <v>1.1312</v>
      </c>
      <c r="AA28" s="1063">
        <f>ROUND(SUMPRODUCT(PRODUCT(1+P28:P$36)),4)</f>
        <v>1.1721999999999999</v>
      </c>
      <c r="AB28" s="1063">
        <f>ROUND(SUMPRODUCT(PRODUCT(1+Q28:Q$36)),4)</f>
        <v>1.1147</v>
      </c>
      <c r="AD28" s="1113">
        <f>ROUND(AVERAGE(I28:I$36)/100,4)</f>
        <v>1.67E-2</v>
      </c>
      <c r="AE28" s="1113">
        <f>ROUND(AVERAGE(J28:J$36)/100,4)</f>
        <v>1.38E-2</v>
      </c>
      <c r="AF28" s="1113">
        <f t="shared" si="1"/>
        <v>1.38E-2</v>
      </c>
      <c r="AG28" s="1113">
        <f>ROUND(AVERAGE(K28:K$36)/100,4)</f>
        <v>1.7899999999999999E-2</v>
      </c>
      <c r="AH28" s="1113">
        <f>ROUND(AVERAGE(L28:L$36)/100,4)</f>
        <v>1.21E-2</v>
      </c>
    </row>
    <row r="29" spans="1:34">
      <c r="A29" s="1080" t="s">
        <v>1874</v>
      </c>
      <c r="B29" s="1089">
        <v>333</v>
      </c>
      <c r="C29" s="1089">
        <v>277</v>
      </c>
      <c r="D29" s="1089">
        <f t="shared" si="178"/>
        <v>277</v>
      </c>
      <c r="E29" s="1089">
        <v>459</v>
      </c>
      <c r="F29" s="1090">
        <v>249</v>
      </c>
      <c r="G29" s="3817">
        <v>2015</v>
      </c>
      <c r="H29" s="1091">
        <v>4</v>
      </c>
      <c r="I29" s="1091">
        <v>1.63</v>
      </c>
      <c r="J29" s="1091">
        <v>1.1100000000000001</v>
      </c>
      <c r="K29" s="3452">
        <v>1.77</v>
      </c>
      <c r="L29" s="1122">
        <v>1.89</v>
      </c>
      <c r="N29" s="1117">
        <f t="shared" si="180"/>
        <v>1.6299999999999999E-2</v>
      </c>
      <c r="O29" s="1118">
        <f t="shared" si="176"/>
        <v>1.11E-2</v>
      </c>
      <c r="P29" s="1118">
        <f t="shared" si="176"/>
        <v>1.77E-2</v>
      </c>
      <c r="Q29" s="1118">
        <f t="shared" si="176"/>
        <v>1.89E-2</v>
      </c>
      <c r="R29" s="1143"/>
      <c r="X29" s="1063">
        <f>ROUND(SUMPRODUCT(PRODUCT(1+N29:N$36)),4)</f>
        <v>1.1148</v>
      </c>
      <c r="Y29" s="1063">
        <f>ROUND(SUMPRODUCT(PRODUCT(1+O29:O$36)),4)</f>
        <v>1.099</v>
      </c>
      <c r="Z29" s="1063">
        <f t="shared" si="88"/>
        <v>1.099</v>
      </c>
      <c r="AA29" s="1063">
        <f>ROUND(SUMPRODUCT(PRODUCT(1+P29:P$36)),4)</f>
        <v>1.1213</v>
      </c>
      <c r="AB29" s="1063">
        <f>ROUND(SUMPRODUCT(PRODUCT(1+Q29:Q$36)),4)</f>
        <v>1.0984</v>
      </c>
      <c r="AD29" s="1113">
        <f>ROUND(AVERAGE(I29:I$36)/100,4)</f>
        <v>1.37E-2</v>
      </c>
      <c r="AE29" s="1113">
        <f>ROUND(AVERAGE(J29:J$36)/100,4)</f>
        <v>1.1900000000000001E-2</v>
      </c>
      <c r="AF29" s="1113">
        <f t="shared" si="1"/>
        <v>1.1900000000000001E-2</v>
      </c>
      <c r="AG29" s="1113">
        <f>ROUND(AVERAGE(K29:K$36)/100,4)</f>
        <v>1.4500000000000001E-2</v>
      </c>
      <c r="AH29" s="1113">
        <f>ROUND(AVERAGE(L29:L$36)/100,4)</f>
        <v>1.18E-2</v>
      </c>
    </row>
    <row r="30" spans="1:34">
      <c r="A30" s="1080" t="s">
        <v>1875</v>
      </c>
      <c r="B30" s="1081">
        <f t="shared" ref="B30:C32" si="181">B29/(1+N29)</f>
        <v>327.65915576109415</v>
      </c>
      <c r="C30" s="1081">
        <f t="shared" si="181"/>
        <v>273.95905449510434</v>
      </c>
      <c r="D30" s="1081">
        <f t="shared" si="178"/>
        <v>273.95905449510434</v>
      </c>
      <c r="E30" s="1081">
        <f t="shared" ref="E30:F32" si="182">E29/(1+P29)</f>
        <v>451.01699911565294</v>
      </c>
      <c r="F30" s="1081">
        <f t="shared" si="182"/>
        <v>244.38119540681129</v>
      </c>
      <c r="G30" s="3818"/>
      <c r="H30" s="1092">
        <v>3</v>
      </c>
      <c r="I30" s="1092">
        <v>1.65</v>
      </c>
      <c r="J30" s="1092">
        <v>0.92</v>
      </c>
      <c r="K30" s="3453">
        <v>1.88</v>
      </c>
      <c r="L30" s="1123">
        <v>1.26</v>
      </c>
      <c r="N30" s="1112">
        <f t="shared" si="180"/>
        <v>1.6500000000000001E-2</v>
      </c>
      <c r="O30" s="1119">
        <f t="shared" si="176"/>
        <v>9.1999999999999998E-3</v>
      </c>
      <c r="P30" s="1119">
        <f t="shared" si="176"/>
        <v>1.8799999999999997E-2</v>
      </c>
      <c r="Q30" s="1119">
        <f t="shared" si="176"/>
        <v>1.26E-2</v>
      </c>
      <c r="R30" s="1143"/>
      <c r="S30" s="1112"/>
      <c r="T30" s="1113"/>
      <c r="U30" s="1113"/>
      <c r="V30" s="1113"/>
      <c r="X30" s="1063">
        <f>ROUND(SUMPRODUCT(PRODUCT(1+N30:N$36)),4)</f>
        <v>1.0969</v>
      </c>
      <c r="Y30" s="1063">
        <f>ROUND(SUMPRODUCT(PRODUCT(1+O30:O$36)),4)</f>
        <v>1.0869</v>
      </c>
      <c r="Z30" s="1063">
        <f t="shared" si="88"/>
        <v>1.0869</v>
      </c>
      <c r="AA30" s="1063">
        <f>ROUND(SUMPRODUCT(PRODUCT(1+P30:P$36)),4)</f>
        <v>1.1017999999999999</v>
      </c>
      <c r="AB30" s="1063">
        <f>ROUND(SUMPRODUCT(PRODUCT(1+Q30:Q$36)),4)</f>
        <v>1.0781000000000001</v>
      </c>
      <c r="AD30" s="1113">
        <f>ROUND(AVERAGE(I30:I$36)/100,4)</f>
        <v>1.3299999999999999E-2</v>
      </c>
      <c r="AE30" s="1113">
        <f>ROUND(AVERAGE(J30:J$36)/100,4)</f>
        <v>1.2E-2</v>
      </c>
      <c r="AF30" s="1113">
        <f t="shared" si="1"/>
        <v>1.2E-2</v>
      </c>
      <c r="AG30" s="1113">
        <f>ROUND(AVERAGE(K30:K$36)/100,4)</f>
        <v>1.4E-2</v>
      </c>
      <c r="AH30" s="1113">
        <f>ROUND(AVERAGE(L30:L$36)/100,4)</f>
        <v>1.0800000000000001E-2</v>
      </c>
    </row>
    <row r="31" spans="1:34">
      <c r="A31" s="1080" t="s">
        <v>1876</v>
      </c>
      <c r="B31" s="1081">
        <f t="shared" si="181"/>
        <v>322.34053690220776</v>
      </c>
      <c r="C31" s="1081">
        <f t="shared" si="181"/>
        <v>271.46160770422546</v>
      </c>
      <c r="D31" s="1081">
        <f t="shared" si="178"/>
        <v>271.46160770422546</v>
      </c>
      <c r="E31" s="1081">
        <f t="shared" si="182"/>
        <v>442.69434542172456</v>
      </c>
      <c r="F31" s="1081">
        <f t="shared" si="182"/>
        <v>241.34030753190925</v>
      </c>
      <c r="G31" s="3818"/>
      <c r="H31" s="1086">
        <v>2</v>
      </c>
      <c r="I31" s="1086">
        <v>0.77</v>
      </c>
      <c r="J31" s="1086">
        <v>0.69</v>
      </c>
      <c r="K31" s="3451">
        <v>0.8</v>
      </c>
      <c r="L31" s="1116">
        <v>0.88</v>
      </c>
      <c r="N31" s="1112">
        <f t="shared" si="180"/>
        <v>7.7000000000000002E-3</v>
      </c>
      <c r="O31" s="1119">
        <f t="shared" si="176"/>
        <v>6.8999999999999999E-3</v>
      </c>
      <c r="P31" s="1119">
        <f t="shared" si="176"/>
        <v>8.0000000000000002E-3</v>
      </c>
      <c r="Q31" s="1119">
        <f t="shared" si="176"/>
        <v>8.8000000000000005E-3</v>
      </c>
      <c r="R31" s="1143"/>
      <c r="S31" s="1112"/>
      <c r="T31" s="1113"/>
      <c r="U31" s="1113"/>
      <c r="V31" s="1113"/>
      <c r="X31" s="1063">
        <f>ROUND(SUMPRODUCT(PRODUCT(1+N31:N$36)),4)</f>
        <v>1.0790999999999999</v>
      </c>
      <c r="Y31" s="1063">
        <f>ROUND(SUMPRODUCT(PRODUCT(1+O31:O$36)),4)</f>
        <v>1.077</v>
      </c>
      <c r="Z31" s="1063">
        <f t="shared" si="88"/>
        <v>1.077</v>
      </c>
      <c r="AA31" s="1063">
        <f>ROUND(SUMPRODUCT(PRODUCT(1+P31:P$36)),4)</f>
        <v>1.0813999999999999</v>
      </c>
      <c r="AB31" s="1063">
        <f>ROUND(SUMPRODUCT(PRODUCT(1+Q31:Q$36)),4)</f>
        <v>1.0647</v>
      </c>
      <c r="AD31" s="1113">
        <f>ROUND(AVERAGE(I31:I$36)/100,4)</f>
        <v>1.2800000000000001E-2</v>
      </c>
      <c r="AE31" s="1113">
        <f>ROUND(AVERAGE(J31:J$36)/100,4)</f>
        <v>1.2500000000000001E-2</v>
      </c>
      <c r="AF31" s="1113">
        <f t="shared" si="1"/>
        <v>1.2500000000000001E-2</v>
      </c>
      <c r="AG31" s="1113">
        <f>ROUND(AVERAGE(K31:K$36)/100,4)</f>
        <v>1.32E-2</v>
      </c>
      <c r="AH31" s="1113">
        <f>ROUND(AVERAGE(L31:L$36)/100,4)</f>
        <v>1.0500000000000001E-2</v>
      </c>
    </row>
    <row r="32" spans="1:34">
      <c r="A32" s="1080" t="s">
        <v>1877</v>
      </c>
      <c r="B32" s="1081">
        <f t="shared" si="181"/>
        <v>319.87748030386797</v>
      </c>
      <c r="C32" s="1081">
        <f t="shared" si="181"/>
        <v>269.60135833173649</v>
      </c>
      <c r="D32" s="1081">
        <f t="shared" si="178"/>
        <v>269.60135833173649</v>
      </c>
      <c r="E32" s="1081">
        <f t="shared" si="182"/>
        <v>439.18089823583784</v>
      </c>
      <c r="F32" s="1081">
        <f t="shared" si="182"/>
        <v>239.23503918706311</v>
      </c>
      <c r="G32" s="3819"/>
      <c r="H32" s="1082">
        <v>1</v>
      </c>
      <c r="I32" s="1082">
        <v>0.51</v>
      </c>
      <c r="J32" s="1082">
        <v>0.54</v>
      </c>
      <c r="K32" s="3449">
        <v>0.48</v>
      </c>
      <c r="L32" s="1114">
        <v>0.93</v>
      </c>
      <c r="N32" s="1120">
        <f t="shared" si="180"/>
        <v>5.1000000000000004E-3</v>
      </c>
      <c r="O32" s="1121">
        <f t="shared" si="176"/>
        <v>5.4000000000000003E-3</v>
      </c>
      <c r="P32" s="1121">
        <f t="shared" si="176"/>
        <v>4.7999999999999996E-3</v>
      </c>
      <c r="Q32" s="1121">
        <f t="shared" si="176"/>
        <v>9.300000000000001E-3</v>
      </c>
      <c r="R32" s="1143"/>
      <c r="S32" s="1120">
        <f>B32/B33-1</f>
        <v>5.9040261127922822E-3</v>
      </c>
      <c r="T32" s="1121">
        <f>C32/C33-1</f>
        <v>5.9752176557332781E-3</v>
      </c>
      <c r="U32" s="1121">
        <f>E32/E33-1</f>
        <v>4.9906138119859556E-3</v>
      </c>
      <c r="V32" s="1121">
        <f>F32/F33-1</f>
        <v>9.4305450930933787E-3</v>
      </c>
      <c r="X32" s="1063">
        <f>ROUND(SUMPRODUCT(PRODUCT(1+N32:N$36)),4)</f>
        <v>1.0708</v>
      </c>
      <c r="Y32" s="1063">
        <f>ROUND(SUMPRODUCT(PRODUCT(1+O32:O$36)),4)</f>
        <v>1.0696000000000001</v>
      </c>
      <c r="Z32" s="1063">
        <f t="shared" si="88"/>
        <v>1.0696000000000001</v>
      </c>
      <c r="AA32" s="1063">
        <f>ROUND(SUMPRODUCT(PRODUCT(1+P32:P$36)),4)</f>
        <v>1.0728</v>
      </c>
      <c r="AB32" s="1063">
        <f>ROUND(SUMPRODUCT(PRODUCT(1+Q32:Q$36)),4)</f>
        <v>1.0553999999999999</v>
      </c>
      <c r="AD32" s="1113">
        <f>ROUND(AVERAGE(I32:I$36)/100,4)</f>
        <v>1.38E-2</v>
      </c>
      <c r="AE32" s="1113">
        <f>ROUND(AVERAGE(J32:J$36)/100,4)</f>
        <v>1.3599999999999999E-2</v>
      </c>
      <c r="AF32" s="1113">
        <f t="shared" si="1"/>
        <v>1.3599999999999999E-2</v>
      </c>
      <c r="AG32" s="1113">
        <f>ROUND(AVERAGE(K32:K$36)/100,4)</f>
        <v>1.4200000000000001E-2</v>
      </c>
      <c r="AH32" s="1113">
        <f>ROUND(AVERAGE(L32:L$36)/100,4)</f>
        <v>1.0800000000000001E-2</v>
      </c>
    </row>
    <row r="33" spans="1:34">
      <c r="A33" s="1080" t="s">
        <v>1878</v>
      </c>
      <c r="B33" s="1093">
        <v>318</v>
      </c>
      <c r="C33" s="1093">
        <v>268</v>
      </c>
      <c r="D33" s="1093">
        <f t="shared" si="178"/>
        <v>268</v>
      </c>
      <c r="E33" s="1093">
        <v>437</v>
      </c>
      <c r="F33" s="1094">
        <v>237</v>
      </c>
      <c r="G33" s="3817">
        <v>2014</v>
      </c>
      <c r="H33" s="1091">
        <v>4</v>
      </c>
      <c r="I33" s="1091">
        <v>0.21</v>
      </c>
      <c r="J33" s="1091">
        <v>0.41</v>
      </c>
      <c r="K33" s="3452">
        <v>0.12</v>
      </c>
      <c r="L33" s="1122">
        <v>0.89</v>
      </c>
      <c r="N33" s="1112">
        <f t="shared" si="180"/>
        <v>2.0999999999999999E-3</v>
      </c>
      <c r="O33" s="1113">
        <f t="shared" si="176"/>
        <v>4.0999999999999995E-3</v>
      </c>
      <c r="P33" s="1113">
        <f t="shared" si="176"/>
        <v>1.1999999999999999E-3</v>
      </c>
      <c r="Q33" s="1113">
        <f t="shared" si="176"/>
        <v>8.8999999999999999E-3</v>
      </c>
      <c r="R33" s="1143"/>
      <c r="S33" s="1144"/>
      <c r="T33" s="1145"/>
      <c r="U33" s="1145"/>
      <c r="V33" s="1145"/>
      <c r="X33" s="1063">
        <f>ROUND(SUMPRODUCT(PRODUCT(1+N33:N$36)),4)</f>
        <v>1.0653999999999999</v>
      </c>
      <c r="Y33" s="1063">
        <f>ROUND(SUMPRODUCT(PRODUCT(1+O33:O$36)),4)</f>
        <v>1.0639000000000001</v>
      </c>
      <c r="Z33" s="1063">
        <f t="shared" si="88"/>
        <v>1.0639000000000001</v>
      </c>
      <c r="AA33" s="1063">
        <f>ROUND(SUMPRODUCT(PRODUCT(1+P33:P$36)),4)</f>
        <v>1.0677000000000001</v>
      </c>
      <c r="AB33" s="1063">
        <f>ROUND(SUMPRODUCT(PRODUCT(1+Q33:Q$36)),4)</f>
        <v>1.0456000000000001</v>
      </c>
      <c r="AD33" s="1113">
        <f>ROUND(AVERAGE(I33:I$36)/100,4)</f>
        <v>1.6E-2</v>
      </c>
      <c r="AE33" s="1113">
        <f>ROUND(AVERAGE(J33:J$36)/100,4)</f>
        <v>1.5599999999999999E-2</v>
      </c>
      <c r="AF33" s="1113">
        <f t="shared" si="1"/>
        <v>1.5599999999999999E-2</v>
      </c>
      <c r="AG33" s="1113">
        <f>ROUND(AVERAGE(K33:K$36)/100,4)</f>
        <v>1.66E-2</v>
      </c>
      <c r="AH33" s="1113">
        <f>ROUND(AVERAGE(L33:L$36)/100,4)</f>
        <v>1.12E-2</v>
      </c>
    </row>
    <row r="34" spans="1:34">
      <c r="A34" s="1080" t="s">
        <v>1879</v>
      </c>
      <c r="B34" s="1081">
        <f t="shared" ref="B34:C36" si="183">B33/(1+N33)</f>
        <v>317.33359944117353</v>
      </c>
      <c r="C34" s="1081">
        <f t="shared" si="183"/>
        <v>266.90568668459315</v>
      </c>
      <c r="D34" s="1081">
        <f t="shared" si="178"/>
        <v>266.90568668459315</v>
      </c>
      <c r="E34" s="1081">
        <f t="shared" ref="E34:F36" si="184">E33/(1+P33)</f>
        <v>436.47622852576905</v>
      </c>
      <c r="F34" s="1081">
        <f t="shared" si="184"/>
        <v>234.90930716622066</v>
      </c>
      <c r="G34" s="3818"/>
      <c r="H34" s="1095">
        <v>3</v>
      </c>
      <c r="I34" s="1095">
        <v>0.83</v>
      </c>
      <c r="J34" s="1095">
        <v>1.47</v>
      </c>
      <c r="K34" s="3453">
        <v>0.65</v>
      </c>
      <c r="L34" s="1124">
        <v>0.72</v>
      </c>
      <c r="N34" s="1112">
        <f t="shared" si="180"/>
        <v>8.3000000000000001E-3</v>
      </c>
      <c r="O34" s="1113">
        <f t="shared" si="176"/>
        <v>1.47E-2</v>
      </c>
      <c r="P34" s="1113">
        <f t="shared" si="176"/>
        <v>6.5000000000000006E-3</v>
      </c>
      <c r="Q34" s="1113">
        <f t="shared" si="176"/>
        <v>7.1999999999999998E-3</v>
      </c>
      <c r="R34" s="1143"/>
      <c r="S34" s="1112"/>
      <c r="T34" s="1113"/>
      <c r="U34" s="1113"/>
      <c r="V34" s="1113"/>
      <c r="X34" s="1063">
        <f>ROUND(SUMPRODUCT(PRODUCT(1+N34:N$36)),4)</f>
        <v>1.0631999999999999</v>
      </c>
      <c r="Y34" s="1063">
        <f>ROUND(SUMPRODUCT(PRODUCT(1+O34:O$36)),4)</f>
        <v>1.0595000000000001</v>
      </c>
      <c r="Z34" s="1063">
        <f t="shared" si="88"/>
        <v>1.0595000000000001</v>
      </c>
      <c r="AA34" s="1063">
        <f>ROUND(SUMPRODUCT(PRODUCT(1+P34:P$36)),4)</f>
        <v>1.0664</v>
      </c>
      <c r="AB34" s="1063">
        <f>ROUND(SUMPRODUCT(PRODUCT(1+Q34:Q$36)),4)</f>
        <v>1.0364</v>
      </c>
      <c r="AD34" s="1113">
        <f>ROUND(AVERAGE(I34:I$36)/100,4)</f>
        <v>2.07E-2</v>
      </c>
      <c r="AE34" s="1113">
        <f>ROUND(AVERAGE(J34:J$36)/100,4)</f>
        <v>1.95E-2</v>
      </c>
      <c r="AF34" s="1113">
        <f t="shared" si="1"/>
        <v>1.95E-2</v>
      </c>
      <c r="AG34" s="1113">
        <f>ROUND(AVERAGE(K34:K$36)/100,4)</f>
        <v>2.1700000000000001E-2</v>
      </c>
      <c r="AH34" s="1113">
        <f>ROUND(AVERAGE(L34:L$36)/100,4)</f>
        <v>1.2E-2</v>
      </c>
    </row>
    <row r="35" spans="1:34">
      <c r="A35" s="1080" t="s">
        <v>1880</v>
      </c>
      <c r="B35" s="1081">
        <f t="shared" si="183"/>
        <v>314.72141172386546</v>
      </c>
      <c r="C35" s="1081">
        <f t="shared" si="183"/>
        <v>263.03901319069001</v>
      </c>
      <c r="D35" s="1081">
        <f t="shared" si="178"/>
        <v>263.03901319069001</v>
      </c>
      <c r="E35" s="1081">
        <f t="shared" si="184"/>
        <v>433.65745506782821</v>
      </c>
      <c r="F35" s="1081">
        <f t="shared" si="184"/>
        <v>233.23005080045735</v>
      </c>
      <c r="G35" s="3818"/>
      <c r="H35" s="1091">
        <v>2</v>
      </c>
      <c r="I35" s="1091">
        <v>2.4</v>
      </c>
      <c r="J35" s="1091">
        <v>2.0299999999999998</v>
      </c>
      <c r="K35" s="3452">
        <v>2.59</v>
      </c>
      <c r="L35" s="1122">
        <v>1.52</v>
      </c>
      <c r="N35" s="1112">
        <f t="shared" si="180"/>
        <v>2.4E-2</v>
      </c>
      <c r="O35" s="1113">
        <f t="shared" si="176"/>
        <v>2.0299999999999999E-2</v>
      </c>
      <c r="P35" s="1113">
        <f t="shared" si="176"/>
        <v>2.5899999999999999E-2</v>
      </c>
      <c r="Q35" s="1113">
        <f t="shared" si="176"/>
        <v>1.52E-2</v>
      </c>
      <c r="R35" s="1143"/>
      <c r="S35" s="1112"/>
      <c r="T35" s="1113"/>
      <c r="U35" s="1113"/>
      <c r="V35" s="1113"/>
      <c r="X35" s="1063">
        <f>ROUND(SUMPRODUCT(PRODUCT(1+N35:N$36)),4)</f>
        <v>1.0544</v>
      </c>
      <c r="Y35" s="1063">
        <f>ROUND(SUMPRODUCT(PRODUCT(1+O35:O$36)),4)</f>
        <v>1.0442</v>
      </c>
      <c r="Z35" s="1063">
        <f t="shared" si="88"/>
        <v>1.0442</v>
      </c>
      <c r="AA35" s="1063">
        <f>ROUND(SUMPRODUCT(PRODUCT(1+P35:P$36)),4)</f>
        <v>1.0595000000000001</v>
      </c>
      <c r="AB35" s="1063">
        <f>ROUND(SUMPRODUCT(PRODUCT(1+Q35:Q$36)),4)</f>
        <v>1.0289999999999999</v>
      </c>
      <c r="AD35" s="1113">
        <f>ROUND(AVERAGE(I35:I$36)/100,4)</f>
        <v>2.69E-2</v>
      </c>
      <c r="AE35" s="1113">
        <f>ROUND(AVERAGE(J35:J$36)/100,4)</f>
        <v>2.1899999999999999E-2</v>
      </c>
      <c r="AF35" s="1113">
        <f t="shared" ref="AF35:AF36" si="185">AE35</f>
        <v>2.1899999999999999E-2</v>
      </c>
      <c r="AG35" s="1113">
        <f>ROUND(AVERAGE(K35:K$36)/100,4)</f>
        <v>2.9399999999999999E-2</v>
      </c>
      <c r="AH35" s="1113">
        <f>ROUND(AVERAGE(L35:L$36)/100,4)</f>
        <v>1.44E-2</v>
      </c>
    </row>
    <row r="36" spans="1:34" s="1060" customFormat="1">
      <c r="A36" s="1096" t="s">
        <v>1881</v>
      </c>
      <c r="B36" s="1097">
        <f t="shared" si="183"/>
        <v>307.34512863658733</v>
      </c>
      <c r="C36" s="1097">
        <f t="shared" si="183"/>
        <v>257.80556031626975</v>
      </c>
      <c r="D36" s="1097">
        <f t="shared" si="178"/>
        <v>257.80556031626975</v>
      </c>
      <c r="E36" s="1097">
        <f t="shared" si="184"/>
        <v>422.70928459677179</v>
      </c>
      <c r="F36" s="1097">
        <f t="shared" si="184"/>
        <v>229.73803270336617</v>
      </c>
      <c r="G36" s="3819"/>
      <c r="H36" s="1098">
        <v>1</v>
      </c>
      <c r="I36" s="1098">
        <v>2.97</v>
      </c>
      <c r="J36" s="1098">
        <v>2.34</v>
      </c>
      <c r="K36" s="3454">
        <v>3.28</v>
      </c>
      <c r="L36" s="1125">
        <v>1.36</v>
      </c>
      <c r="N36" s="1126">
        <f t="shared" si="180"/>
        <v>2.9700000000000001E-2</v>
      </c>
      <c r="O36" s="1127">
        <f t="shared" si="176"/>
        <v>2.3399999999999997E-2</v>
      </c>
      <c r="P36" s="1127">
        <f t="shared" si="176"/>
        <v>3.2799999999999996E-2</v>
      </c>
      <c r="Q36" s="1127">
        <f t="shared" si="176"/>
        <v>1.3600000000000001E-2</v>
      </c>
      <c r="R36" s="1146"/>
      <c r="S36" s="1147">
        <f>B36/B37-1</f>
        <v>2.7910129219355539E-2</v>
      </c>
      <c r="T36" s="1148">
        <f>C36/C37-1</f>
        <v>2.3037937762975247E-2</v>
      </c>
      <c r="U36" s="1148">
        <f>E36/E37-1</f>
        <v>3.3519033243940788E-2</v>
      </c>
      <c r="V36" s="1148">
        <f>F36/F37-1</f>
        <v>1.2061818076502862E-2</v>
      </c>
      <c r="W36" s="1149" t="s">
        <v>1882</v>
      </c>
      <c r="X36" s="1150">
        <v>1</v>
      </c>
      <c r="Y36" s="1150">
        <v>1</v>
      </c>
      <c r="Z36" s="1150">
        <v>1</v>
      </c>
      <c r="AA36" s="1150">
        <v>1</v>
      </c>
      <c r="AB36" s="1150">
        <v>1</v>
      </c>
      <c r="AD36" s="1127">
        <f>I36/100</f>
        <v>2.9700000000000001E-2</v>
      </c>
      <c r="AE36" s="1127">
        <f>J36/100</f>
        <v>2.3399999999999997E-2</v>
      </c>
      <c r="AF36" s="1127">
        <f t="shared" si="185"/>
        <v>2.3399999999999997E-2</v>
      </c>
      <c r="AG36" s="1127">
        <f>K36/100</f>
        <v>3.2799999999999996E-2</v>
      </c>
      <c r="AH36" s="1127">
        <f>L36/100</f>
        <v>1.3600000000000001E-2</v>
      </c>
    </row>
    <row r="37" spans="1:34">
      <c r="A37" s="1080" t="s">
        <v>1883</v>
      </c>
      <c r="B37" s="1089">
        <v>299</v>
      </c>
      <c r="C37" s="1089">
        <v>252</v>
      </c>
      <c r="D37" s="1089">
        <f t="shared" si="178"/>
        <v>252</v>
      </c>
      <c r="E37" s="1089">
        <v>409</v>
      </c>
      <c r="F37" s="1090">
        <v>227</v>
      </c>
      <c r="G37" s="3820">
        <v>2013</v>
      </c>
      <c r="H37" s="1099">
        <v>4</v>
      </c>
      <c r="I37" s="1099">
        <v>1.83</v>
      </c>
      <c r="J37" s="1099">
        <v>1.68</v>
      </c>
      <c r="K37" s="3452">
        <v>1.97</v>
      </c>
      <c r="L37" s="1128">
        <v>0.87</v>
      </c>
      <c r="N37" s="1117">
        <f t="shared" si="180"/>
        <v>1.83E-2</v>
      </c>
      <c r="O37" s="1118">
        <f t="shared" si="176"/>
        <v>1.6799999999999999E-2</v>
      </c>
      <c r="P37" s="1118">
        <f t="shared" si="176"/>
        <v>1.9699999999999999E-2</v>
      </c>
      <c r="Q37" s="1118">
        <f t="shared" si="176"/>
        <v>8.6999999999999994E-3</v>
      </c>
      <c r="R37" s="1143"/>
      <c r="S37" s="1144"/>
      <c r="T37" s="1145"/>
      <c r="U37" s="1145"/>
      <c r="V37" s="1145"/>
      <c r="X37" s="1145"/>
      <c r="Y37" s="1145"/>
      <c r="Z37" s="1145"/>
    </row>
    <row r="38" spans="1:34">
      <c r="A38" s="1080" t="s">
        <v>1884</v>
      </c>
      <c r="B38" s="1081">
        <f t="shared" ref="B38:C40" si="186">B37/(1+N37)</f>
        <v>293.62663262299913</v>
      </c>
      <c r="C38" s="1081">
        <f t="shared" si="186"/>
        <v>247.83634933123525</v>
      </c>
      <c r="D38" s="1081">
        <f t="shared" si="178"/>
        <v>247.83634933123525</v>
      </c>
      <c r="E38" s="1081">
        <f t="shared" ref="E38:F40" si="187">E37/(1+P37)</f>
        <v>401.09836226341076</v>
      </c>
      <c r="F38" s="1081">
        <f t="shared" si="187"/>
        <v>225.04213343908003</v>
      </c>
      <c r="G38" s="3821"/>
      <c r="H38" s="1092">
        <v>3</v>
      </c>
      <c r="I38" s="1092">
        <v>1.86</v>
      </c>
      <c r="J38" s="1092">
        <v>1.72</v>
      </c>
      <c r="K38" s="3453">
        <v>1.98</v>
      </c>
      <c r="L38" s="1123">
        <v>0.88</v>
      </c>
      <c r="N38" s="1112">
        <f t="shared" si="180"/>
        <v>1.8600000000000002E-2</v>
      </c>
      <c r="O38" s="1119">
        <f t="shared" si="176"/>
        <v>1.72E-2</v>
      </c>
      <c r="P38" s="1119">
        <f t="shared" si="176"/>
        <v>1.9799999999999998E-2</v>
      </c>
      <c r="Q38" s="1119">
        <f t="shared" si="176"/>
        <v>8.8000000000000005E-3</v>
      </c>
      <c r="R38" s="1143"/>
      <c r="S38" s="1112"/>
      <c r="T38" s="1113"/>
      <c r="U38" s="1113"/>
      <c r="V38" s="1113"/>
    </row>
    <row r="39" spans="1:34">
      <c r="A39" s="1080" t="s">
        <v>1885</v>
      </c>
      <c r="B39" s="1081">
        <f t="shared" si="186"/>
        <v>288.2649053828776</v>
      </c>
      <c r="C39" s="1081">
        <f t="shared" si="186"/>
        <v>243.64564425013293</v>
      </c>
      <c r="D39" s="1081">
        <f t="shared" si="178"/>
        <v>243.64564425013293</v>
      </c>
      <c r="E39" s="1081">
        <f t="shared" si="187"/>
        <v>393.31080825986544</v>
      </c>
      <c r="F39" s="1081">
        <f t="shared" si="187"/>
        <v>223.07903790551154</v>
      </c>
      <c r="G39" s="3821"/>
      <c r="H39" s="1086">
        <v>2</v>
      </c>
      <c r="I39" s="1086">
        <v>2.04</v>
      </c>
      <c r="J39" s="1086">
        <v>2.33</v>
      </c>
      <c r="K39" s="3451">
        <v>2.0699999999999998</v>
      </c>
      <c r="L39" s="1116">
        <v>0.69</v>
      </c>
      <c r="N39" s="1112">
        <f t="shared" si="180"/>
        <v>2.0400000000000001E-2</v>
      </c>
      <c r="O39" s="1119">
        <f t="shared" si="176"/>
        <v>2.3300000000000001E-2</v>
      </c>
      <c r="P39" s="1119">
        <f t="shared" si="176"/>
        <v>2.07E-2</v>
      </c>
      <c r="Q39" s="1119">
        <f t="shared" si="176"/>
        <v>6.8999999999999999E-3</v>
      </c>
      <c r="R39" s="1143"/>
      <c r="S39" s="1112"/>
      <c r="T39" s="1113"/>
      <c r="U39" s="1113"/>
      <c r="V39" s="1113"/>
      <c r="X39" s="1151"/>
      <c r="Y39" s="1157"/>
    </row>
    <row r="40" spans="1:34">
      <c r="A40" s="1080" t="s">
        <v>1886</v>
      </c>
      <c r="B40" s="1081">
        <f t="shared" si="186"/>
        <v>282.50186729015837</v>
      </c>
      <c r="C40" s="1081">
        <f t="shared" si="186"/>
        <v>238.09796174155468</v>
      </c>
      <c r="D40" s="1081">
        <f t="shared" si="178"/>
        <v>238.09796174155468</v>
      </c>
      <c r="E40" s="1081">
        <f t="shared" si="187"/>
        <v>385.33438646014054</v>
      </c>
      <c r="F40" s="1081">
        <f t="shared" si="187"/>
        <v>221.55034055567739</v>
      </c>
      <c r="G40" s="3822"/>
      <c r="H40" s="1082">
        <v>1</v>
      </c>
      <c r="I40" s="1082">
        <v>1.67</v>
      </c>
      <c r="J40" s="1082">
        <v>1.31</v>
      </c>
      <c r="K40" s="3449">
        <v>1.85</v>
      </c>
      <c r="L40" s="1114">
        <v>0.96</v>
      </c>
      <c r="N40" s="1120">
        <f t="shared" si="180"/>
        <v>1.67E-2</v>
      </c>
      <c r="O40" s="1121">
        <f t="shared" si="176"/>
        <v>1.3100000000000001E-2</v>
      </c>
      <c r="P40" s="1121">
        <f t="shared" si="176"/>
        <v>1.8500000000000003E-2</v>
      </c>
      <c r="Q40" s="1121">
        <f t="shared" si="176"/>
        <v>9.5999999999999992E-3</v>
      </c>
      <c r="R40" s="1143"/>
      <c r="S40" s="1120">
        <f>B40/B41-1</f>
        <v>1.6193767230785472E-2</v>
      </c>
      <c r="T40" s="1121">
        <f>C40/C41-1</f>
        <v>1.7512657015190891E-2</v>
      </c>
      <c r="U40" s="1121">
        <f>E40/E41-1</f>
        <v>1.6713420739157048E-2</v>
      </c>
      <c r="V40" s="1121">
        <f>F40/F41-1</f>
        <v>7.0470025258062563E-3</v>
      </c>
      <c r="X40" s="1152"/>
      <c r="Y40" s="1113"/>
      <c r="Z40" s="1113"/>
    </row>
    <row r="41" spans="1:34">
      <c r="A41" s="1080" t="s">
        <v>1887</v>
      </c>
      <c r="B41" s="1100">
        <v>278</v>
      </c>
      <c r="C41" s="1100">
        <v>234</v>
      </c>
      <c r="D41" s="1100">
        <f t="shared" si="178"/>
        <v>234</v>
      </c>
      <c r="E41" s="1100">
        <v>379</v>
      </c>
      <c r="F41" s="1101">
        <v>220</v>
      </c>
      <c r="G41" s="3817">
        <v>2012</v>
      </c>
      <c r="H41" s="1091">
        <v>4</v>
      </c>
      <c r="I41" s="1091">
        <v>0.91</v>
      </c>
      <c r="J41" s="1091">
        <v>0.68</v>
      </c>
      <c r="K41" s="3452">
        <v>0.98</v>
      </c>
      <c r="L41" s="1122">
        <v>0.9</v>
      </c>
      <c r="N41" s="1112">
        <f t="shared" si="180"/>
        <v>9.1000000000000004E-3</v>
      </c>
      <c r="O41" s="1113">
        <f t="shared" si="180"/>
        <v>6.8000000000000005E-3</v>
      </c>
      <c r="P41" s="1113">
        <f t="shared" si="180"/>
        <v>9.7999999999999997E-3</v>
      </c>
      <c r="Q41" s="1113">
        <f t="shared" si="180"/>
        <v>9.0000000000000011E-3</v>
      </c>
      <c r="R41" s="1143"/>
      <c r="S41" s="1144"/>
      <c r="T41" s="1145"/>
      <c r="U41" s="1145"/>
      <c r="V41" s="1145"/>
      <c r="X41" s="1145"/>
      <c r="Y41" s="1145"/>
      <c r="Z41" s="1145"/>
    </row>
    <row r="42" spans="1:34">
      <c r="A42" s="1080" t="s">
        <v>1888</v>
      </c>
      <c r="B42" s="1081">
        <f>B41/(1+N41)</f>
        <v>275.49301357645425</v>
      </c>
      <c r="C42" s="1081">
        <f>C41/(1+O41)</f>
        <v>232.41954707985698</v>
      </c>
      <c r="D42" s="1081">
        <f t="shared" si="178"/>
        <v>232.41954707985698</v>
      </c>
      <c r="E42" s="1081">
        <f t="shared" ref="E42:F44" si="188">E41/(1+P41)</f>
        <v>375.32184591008121</v>
      </c>
      <c r="F42" s="1081">
        <f t="shared" si="188"/>
        <v>218.03766105054513</v>
      </c>
      <c r="G42" s="3818"/>
      <c r="H42" s="1092">
        <v>3</v>
      </c>
      <c r="I42" s="1092">
        <v>0.09</v>
      </c>
      <c r="J42" s="1092">
        <v>0.28999999999999998</v>
      </c>
      <c r="K42" s="3453">
        <v>-0.01</v>
      </c>
      <c r="L42" s="1123">
        <v>0.57999999999999996</v>
      </c>
      <c r="N42" s="1112">
        <f t="shared" si="180"/>
        <v>8.9999999999999998E-4</v>
      </c>
      <c r="O42" s="1113">
        <f t="shared" si="180"/>
        <v>2.8999999999999998E-3</v>
      </c>
      <c r="P42" s="1113">
        <f t="shared" si="180"/>
        <v>-1E-4</v>
      </c>
      <c r="Q42" s="1113">
        <f t="shared" si="180"/>
        <v>5.7999999999999996E-3</v>
      </c>
      <c r="R42" s="1143"/>
      <c r="S42" s="1112"/>
      <c r="T42" s="1113"/>
      <c r="U42" s="1113"/>
      <c r="V42" s="1113"/>
    </row>
    <row r="43" spans="1:34">
      <c r="A43" s="1080" t="s">
        <v>1889</v>
      </c>
      <c r="B43" s="1081">
        <f>B42/(1+N42)</f>
        <v>275.24529281292263</v>
      </c>
      <c r="C43" s="1081">
        <f>C42/(1+O42)</f>
        <v>231.74747938962707</v>
      </c>
      <c r="D43" s="1081">
        <f t="shared" si="178"/>
        <v>231.74747938962707</v>
      </c>
      <c r="E43" s="1081">
        <f t="shared" si="188"/>
        <v>375.35938184826603</v>
      </c>
      <c r="F43" s="1081">
        <f t="shared" si="188"/>
        <v>216.78033510692495</v>
      </c>
      <c r="G43" s="3818"/>
      <c r="H43" s="1086">
        <v>2</v>
      </c>
      <c r="I43" s="1086">
        <v>0.02</v>
      </c>
      <c r="J43" s="1086">
        <v>0.12</v>
      </c>
      <c r="K43" s="3451">
        <v>-0.08</v>
      </c>
      <c r="L43" s="1116">
        <v>1.24</v>
      </c>
      <c r="N43" s="1112">
        <f t="shared" si="180"/>
        <v>2.0000000000000001E-4</v>
      </c>
      <c r="O43" s="1113">
        <f t="shared" si="180"/>
        <v>1.1999999999999999E-3</v>
      </c>
      <c r="P43" s="1113">
        <f t="shared" si="180"/>
        <v>-8.0000000000000004E-4</v>
      </c>
      <c r="Q43" s="1113">
        <f t="shared" si="180"/>
        <v>1.24E-2</v>
      </c>
      <c r="R43" s="1143"/>
      <c r="S43" s="1112"/>
      <c r="T43" s="1113"/>
      <c r="U43" s="1113"/>
      <c r="V43" s="1113"/>
    </row>
    <row r="44" spans="1:34">
      <c r="A44" s="1080" t="s">
        <v>1890</v>
      </c>
      <c r="B44" s="1081">
        <f>B43/(1+N43)</f>
        <v>275.19025476197027</v>
      </c>
      <c r="C44" s="1102">
        <v>232</v>
      </c>
      <c r="D44" s="1102">
        <f t="shared" si="178"/>
        <v>232</v>
      </c>
      <c r="E44" s="1081">
        <f t="shared" si="188"/>
        <v>375.65990977608692</v>
      </c>
      <c r="F44" s="1081">
        <f t="shared" si="188"/>
        <v>214.12518283971252</v>
      </c>
      <c r="G44" s="3819"/>
      <c r="H44" s="1082">
        <v>1</v>
      </c>
      <c r="I44" s="1082">
        <v>0.02</v>
      </c>
      <c r="J44" s="1082">
        <v>0.13</v>
      </c>
      <c r="K44" s="3449">
        <v>-0.04</v>
      </c>
      <c r="L44" s="1114">
        <v>0.46</v>
      </c>
      <c r="N44" s="1112">
        <f t="shared" si="180"/>
        <v>2.0000000000000001E-4</v>
      </c>
      <c r="O44" s="1113">
        <f t="shared" si="180"/>
        <v>1.2999999999999999E-3</v>
      </c>
      <c r="P44" s="1113">
        <f t="shared" si="180"/>
        <v>-4.0000000000000002E-4</v>
      </c>
      <c r="Q44" s="1113">
        <f t="shared" si="180"/>
        <v>4.5999999999999999E-3</v>
      </c>
      <c r="R44" s="1143"/>
      <c r="S44" s="1120">
        <f>B44/B45-1</f>
        <v>6.9183549807361189E-4</v>
      </c>
      <c r="T44" s="1121">
        <f>C44/C45-1</f>
        <v>0</v>
      </c>
      <c r="U44" s="1121">
        <f>E44/E45-1</f>
        <v>-9.0449527636460303E-4</v>
      </c>
      <c r="V44" s="1121">
        <f>F44/F45-1</f>
        <v>5.2825485432512753E-3</v>
      </c>
      <c r="X44" s="1113"/>
      <c r="Y44" s="1113"/>
      <c r="Z44" s="1113"/>
    </row>
    <row r="45" spans="1:34">
      <c r="A45" s="1080" t="s">
        <v>1891</v>
      </c>
      <c r="B45" s="1089">
        <v>275</v>
      </c>
      <c r="C45" s="1089">
        <v>232</v>
      </c>
      <c r="D45" s="1089">
        <f t="shared" si="178"/>
        <v>232</v>
      </c>
      <c r="E45" s="1089">
        <v>376</v>
      </c>
      <c r="F45" s="1090">
        <v>213</v>
      </c>
      <c r="G45" s="3817">
        <v>2011</v>
      </c>
      <c r="H45" s="1091">
        <v>4</v>
      </c>
      <c r="I45" s="1091">
        <v>-0.2</v>
      </c>
      <c r="J45" s="1091">
        <v>0.04</v>
      </c>
      <c r="K45" s="3452">
        <v>-0.34</v>
      </c>
      <c r="L45" s="1122">
        <v>0.46</v>
      </c>
      <c r="N45" s="1117">
        <f t="shared" si="180"/>
        <v>-2E-3</v>
      </c>
      <c r="O45" s="1118">
        <f t="shared" si="180"/>
        <v>4.0000000000000002E-4</v>
      </c>
      <c r="P45" s="1118">
        <f t="shared" si="180"/>
        <v>-3.4000000000000002E-3</v>
      </c>
      <c r="Q45" s="1118">
        <f t="shared" si="180"/>
        <v>4.5999999999999999E-3</v>
      </c>
      <c r="R45" s="1143"/>
      <c r="S45" s="1144"/>
      <c r="T45" s="1145"/>
      <c r="U45" s="1145"/>
      <c r="V45" s="1145"/>
      <c r="X45" s="1145"/>
      <c r="Y45" s="1145"/>
      <c r="Z45" s="1145"/>
    </row>
    <row r="46" spans="1:34">
      <c r="A46" s="1080" t="s">
        <v>1892</v>
      </c>
      <c r="B46" s="1081">
        <f t="shared" ref="B46:C48" si="189">B45/(1+N45)</f>
        <v>275.55110220440883</v>
      </c>
      <c r="C46" s="1081">
        <f t="shared" si="189"/>
        <v>231.90723710515795</v>
      </c>
      <c r="D46" s="1081">
        <f t="shared" si="178"/>
        <v>231.90723710515795</v>
      </c>
      <c r="E46" s="1081">
        <f t="shared" ref="E46:F48" si="190">E45/(1+P45)</f>
        <v>377.28276138872161</v>
      </c>
      <c r="F46" s="1081">
        <f t="shared" si="190"/>
        <v>212.02468644236512</v>
      </c>
      <c r="G46" s="3818">
        <v>2011</v>
      </c>
      <c r="H46" s="1092">
        <v>3</v>
      </c>
      <c r="I46" s="1092">
        <v>0.13</v>
      </c>
      <c r="J46" s="1092">
        <v>0.75</v>
      </c>
      <c r="K46" s="3453">
        <v>-0.08</v>
      </c>
      <c r="L46" s="1123">
        <v>0.53</v>
      </c>
      <c r="N46" s="1112">
        <f t="shared" si="180"/>
        <v>1.2999999999999999E-3</v>
      </c>
      <c r="O46" s="1119">
        <f t="shared" si="180"/>
        <v>7.4999999999999997E-3</v>
      </c>
      <c r="P46" s="1119">
        <f t="shared" si="180"/>
        <v>-8.0000000000000004E-4</v>
      </c>
      <c r="Q46" s="1119">
        <f t="shared" si="180"/>
        <v>5.3E-3</v>
      </c>
      <c r="R46" s="1143"/>
      <c r="S46" s="1112"/>
      <c r="T46" s="1113"/>
      <c r="U46" s="1113"/>
      <c r="V46" s="1113"/>
    </row>
    <row r="47" spans="1:34">
      <c r="A47" s="1080" t="s">
        <v>1893</v>
      </c>
      <c r="B47" s="1081">
        <f t="shared" si="189"/>
        <v>275.19335084830601</v>
      </c>
      <c r="C47" s="1081">
        <f t="shared" si="189"/>
        <v>230.18088050139744</v>
      </c>
      <c r="D47" s="1081">
        <f t="shared" si="178"/>
        <v>230.18088050139744</v>
      </c>
      <c r="E47" s="1081">
        <f t="shared" si="190"/>
        <v>377.58482925212331</v>
      </c>
      <c r="F47" s="1081">
        <f t="shared" si="190"/>
        <v>210.90687997847917</v>
      </c>
      <c r="G47" s="3818">
        <v>2011</v>
      </c>
      <c r="H47" s="1086">
        <v>2</v>
      </c>
      <c r="I47" s="1086">
        <v>-0.4</v>
      </c>
      <c r="J47" s="1086">
        <v>0.17</v>
      </c>
      <c r="K47" s="3451">
        <v>-0.57999999999999996</v>
      </c>
      <c r="L47" s="1116">
        <v>-0.2</v>
      </c>
      <c r="N47" s="1112">
        <f t="shared" si="180"/>
        <v>-4.0000000000000001E-3</v>
      </c>
      <c r="O47" s="1119">
        <f t="shared" si="180"/>
        <v>1.7000000000000001E-3</v>
      </c>
      <c r="P47" s="1119">
        <f t="shared" si="180"/>
        <v>-5.7999999999999996E-3</v>
      </c>
      <c r="Q47" s="1119">
        <f t="shared" si="180"/>
        <v>-2E-3</v>
      </c>
      <c r="R47" s="1143"/>
      <c r="S47" s="1112"/>
      <c r="T47" s="1113"/>
      <c r="U47" s="1113"/>
      <c r="V47" s="1113"/>
    </row>
    <row r="48" spans="1:34">
      <c r="A48" s="1080" t="s">
        <v>1894</v>
      </c>
      <c r="B48" s="1081">
        <f t="shared" si="189"/>
        <v>276.29854502841971</v>
      </c>
      <c r="C48" s="1081">
        <f t="shared" si="189"/>
        <v>229.79023709833027</v>
      </c>
      <c r="D48" s="1081">
        <f t="shared" si="178"/>
        <v>229.79023709833027</v>
      </c>
      <c r="E48" s="1081">
        <f t="shared" si="190"/>
        <v>379.78759731655936</v>
      </c>
      <c r="F48" s="1081">
        <f t="shared" si="190"/>
        <v>211.32953905659235</v>
      </c>
      <c r="G48" s="3819">
        <v>2011</v>
      </c>
      <c r="H48" s="1082">
        <v>1</v>
      </c>
      <c r="I48" s="1082">
        <v>2.65</v>
      </c>
      <c r="J48" s="1082">
        <v>3.76</v>
      </c>
      <c r="K48" s="3449">
        <v>1.89</v>
      </c>
      <c r="L48" s="1114">
        <v>7.95</v>
      </c>
      <c r="N48" s="1120">
        <f t="shared" si="180"/>
        <v>2.6499999999999999E-2</v>
      </c>
      <c r="O48" s="1121">
        <f t="shared" si="180"/>
        <v>3.7599999999999995E-2</v>
      </c>
      <c r="P48" s="1121">
        <f t="shared" si="180"/>
        <v>1.89E-2</v>
      </c>
      <c r="Q48" s="1121">
        <f t="shared" si="180"/>
        <v>7.9500000000000001E-2</v>
      </c>
      <c r="R48" s="1143"/>
      <c r="S48" s="1120">
        <f>B48/B49-1</f>
        <v>2.713213765211786E-2</v>
      </c>
      <c r="T48" s="1121">
        <f>C48/C49-1</f>
        <v>3.9774828499231862E-2</v>
      </c>
      <c r="U48" s="1121">
        <f>E48/E49-1</f>
        <v>1.8197311840641772E-2</v>
      </c>
      <c r="V48" s="1121">
        <f>F48/F49-1</f>
        <v>7.8211933962205826E-2</v>
      </c>
      <c r="X48" s="1113"/>
      <c r="Y48" s="1113"/>
      <c r="Z48" s="1113"/>
    </row>
    <row r="49" spans="1:26">
      <c r="A49" s="1080" t="s">
        <v>1895</v>
      </c>
      <c r="B49" s="1089">
        <v>269</v>
      </c>
      <c r="C49" s="1089">
        <v>221</v>
      </c>
      <c r="D49" s="1089">
        <f t="shared" si="178"/>
        <v>221</v>
      </c>
      <c r="E49" s="1089">
        <v>373</v>
      </c>
      <c r="F49" s="1090">
        <v>196</v>
      </c>
      <c r="G49" s="3817">
        <v>2010</v>
      </c>
      <c r="H49" s="1091">
        <v>4</v>
      </c>
      <c r="I49" s="1091">
        <v>5.72</v>
      </c>
      <c r="J49" s="1091">
        <v>6.57</v>
      </c>
      <c r="K49" s="3452">
        <v>5.72</v>
      </c>
      <c r="L49" s="1122">
        <v>2.72</v>
      </c>
      <c r="N49" s="1112">
        <f t="shared" si="180"/>
        <v>5.7200000000000001E-2</v>
      </c>
      <c r="O49" s="1113">
        <f t="shared" si="180"/>
        <v>6.5700000000000008E-2</v>
      </c>
      <c r="P49" s="1113">
        <f t="shared" si="180"/>
        <v>5.7200000000000001E-2</v>
      </c>
      <c r="Q49" s="1113">
        <f t="shared" si="180"/>
        <v>2.7200000000000002E-2</v>
      </c>
      <c r="R49" s="1143"/>
      <c r="S49" s="1144"/>
      <c r="T49" s="1145"/>
      <c r="U49" s="1145"/>
      <c r="V49" s="1145"/>
      <c r="X49" s="1145"/>
      <c r="Y49" s="1145"/>
      <c r="Z49" s="1145"/>
    </row>
    <row r="50" spans="1:26">
      <c r="A50" s="1080" t="s">
        <v>1896</v>
      </c>
      <c r="B50" s="1081">
        <f t="shared" ref="B50:C52" si="191">B49/(1+N49)</f>
        <v>254.44570563753314</v>
      </c>
      <c r="C50" s="1081">
        <f t="shared" si="191"/>
        <v>207.37543398705074</v>
      </c>
      <c r="D50" s="1081">
        <f t="shared" si="178"/>
        <v>207.37543398705074</v>
      </c>
      <c r="E50" s="1081">
        <f t="shared" ref="E50:F52" si="192">E49/(1+P49)</f>
        <v>352.81876655315932</v>
      </c>
      <c r="F50" s="1081">
        <f t="shared" si="192"/>
        <v>190.809968847352</v>
      </c>
      <c r="G50" s="3818">
        <v>2010</v>
      </c>
      <c r="H50" s="1092">
        <v>3</v>
      </c>
      <c r="I50" s="1092">
        <v>4.7300000000000004</v>
      </c>
      <c r="J50" s="1092">
        <v>3.9</v>
      </c>
      <c r="K50" s="3453">
        <v>5.03</v>
      </c>
      <c r="L50" s="1123">
        <v>4.21</v>
      </c>
      <c r="N50" s="1112">
        <f t="shared" si="180"/>
        <v>4.7300000000000002E-2</v>
      </c>
      <c r="O50" s="1113">
        <f t="shared" si="180"/>
        <v>3.9E-2</v>
      </c>
      <c r="P50" s="1113">
        <f t="shared" si="180"/>
        <v>5.0300000000000004E-2</v>
      </c>
      <c r="Q50" s="1113">
        <f t="shared" si="180"/>
        <v>4.2099999999999999E-2</v>
      </c>
      <c r="R50" s="1143"/>
      <c r="S50" s="1112"/>
      <c r="T50" s="1113"/>
      <c r="U50" s="1113"/>
      <c r="V50" s="1113"/>
    </row>
    <row r="51" spans="1:26">
      <c r="A51" s="1080" t="s">
        <v>1897</v>
      </c>
      <c r="B51" s="1081">
        <f t="shared" si="191"/>
        <v>242.95398227588385</v>
      </c>
      <c r="C51" s="1081">
        <f t="shared" si="191"/>
        <v>199.59137053614126</v>
      </c>
      <c r="D51" s="1081">
        <f t="shared" si="178"/>
        <v>199.59137053614126</v>
      </c>
      <c r="E51" s="1081">
        <f t="shared" si="192"/>
        <v>335.92189522342125</v>
      </c>
      <c r="F51" s="1081">
        <f t="shared" si="192"/>
        <v>183.10139991109489</v>
      </c>
      <c r="G51" s="3818">
        <v>2010</v>
      </c>
      <c r="H51" s="1086">
        <v>2</v>
      </c>
      <c r="I51" s="1086">
        <v>4.6900000000000004</v>
      </c>
      <c r="J51" s="1086">
        <v>3.55</v>
      </c>
      <c r="K51" s="3451">
        <v>5.07</v>
      </c>
      <c r="L51" s="1116">
        <v>4.2300000000000004</v>
      </c>
      <c r="N51" s="1112">
        <f t="shared" si="180"/>
        <v>4.6900000000000004E-2</v>
      </c>
      <c r="O51" s="1113">
        <f t="shared" si="180"/>
        <v>3.5499999999999997E-2</v>
      </c>
      <c r="P51" s="1113">
        <f t="shared" si="180"/>
        <v>5.0700000000000002E-2</v>
      </c>
      <c r="Q51" s="1113">
        <f t="shared" si="180"/>
        <v>4.2300000000000004E-2</v>
      </c>
      <c r="R51" s="1143"/>
      <c r="S51" s="1112"/>
      <c r="T51" s="1113"/>
      <c r="U51" s="1113"/>
      <c r="V51" s="1113"/>
    </row>
    <row r="52" spans="1:26">
      <c r="A52" s="1080" t="s">
        <v>1898</v>
      </c>
      <c r="B52" s="1081">
        <f t="shared" si="191"/>
        <v>232.06990378821649</v>
      </c>
      <c r="C52" s="1081">
        <f t="shared" si="191"/>
        <v>192.74878854286936</v>
      </c>
      <c r="D52" s="1081">
        <f t="shared" si="178"/>
        <v>192.74878854286936</v>
      </c>
      <c r="E52" s="1081">
        <f t="shared" si="192"/>
        <v>319.71247284992984</v>
      </c>
      <c r="F52" s="1081">
        <f t="shared" si="192"/>
        <v>175.67053622862409</v>
      </c>
      <c r="G52" s="3819">
        <v>2010</v>
      </c>
      <c r="H52" s="1082">
        <v>1</v>
      </c>
      <c r="I52" s="1082">
        <v>5.4</v>
      </c>
      <c r="J52" s="1082">
        <v>3.2</v>
      </c>
      <c r="K52" s="3449">
        <v>6.16</v>
      </c>
      <c r="L52" s="1114">
        <v>4.51</v>
      </c>
      <c r="N52" s="1112">
        <f t="shared" si="180"/>
        <v>5.4000000000000006E-2</v>
      </c>
      <c r="O52" s="1113">
        <f t="shared" si="180"/>
        <v>3.2000000000000001E-2</v>
      </c>
      <c r="P52" s="1113">
        <f t="shared" si="180"/>
        <v>6.1600000000000002E-2</v>
      </c>
      <c r="Q52" s="1113">
        <f t="shared" si="180"/>
        <v>4.5100000000000001E-2</v>
      </c>
      <c r="R52" s="1143"/>
      <c r="S52" s="1120">
        <f>B52/B53-1</f>
        <v>5.4863199037347599E-2</v>
      </c>
      <c r="T52" s="1121">
        <f>C52/C53-1</f>
        <v>3.0742184721226584E-2</v>
      </c>
      <c r="U52" s="1121">
        <f>E52/E53-1</f>
        <v>6.2167683886810154E-2</v>
      </c>
      <c r="V52" s="1121">
        <f>F52/F53-1</f>
        <v>4.5657953741810031E-2</v>
      </c>
      <c r="X52" s="1113"/>
      <c r="Y52" s="1113"/>
      <c r="Z52" s="1113"/>
    </row>
    <row r="53" spans="1:26">
      <c r="A53" s="1080" t="s">
        <v>1899</v>
      </c>
      <c r="B53" s="1089">
        <v>220</v>
      </c>
      <c r="C53" s="1089">
        <v>187</v>
      </c>
      <c r="D53" s="1089">
        <f t="shared" si="178"/>
        <v>187</v>
      </c>
      <c r="E53" s="1089">
        <v>301</v>
      </c>
      <c r="F53" s="1090">
        <v>168</v>
      </c>
      <c r="G53" s="3817">
        <v>2009</v>
      </c>
      <c r="H53" s="1091">
        <v>4</v>
      </c>
      <c r="I53" s="1091">
        <v>2.2999999999999998</v>
      </c>
      <c r="J53" s="1091">
        <v>1.04</v>
      </c>
      <c r="K53" s="3452">
        <v>2.84</v>
      </c>
      <c r="L53" s="1122">
        <v>0.67</v>
      </c>
      <c r="N53" s="1117">
        <f t="shared" si="180"/>
        <v>2.3E-2</v>
      </c>
      <c r="O53" s="1118">
        <f t="shared" si="180"/>
        <v>1.04E-2</v>
      </c>
      <c r="P53" s="1118">
        <f t="shared" si="180"/>
        <v>2.8399999999999998E-2</v>
      </c>
      <c r="Q53" s="1118">
        <f t="shared" si="180"/>
        <v>6.7000000000000002E-3</v>
      </c>
      <c r="R53" s="1143"/>
      <c r="S53" s="1144"/>
      <c r="T53" s="1145"/>
      <c r="U53" s="1145"/>
      <c r="V53" s="1145"/>
      <c r="X53" s="1145"/>
      <c r="Y53" s="1145"/>
      <c r="Z53" s="1145"/>
    </row>
    <row r="54" spans="1:26">
      <c r="A54" s="1080" t="s">
        <v>1900</v>
      </c>
      <c r="B54" s="1081">
        <f t="shared" ref="B54:C56" si="193">B53/(1+N53)</f>
        <v>215.05376344086022</v>
      </c>
      <c r="C54" s="1081">
        <f t="shared" si="193"/>
        <v>185.0752177355503</v>
      </c>
      <c r="D54" s="1081">
        <f t="shared" si="178"/>
        <v>185.0752177355503</v>
      </c>
      <c r="E54" s="1081">
        <f t="shared" ref="E54:F56" si="194">E53/(1+P53)</f>
        <v>292.68767016725008</v>
      </c>
      <c r="F54" s="1081">
        <f t="shared" si="194"/>
        <v>166.88189132810174</v>
      </c>
      <c r="G54" s="3818">
        <v>2009</v>
      </c>
      <c r="H54" s="1092">
        <v>3</v>
      </c>
      <c r="I54" s="1092">
        <v>2.1</v>
      </c>
      <c r="J54" s="1092">
        <v>1.86</v>
      </c>
      <c r="K54" s="3453">
        <v>2.29</v>
      </c>
      <c r="L54" s="1123">
        <v>0.85</v>
      </c>
      <c r="N54" s="1112">
        <f t="shared" si="180"/>
        <v>2.1000000000000001E-2</v>
      </c>
      <c r="O54" s="1119">
        <f t="shared" si="180"/>
        <v>1.8600000000000002E-2</v>
      </c>
      <c r="P54" s="1119">
        <f t="shared" si="180"/>
        <v>2.29E-2</v>
      </c>
      <c r="Q54" s="1119">
        <f t="shared" si="180"/>
        <v>8.5000000000000006E-3</v>
      </c>
      <c r="R54" s="1143"/>
      <c r="S54" s="1112"/>
      <c r="T54" s="1113"/>
      <c r="U54" s="1113"/>
      <c r="V54" s="1113"/>
    </row>
    <row r="55" spans="1:26">
      <c r="A55" s="1080" t="s">
        <v>1901</v>
      </c>
      <c r="B55" s="1081">
        <f t="shared" si="193"/>
        <v>210.630522469011</v>
      </c>
      <c r="C55" s="1081">
        <f t="shared" si="193"/>
        <v>181.69567812247232</v>
      </c>
      <c r="D55" s="1081">
        <f t="shared" si="178"/>
        <v>181.69567812247232</v>
      </c>
      <c r="E55" s="1081">
        <f t="shared" si="194"/>
        <v>286.13517466736738</v>
      </c>
      <c r="F55" s="1081">
        <f t="shared" si="194"/>
        <v>165.47535084591149</v>
      </c>
      <c r="G55" s="3818">
        <v>2009</v>
      </c>
      <c r="H55" s="1086">
        <v>2</v>
      </c>
      <c r="I55" s="1086">
        <v>0.86</v>
      </c>
      <c r="J55" s="1086">
        <v>-1.1299999999999999</v>
      </c>
      <c r="K55" s="3451">
        <v>1.79</v>
      </c>
      <c r="L55" s="1116">
        <v>-2.0699999999999998</v>
      </c>
      <c r="N55" s="1112">
        <f t="shared" si="180"/>
        <v>8.6E-3</v>
      </c>
      <c r="O55" s="1119">
        <f t="shared" si="180"/>
        <v>-1.1299999999999999E-2</v>
      </c>
      <c r="P55" s="1119">
        <f t="shared" si="180"/>
        <v>1.7899999999999999E-2</v>
      </c>
      <c r="Q55" s="1119">
        <f t="shared" si="180"/>
        <v>-2.07E-2</v>
      </c>
      <c r="R55" s="1143"/>
      <c r="S55" s="1112"/>
      <c r="T55" s="1113"/>
      <c r="U55" s="1113"/>
      <c r="V55" s="1113"/>
    </row>
    <row r="56" spans="1:26">
      <c r="A56" s="1080" t="s">
        <v>1902</v>
      </c>
      <c r="B56" s="1081">
        <f t="shared" si="193"/>
        <v>208.83454537875372</v>
      </c>
      <c r="C56" s="1081">
        <f t="shared" si="193"/>
        <v>183.77230517090351</v>
      </c>
      <c r="D56" s="1081">
        <f t="shared" si="178"/>
        <v>183.77230517090351</v>
      </c>
      <c r="E56" s="1081">
        <f t="shared" si="194"/>
        <v>281.10342338870947</v>
      </c>
      <c r="F56" s="1081">
        <f t="shared" si="194"/>
        <v>168.97309388942256</v>
      </c>
      <c r="G56" s="3819">
        <v>2009</v>
      </c>
      <c r="H56" s="1082">
        <v>1</v>
      </c>
      <c r="I56" s="1082">
        <v>-2.64</v>
      </c>
      <c r="J56" s="1082">
        <v>-2.5299999999999998</v>
      </c>
      <c r="K56" s="3449">
        <v>-3.02</v>
      </c>
      <c r="L56" s="1114">
        <v>1.52</v>
      </c>
      <c r="N56" s="1120">
        <f t="shared" si="180"/>
        <v>-2.64E-2</v>
      </c>
      <c r="O56" s="1121">
        <f t="shared" si="180"/>
        <v>-2.53E-2</v>
      </c>
      <c r="P56" s="1121">
        <f t="shared" si="180"/>
        <v>-3.0200000000000001E-2</v>
      </c>
      <c r="Q56" s="1121">
        <f t="shared" si="180"/>
        <v>1.52E-2</v>
      </c>
      <c r="R56" s="1143"/>
      <c r="S56" s="1120">
        <f>B56/B57-1</f>
        <v>-2.4137638417038754E-2</v>
      </c>
      <c r="T56" s="1121">
        <f>C56/C57-1</f>
        <v>-2.248773845264096E-2</v>
      </c>
      <c r="U56" s="1121">
        <f>E56/E57-1</f>
        <v>-2.7323794502735366E-2</v>
      </c>
      <c r="V56" s="1121">
        <f>F56/F57-1</f>
        <v>1.7910204153148035E-2</v>
      </c>
      <c r="X56" s="1113"/>
      <c r="Y56" s="1113"/>
      <c r="Z56" s="1113"/>
    </row>
    <row r="57" spans="1:26">
      <c r="A57" s="1080" t="s">
        <v>1903</v>
      </c>
      <c r="B57" s="1100">
        <v>214</v>
      </c>
      <c r="C57" s="1100">
        <v>188</v>
      </c>
      <c r="D57" s="1100">
        <f t="shared" si="178"/>
        <v>188</v>
      </c>
      <c r="E57" s="1100">
        <v>289</v>
      </c>
      <c r="F57" s="1101">
        <v>166</v>
      </c>
      <c r="G57" s="3817">
        <v>2008</v>
      </c>
      <c r="H57" s="1091">
        <v>4</v>
      </c>
      <c r="I57" s="1091">
        <v>1.73</v>
      </c>
      <c r="J57" s="1091">
        <v>0.03</v>
      </c>
      <c r="K57" s="3452">
        <v>2.59</v>
      </c>
      <c r="L57" s="1122">
        <v>-1.66</v>
      </c>
      <c r="N57" s="1112">
        <f t="shared" si="180"/>
        <v>1.7299999999999999E-2</v>
      </c>
      <c r="O57" s="1113">
        <f t="shared" si="180"/>
        <v>2.9999999999999997E-4</v>
      </c>
      <c r="P57" s="1113">
        <f t="shared" si="180"/>
        <v>2.5899999999999999E-2</v>
      </c>
      <c r="Q57" s="1113">
        <f t="shared" si="180"/>
        <v>-1.66E-2</v>
      </c>
      <c r="R57" s="1143"/>
      <c r="S57" s="1144"/>
      <c r="T57" s="1145"/>
      <c r="U57" s="1145"/>
      <c r="V57" s="1145"/>
      <c r="X57" s="1145"/>
      <c r="Y57" s="1145"/>
      <c r="Z57" s="1145"/>
    </row>
    <row r="58" spans="1:26">
      <c r="A58" s="1080" t="s">
        <v>1904</v>
      </c>
      <c r="B58" s="1081">
        <f t="shared" ref="B58:C60" si="195">B57/(1+N57)</f>
        <v>210.36075887152265</v>
      </c>
      <c r="C58" s="1081">
        <f t="shared" si="195"/>
        <v>187.94361691492554</v>
      </c>
      <c r="D58" s="1081">
        <f t="shared" si="178"/>
        <v>187.94361691492554</v>
      </c>
      <c r="E58" s="1081">
        <f t="shared" ref="E58:F60" si="196">E57/(1+P57)</f>
        <v>281.70386977288234</v>
      </c>
      <c r="F58" s="1081">
        <f t="shared" si="196"/>
        <v>168.80211511083994</v>
      </c>
      <c r="G58" s="3818">
        <v>2008</v>
      </c>
      <c r="H58" s="1092">
        <v>3</v>
      </c>
      <c r="I58" s="1092">
        <v>1.96</v>
      </c>
      <c r="J58" s="1092">
        <v>2.36</v>
      </c>
      <c r="K58" s="3453">
        <v>1.82</v>
      </c>
      <c r="L58" s="1123">
        <v>2.2200000000000002</v>
      </c>
      <c r="N58" s="1112">
        <f t="shared" si="180"/>
        <v>1.9599999999999999E-2</v>
      </c>
      <c r="O58" s="1113">
        <f t="shared" si="180"/>
        <v>2.3599999999999999E-2</v>
      </c>
      <c r="P58" s="1113">
        <f t="shared" si="180"/>
        <v>1.8200000000000001E-2</v>
      </c>
      <c r="Q58" s="1113">
        <f t="shared" si="180"/>
        <v>2.2200000000000001E-2</v>
      </c>
      <c r="R58" s="1143"/>
      <c r="S58" s="1112"/>
      <c r="T58" s="1113"/>
      <c r="U58" s="1113"/>
      <c r="V58" s="1113"/>
    </row>
    <row r="59" spans="1:26">
      <c r="A59" s="1080" t="s">
        <v>1905</v>
      </c>
      <c r="B59" s="1081">
        <f t="shared" si="195"/>
        <v>206.31694671589116</v>
      </c>
      <c r="C59" s="1081">
        <f t="shared" si="195"/>
        <v>183.61041121036101</v>
      </c>
      <c r="D59" s="1081">
        <f t="shared" si="178"/>
        <v>183.61041121036101</v>
      </c>
      <c r="E59" s="1081">
        <f t="shared" si="196"/>
        <v>276.66850301795557</v>
      </c>
      <c r="F59" s="1081">
        <f t="shared" si="196"/>
        <v>165.1360938278614</v>
      </c>
      <c r="G59" s="3818">
        <v>2008</v>
      </c>
      <c r="H59" s="1086">
        <v>2</v>
      </c>
      <c r="I59" s="1086">
        <v>4.93</v>
      </c>
      <c r="J59" s="1086">
        <v>7.38</v>
      </c>
      <c r="K59" s="3451">
        <v>3.98</v>
      </c>
      <c r="L59" s="1116">
        <v>6.86</v>
      </c>
      <c r="N59" s="1112">
        <f t="shared" si="180"/>
        <v>4.9299999999999997E-2</v>
      </c>
      <c r="O59" s="1113">
        <f t="shared" si="180"/>
        <v>7.3800000000000004E-2</v>
      </c>
      <c r="P59" s="1113">
        <f t="shared" si="180"/>
        <v>3.9800000000000002E-2</v>
      </c>
      <c r="Q59" s="1113">
        <f t="shared" si="180"/>
        <v>6.8600000000000008E-2</v>
      </c>
      <c r="R59" s="1143"/>
      <c r="S59" s="1112"/>
      <c r="T59" s="1113"/>
      <c r="U59" s="1113"/>
      <c r="V59" s="1113"/>
    </row>
    <row r="60" spans="1:26" s="1061" customFormat="1">
      <c r="A60" s="1080" t="s">
        <v>1906</v>
      </c>
      <c r="B60" s="1103">
        <f t="shared" si="195"/>
        <v>196.62341248059772</v>
      </c>
      <c r="C60" s="1103">
        <f t="shared" si="195"/>
        <v>170.99125648199012</v>
      </c>
      <c r="D60" s="1103">
        <f t="shared" si="178"/>
        <v>170.99125648199012</v>
      </c>
      <c r="E60" s="1103">
        <f t="shared" si="196"/>
        <v>266.07857570490052</v>
      </c>
      <c r="F60" s="1103">
        <f t="shared" si="196"/>
        <v>154.53499328828505</v>
      </c>
      <c r="G60" s="3819">
        <v>2008</v>
      </c>
      <c r="H60" s="1104">
        <v>1</v>
      </c>
      <c r="I60" s="1104">
        <v>4.1399999999999997</v>
      </c>
      <c r="J60" s="1104">
        <v>3.45</v>
      </c>
      <c r="K60" s="3455">
        <v>4.95</v>
      </c>
      <c r="L60" s="1129">
        <v>4.82</v>
      </c>
      <c r="N60" s="1130">
        <f t="shared" si="180"/>
        <v>4.1399999999999999E-2</v>
      </c>
      <c r="O60" s="1131">
        <f t="shared" si="180"/>
        <v>3.4500000000000003E-2</v>
      </c>
      <c r="P60" s="1131">
        <f t="shared" si="180"/>
        <v>4.9500000000000002E-2</v>
      </c>
      <c r="Q60" s="1131">
        <f t="shared" si="180"/>
        <v>4.82E-2</v>
      </c>
      <c r="R60" s="1153"/>
      <c r="S60" s="1130">
        <f>B60/B61-1</f>
        <v>4.5869215322328349E-2</v>
      </c>
      <c r="T60" s="1131">
        <f>C60/C61-1</f>
        <v>3.6310645345394743E-2</v>
      </c>
      <c r="U60" s="1131">
        <f>E60/E61-1</f>
        <v>4.7553447657088688E-2</v>
      </c>
      <c r="V60" s="1131">
        <f>F60/F61-1</f>
        <v>4.4155360055980086E-2</v>
      </c>
      <c r="X60" s="1131"/>
      <c r="Y60" s="1131"/>
      <c r="Z60" s="1131"/>
    </row>
    <row r="61" spans="1:26">
      <c r="A61" s="1080" t="s">
        <v>1907</v>
      </c>
      <c r="B61" s="1089">
        <v>188</v>
      </c>
      <c r="C61" s="1089">
        <v>165</v>
      </c>
      <c r="D61" s="1089">
        <f t="shared" si="178"/>
        <v>165</v>
      </c>
      <c r="E61" s="1089">
        <v>254</v>
      </c>
      <c r="F61" s="1090">
        <v>148</v>
      </c>
      <c r="G61" s="3817">
        <v>2007</v>
      </c>
      <c r="H61" s="1105">
        <v>4</v>
      </c>
      <c r="I61" s="1105">
        <v>5.51</v>
      </c>
      <c r="J61" s="1105">
        <v>4.8899999999999997</v>
      </c>
      <c r="K61" s="3456">
        <v>6.43</v>
      </c>
      <c r="L61" s="1132">
        <v>5.36</v>
      </c>
      <c r="N61" s="1133">
        <f t="shared" ref="N61:O64" si="197">B61/B62-1</f>
        <v>4.1339718365245526E-2</v>
      </c>
      <c r="O61" s="1134">
        <f t="shared" si="197"/>
        <v>4.0324492593776018E-2</v>
      </c>
      <c r="P61" s="1134">
        <f t="shared" ref="P61:Q64" si="198">E61/E62-1</f>
        <v>6.1625555347990968E-2</v>
      </c>
      <c r="Q61" s="1134">
        <f t="shared" si="198"/>
        <v>4.6757569250590603E-2</v>
      </c>
      <c r="R61" s="1143"/>
      <c r="S61" s="1144"/>
      <c r="T61" s="1145"/>
      <c r="U61" s="1145"/>
      <c r="V61" s="1145"/>
      <c r="X61" s="1145"/>
      <c r="Y61" s="1145"/>
      <c r="Z61" s="1145"/>
    </row>
    <row r="62" spans="1:26">
      <c r="A62" s="1080" t="s">
        <v>1908</v>
      </c>
      <c r="B62" s="1081">
        <f t="shared" ref="B62:C64" si="199">B63+(B$61-B$65)*I62/SUM(I$61:I$64)</f>
        <v>180.5366651097618</v>
      </c>
      <c r="C62" s="1081">
        <f t="shared" si="199"/>
        <v>158.60435967302453</v>
      </c>
      <c r="D62" s="1081">
        <f t="shared" si="178"/>
        <v>158.60435967302453</v>
      </c>
      <c r="E62" s="1081">
        <f t="shared" ref="E62:F64" si="200">E63+(E$61-E$65)*K62/SUM(K$61:K$64)</f>
        <v>239.25573260785075</v>
      </c>
      <c r="F62" s="1081">
        <f t="shared" si="200"/>
        <v>141.38899430740037</v>
      </c>
      <c r="G62" s="3818">
        <v>2007</v>
      </c>
      <c r="H62" s="1092">
        <v>3</v>
      </c>
      <c r="I62" s="1092">
        <v>8.65</v>
      </c>
      <c r="J62" s="1092">
        <v>8.06</v>
      </c>
      <c r="K62" s="3453">
        <v>9.94</v>
      </c>
      <c r="L62" s="1123">
        <v>5.8</v>
      </c>
      <c r="N62" s="1133">
        <f t="shared" si="197"/>
        <v>6.940217571740015E-2</v>
      </c>
      <c r="O62" s="1134">
        <f t="shared" si="197"/>
        <v>7.1197482471153428E-2</v>
      </c>
      <c r="P62" s="1134">
        <f t="shared" si="198"/>
        <v>0.10529679922579582</v>
      </c>
      <c r="Q62" s="1134">
        <f t="shared" si="198"/>
        <v>5.3292245059512133E-2</v>
      </c>
      <c r="R62" s="1143"/>
      <c r="S62" s="1112"/>
      <c r="T62" s="1113"/>
      <c r="U62" s="1113"/>
      <c r="V62" s="1113"/>
      <c r="X62" s="1154"/>
      <c r="Y62" s="1154"/>
      <c r="Z62" s="1154"/>
    </row>
    <row r="63" spans="1:26">
      <c r="A63" s="1080" t="s">
        <v>1909</v>
      </c>
      <c r="B63" s="1081">
        <f t="shared" si="199"/>
        <v>168.82017748715555</v>
      </c>
      <c r="C63" s="1081">
        <f t="shared" si="199"/>
        <v>148.06267029972753</v>
      </c>
      <c r="D63" s="1081">
        <f t="shared" si="178"/>
        <v>148.06267029972753</v>
      </c>
      <c r="E63" s="1081">
        <f t="shared" si="200"/>
        <v>216.46288379323747</v>
      </c>
      <c r="F63" s="1081">
        <f t="shared" si="200"/>
        <v>134.23529411764704</v>
      </c>
      <c r="G63" s="3818">
        <v>2007</v>
      </c>
      <c r="H63" s="1086">
        <v>2</v>
      </c>
      <c r="I63" s="1086">
        <v>3.67</v>
      </c>
      <c r="J63" s="1086">
        <v>2.3199999999999998</v>
      </c>
      <c r="K63" s="3451">
        <v>5.0199999999999996</v>
      </c>
      <c r="L63" s="1116">
        <v>6.71</v>
      </c>
      <c r="N63" s="1133">
        <f t="shared" si="197"/>
        <v>3.0339138143848032E-2</v>
      </c>
      <c r="O63" s="1134">
        <f t="shared" si="197"/>
        <v>2.0922341588790472E-2</v>
      </c>
      <c r="P63" s="1134">
        <f t="shared" si="198"/>
        <v>5.6164796592717003E-2</v>
      </c>
      <c r="Q63" s="1134">
        <f t="shared" si="198"/>
        <v>6.5704536723887319E-2</v>
      </c>
      <c r="R63" s="1143"/>
      <c r="S63" s="1112"/>
      <c r="T63" s="1113"/>
      <c r="U63" s="1113"/>
      <c r="V63" s="1113"/>
      <c r="X63" s="1154"/>
      <c r="Y63" s="1154"/>
      <c r="Z63" s="1154"/>
    </row>
    <row r="64" spans="1:26">
      <c r="A64" s="1080" t="s">
        <v>1910</v>
      </c>
      <c r="B64" s="1081">
        <f t="shared" si="199"/>
        <v>163.84913591779542</v>
      </c>
      <c r="C64" s="1081">
        <f t="shared" si="199"/>
        <v>145.0283378746594</v>
      </c>
      <c r="D64" s="1081">
        <f t="shared" si="178"/>
        <v>145.0283378746594</v>
      </c>
      <c r="E64" s="1081">
        <f t="shared" si="200"/>
        <v>204.95180722891567</v>
      </c>
      <c r="F64" s="1081">
        <f t="shared" si="200"/>
        <v>125.95920303605313</v>
      </c>
      <c r="G64" s="3819">
        <v>2007</v>
      </c>
      <c r="H64" s="1082">
        <v>1</v>
      </c>
      <c r="I64" s="1082">
        <v>3.58</v>
      </c>
      <c r="J64" s="1082">
        <v>3.08</v>
      </c>
      <c r="K64" s="3449">
        <v>4.34</v>
      </c>
      <c r="L64" s="1114">
        <v>3.21</v>
      </c>
      <c r="N64" s="1135">
        <f t="shared" si="197"/>
        <v>3.0497710174814063E-2</v>
      </c>
      <c r="O64" s="1136">
        <f t="shared" si="197"/>
        <v>2.8569772160704998E-2</v>
      </c>
      <c r="P64" s="1136">
        <f t="shared" si="198"/>
        <v>5.1034908866234296E-2</v>
      </c>
      <c r="Q64" s="1136">
        <f t="shared" si="198"/>
        <v>3.245248390207478E-2</v>
      </c>
      <c r="R64" s="1143"/>
      <c r="S64" s="1120">
        <f>B64/B65-1</f>
        <v>3.0497710174814063E-2</v>
      </c>
      <c r="T64" s="1121">
        <f>C64/C65-1</f>
        <v>2.8569772160704998E-2</v>
      </c>
      <c r="U64" s="1121">
        <f>E64/E65-1</f>
        <v>5.1034908866234296E-2</v>
      </c>
      <c r="V64" s="1121">
        <f>F64/F65-1</f>
        <v>3.245248390207478E-2</v>
      </c>
      <c r="X64" s="1154"/>
      <c r="Y64" s="1154"/>
      <c r="Z64" s="1154"/>
    </row>
    <row r="65" spans="1:26">
      <c r="A65" s="1080" t="s">
        <v>1911</v>
      </c>
      <c r="B65" s="1093">
        <v>159</v>
      </c>
      <c r="C65" s="1093">
        <v>141</v>
      </c>
      <c r="D65" s="1093">
        <f t="shared" si="178"/>
        <v>141</v>
      </c>
      <c r="E65" s="1093">
        <v>195</v>
      </c>
      <c r="F65" s="1094">
        <v>122</v>
      </c>
      <c r="G65" s="3817">
        <v>2006</v>
      </c>
      <c r="H65" s="1091">
        <v>4</v>
      </c>
      <c r="I65" s="1091">
        <v>3.79</v>
      </c>
      <c r="J65" s="1091">
        <v>2.21</v>
      </c>
      <c r="K65" s="3452">
        <v>5.65</v>
      </c>
      <c r="L65" s="1122">
        <v>5.41</v>
      </c>
      <c r="N65" s="1133">
        <f t="shared" ref="N65:O68" si="201">I65/SUM(I$65:I$68)*(B$65/B$69-1)</f>
        <v>7.245466462748526E-2</v>
      </c>
      <c r="O65" s="1134">
        <f t="shared" si="201"/>
        <v>2.3237230038062766E-2</v>
      </c>
      <c r="P65" s="1134">
        <f t="shared" ref="P65:Q68" si="202">K65/SUM(K$65:K$68)*(E$65/E$69-1)</f>
        <v>0.16146893866323722</v>
      </c>
      <c r="Q65" s="1134">
        <f t="shared" si="202"/>
        <v>5.0755230321793784E-2</v>
      </c>
      <c r="R65" s="1143"/>
      <c r="S65" s="1144"/>
      <c r="T65" s="1145"/>
      <c r="U65" s="1145"/>
      <c r="V65" s="1145"/>
      <c r="X65" s="1154"/>
      <c r="Y65" s="1154"/>
      <c r="Z65" s="1154"/>
    </row>
    <row r="66" spans="1:26">
      <c r="A66" s="1080" t="s">
        <v>1912</v>
      </c>
      <c r="B66" s="1081">
        <f t="shared" ref="B66:C68" si="203">B67+(B$65-B$69)*I66/SUM(I$65:I$68)</f>
        <v>149.00125628140702</v>
      </c>
      <c r="C66" s="1081">
        <f t="shared" si="203"/>
        <v>137.95592286501378</v>
      </c>
      <c r="D66" s="1081">
        <f t="shared" si="178"/>
        <v>137.95592286501378</v>
      </c>
      <c r="E66" s="1081">
        <f t="shared" ref="E66:F68" si="204">E67+(E$65-E$69)*K66/SUM(K$65:K$68)</f>
        <v>169.97231450719823</v>
      </c>
      <c r="F66" s="1081">
        <f t="shared" si="204"/>
        <v>116.21390374331551</v>
      </c>
      <c r="G66" s="3818">
        <v>2006</v>
      </c>
      <c r="H66" s="1092">
        <v>3</v>
      </c>
      <c r="I66" s="1092">
        <v>0.92</v>
      </c>
      <c r="J66" s="1092">
        <v>1.08</v>
      </c>
      <c r="K66" s="3453">
        <v>0.73</v>
      </c>
      <c r="L66" s="1123">
        <v>1.08</v>
      </c>
      <c r="N66" s="1133">
        <f t="shared" si="201"/>
        <v>1.7587939698492462E-2</v>
      </c>
      <c r="O66" s="1134">
        <f t="shared" si="201"/>
        <v>1.1355750425840628E-2</v>
      </c>
      <c r="P66" s="1134">
        <f t="shared" si="202"/>
        <v>2.0862358446754544E-2</v>
      </c>
      <c r="Q66" s="1134">
        <f t="shared" si="202"/>
        <v>1.0132282578103011E-2</v>
      </c>
      <c r="R66" s="1143"/>
      <c r="S66" s="1112"/>
      <c r="T66" s="1113"/>
      <c r="U66" s="1113"/>
      <c r="V66" s="1113"/>
      <c r="X66" s="1154"/>
      <c r="Y66" s="1154"/>
      <c r="Z66" s="1154"/>
    </row>
    <row r="67" spans="1:26">
      <c r="A67" s="1080" t="s">
        <v>1913</v>
      </c>
      <c r="B67" s="1081">
        <f t="shared" si="203"/>
        <v>146.57412060301507</v>
      </c>
      <c r="C67" s="1081">
        <f t="shared" si="203"/>
        <v>136.46831955922866</v>
      </c>
      <c r="D67" s="1081">
        <f t="shared" si="178"/>
        <v>136.46831955922866</v>
      </c>
      <c r="E67" s="1081">
        <f t="shared" si="204"/>
        <v>166.73864894795128</v>
      </c>
      <c r="F67" s="1081">
        <f t="shared" si="204"/>
        <v>115.05882352941177</v>
      </c>
      <c r="G67" s="3818">
        <v>2006</v>
      </c>
      <c r="H67" s="1086">
        <v>2</v>
      </c>
      <c r="I67" s="1086">
        <v>0.96</v>
      </c>
      <c r="J67" s="1086">
        <v>0.25</v>
      </c>
      <c r="K67" s="3451">
        <v>1.9</v>
      </c>
      <c r="L67" s="1116">
        <v>0.95</v>
      </c>
      <c r="N67" s="1133">
        <f t="shared" si="201"/>
        <v>1.8352632728861701E-2</v>
      </c>
      <c r="O67" s="1134">
        <f t="shared" si="201"/>
        <v>2.6286459319075526E-3</v>
      </c>
      <c r="P67" s="1134">
        <f t="shared" si="202"/>
        <v>5.4299289107991269E-2</v>
      </c>
      <c r="Q67" s="1134">
        <f t="shared" si="202"/>
        <v>8.9126559714794995E-3</v>
      </c>
      <c r="R67" s="1143"/>
      <c r="S67" s="1112"/>
      <c r="T67" s="1113"/>
      <c r="U67" s="1113"/>
      <c r="V67" s="1113"/>
      <c r="X67" s="1154"/>
      <c r="Y67" s="1154"/>
      <c r="Z67" s="1154"/>
    </row>
    <row r="68" spans="1:26">
      <c r="A68" s="1080" t="s">
        <v>1914</v>
      </c>
      <c r="B68" s="1081">
        <f t="shared" si="203"/>
        <v>144.04145728643215</v>
      </c>
      <c r="C68" s="1081">
        <f t="shared" si="203"/>
        <v>136.12396694214877</v>
      </c>
      <c r="D68" s="1081">
        <f t="shared" si="178"/>
        <v>136.12396694214877</v>
      </c>
      <c r="E68" s="1081">
        <f t="shared" si="204"/>
        <v>158.32225913621264</v>
      </c>
      <c r="F68" s="1081">
        <f t="shared" si="204"/>
        <v>114.04278074866311</v>
      </c>
      <c r="G68" s="3819">
        <v>2006</v>
      </c>
      <c r="H68" s="1082">
        <v>1</v>
      </c>
      <c r="I68" s="1082">
        <v>2.29</v>
      </c>
      <c r="J68" s="1082">
        <v>3.72</v>
      </c>
      <c r="K68" s="3449">
        <v>0.75</v>
      </c>
      <c r="L68" s="1114">
        <v>0.04</v>
      </c>
      <c r="N68" s="1135">
        <f t="shared" si="201"/>
        <v>4.3778675988638847E-2</v>
      </c>
      <c r="O68" s="1136">
        <f t="shared" si="201"/>
        <v>3.9114251466784385E-2</v>
      </c>
      <c r="P68" s="1136">
        <f t="shared" si="202"/>
        <v>2.1433929911049188E-2</v>
      </c>
      <c r="Q68" s="1136">
        <f t="shared" si="202"/>
        <v>3.7526972511492629E-4</v>
      </c>
      <c r="R68" s="1143"/>
      <c r="S68" s="1120">
        <f>B68/B69-1</f>
        <v>4.3778675988638716E-2</v>
      </c>
      <c r="T68" s="1121">
        <f>C68/C69-1</f>
        <v>3.91142514667846E-2</v>
      </c>
      <c r="U68" s="1121">
        <f>E68/E69-1</f>
        <v>2.143392991104931E-2</v>
      </c>
      <c r="V68" s="1121">
        <f>F68/F69-1</f>
        <v>3.7526972511492396E-4</v>
      </c>
      <c r="X68" s="1154"/>
      <c r="Y68" s="1154"/>
      <c r="Z68" s="1154"/>
    </row>
    <row r="69" spans="1:26">
      <c r="A69" s="1080" t="s">
        <v>1915</v>
      </c>
      <c r="B69" s="1093">
        <v>138</v>
      </c>
      <c r="C69" s="1093">
        <v>131</v>
      </c>
      <c r="D69" s="1093">
        <f t="shared" si="178"/>
        <v>131</v>
      </c>
      <c r="E69" s="1093">
        <v>155</v>
      </c>
      <c r="F69" s="1094">
        <v>114</v>
      </c>
      <c r="G69" s="3817">
        <v>2005</v>
      </c>
      <c r="H69" s="1091">
        <v>4</v>
      </c>
      <c r="I69" s="1091">
        <v>3.29</v>
      </c>
      <c r="J69" s="1091">
        <v>1.44</v>
      </c>
      <c r="K69" s="3452">
        <v>0.66</v>
      </c>
      <c r="L69" s="1122">
        <v>7.78</v>
      </c>
      <c r="N69" s="1133">
        <f t="shared" ref="N69:O72" si="205">I69/SUM(I$69:I$72)*(B$69/B$73-1)</f>
        <v>9.9404603216919935E-2</v>
      </c>
      <c r="O69" s="1134">
        <f t="shared" si="205"/>
        <v>4.7636550760861554E-2</v>
      </c>
      <c r="P69" s="1134">
        <f t="shared" ref="P69:Q72" si="206">K69/SUM(K$69:K$72)*(E$69/E$73-1)</f>
        <v>8.3756345177664976E-2</v>
      </c>
      <c r="Q69" s="1134">
        <f t="shared" si="206"/>
        <v>5.2148766661559584E-2</v>
      </c>
      <c r="R69" s="1143"/>
      <c r="S69" s="1144"/>
      <c r="T69" s="1145"/>
      <c r="U69" s="1145"/>
      <c r="V69" s="1145"/>
      <c r="X69" s="1154"/>
      <c r="Y69" s="1154"/>
      <c r="Z69" s="1154"/>
    </row>
    <row r="70" spans="1:26">
      <c r="A70" s="1080" t="s">
        <v>1916</v>
      </c>
      <c r="B70" s="1081">
        <f t="shared" ref="B70:C72" si="207">B71+(B$69-B$73)*I70/SUM(I$69:I$72)</f>
        <v>125.9720430107527</v>
      </c>
      <c r="C70" s="1081">
        <f t="shared" si="207"/>
        <v>125.1883408071749</v>
      </c>
      <c r="D70" s="1081">
        <f t="shared" si="178"/>
        <v>125.1883408071749</v>
      </c>
      <c r="E70" s="1081">
        <f t="shared" ref="E70:F72" si="208">E71+(E$69-E$73)*K70/SUM(K$69:K$72)</f>
        <v>144.61421319796952</v>
      </c>
      <c r="F70" s="1081">
        <f t="shared" si="208"/>
        <v>108.42008196721311</v>
      </c>
      <c r="G70" s="3818">
        <v>2005</v>
      </c>
      <c r="H70" s="1092">
        <v>3</v>
      </c>
      <c r="I70" s="1092">
        <v>0.46</v>
      </c>
      <c r="J70" s="1092">
        <v>0.32</v>
      </c>
      <c r="K70" s="3453">
        <v>0.42</v>
      </c>
      <c r="L70" s="1123">
        <v>0.64</v>
      </c>
      <c r="N70" s="1133">
        <f t="shared" si="205"/>
        <v>1.3898515951301874E-2</v>
      </c>
      <c r="O70" s="1134">
        <f t="shared" si="205"/>
        <v>1.0585900169080346E-2</v>
      </c>
      <c r="P70" s="1134">
        <f t="shared" si="206"/>
        <v>5.3299492385786795E-2</v>
      </c>
      <c r="Q70" s="1134">
        <f t="shared" si="206"/>
        <v>4.2898728359123568E-3</v>
      </c>
      <c r="R70" s="1143"/>
      <c r="S70" s="1112"/>
      <c r="T70" s="1113"/>
      <c r="U70" s="1113"/>
      <c r="V70" s="1113"/>
      <c r="X70" s="1154"/>
      <c r="Y70" s="1154"/>
      <c r="Z70" s="1154"/>
    </row>
    <row r="71" spans="1:26">
      <c r="A71" s="1080" t="s">
        <v>1917</v>
      </c>
      <c r="B71" s="1081">
        <f t="shared" si="207"/>
        <v>124.29032258064517</v>
      </c>
      <c r="C71" s="1081">
        <f t="shared" si="207"/>
        <v>123.8968609865471</v>
      </c>
      <c r="D71" s="1081">
        <f t="shared" si="178"/>
        <v>123.8968609865471</v>
      </c>
      <c r="E71" s="1081">
        <f t="shared" si="208"/>
        <v>138.00507614213197</v>
      </c>
      <c r="F71" s="1081">
        <f t="shared" si="208"/>
        <v>107.96106557377048</v>
      </c>
      <c r="G71" s="3818">
        <v>2005</v>
      </c>
      <c r="H71" s="1086">
        <v>2</v>
      </c>
      <c r="I71" s="1086">
        <v>0.47</v>
      </c>
      <c r="J71" s="1086">
        <v>0.1</v>
      </c>
      <c r="K71" s="3451">
        <v>0.52</v>
      </c>
      <c r="L71" s="1116">
        <v>0.79</v>
      </c>
      <c r="N71" s="1133">
        <f t="shared" si="205"/>
        <v>1.420065760241713E-2</v>
      </c>
      <c r="O71" s="1134">
        <f t="shared" si="205"/>
        <v>3.3080938028376083E-3</v>
      </c>
      <c r="P71" s="1134">
        <f t="shared" si="206"/>
        <v>6.598984771573603E-2</v>
      </c>
      <c r="Q71" s="1134">
        <f t="shared" si="206"/>
        <v>5.2953117818293153E-3</v>
      </c>
      <c r="R71" s="1143"/>
      <c r="S71" s="1112"/>
      <c r="T71" s="1113"/>
      <c r="U71" s="1113"/>
      <c r="V71" s="1113"/>
      <c r="X71" s="1154"/>
      <c r="Y71" s="1154"/>
      <c r="Z71" s="1154"/>
    </row>
    <row r="72" spans="1:26">
      <c r="A72" s="1080" t="s">
        <v>1918</v>
      </c>
      <c r="B72" s="1081">
        <f t="shared" si="207"/>
        <v>122.57204301075269</v>
      </c>
      <c r="C72" s="1081">
        <f t="shared" si="207"/>
        <v>123.4932735426009</v>
      </c>
      <c r="D72" s="1081">
        <f t="shared" si="178"/>
        <v>123.4932735426009</v>
      </c>
      <c r="E72" s="1081">
        <f t="shared" si="208"/>
        <v>129.82233502538071</v>
      </c>
      <c r="F72" s="1081">
        <f t="shared" si="208"/>
        <v>107.39446721311475</v>
      </c>
      <c r="G72" s="3819">
        <v>2005</v>
      </c>
      <c r="H72" s="1082">
        <v>1</v>
      </c>
      <c r="I72" s="1082">
        <v>0.43</v>
      </c>
      <c r="J72" s="1082">
        <v>0.37</v>
      </c>
      <c r="K72" s="3449">
        <v>0.37</v>
      </c>
      <c r="L72" s="1114">
        <v>0.55000000000000004</v>
      </c>
      <c r="N72" s="1135">
        <f t="shared" si="205"/>
        <v>1.2992090997956099E-2</v>
      </c>
      <c r="O72" s="1136">
        <f t="shared" si="205"/>
        <v>1.2239947070499151E-2</v>
      </c>
      <c r="P72" s="1136">
        <f t="shared" si="206"/>
        <v>4.6954314720812178E-2</v>
      </c>
      <c r="Q72" s="1136">
        <f t="shared" si="206"/>
        <v>3.6866094683621815E-3</v>
      </c>
      <c r="R72" s="1143"/>
      <c r="S72" s="1120">
        <f>B72/B73-1</f>
        <v>1.2992090997956174E-2</v>
      </c>
      <c r="T72" s="1121">
        <f>C72/C73-1</f>
        <v>1.2239947070499246E-2</v>
      </c>
      <c r="U72" s="1121">
        <f>E72/E73-1</f>
        <v>4.695431472081224E-2</v>
      </c>
      <c r="V72" s="1121">
        <f>F72/F73-1</f>
        <v>3.6866094683620787E-3</v>
      </c>
      <c r="X72" s="1154"/>
      <c r="Y72" s="1154"/>
      <c r="Z72" s="1154"/>
    </row>
    <row r="73" spans="1:26">
      <c r="A73" s="1080" t="s">
        <v>1919</v>
      </c>
      <c r="B73" s="1100">
        <v>121</v>
      </c>
      <c r="C73" s="1100">
        <v>122</v>
      </c>
      <c r="D73" s="1100">
        <f t="shared" si="178"/>
        <v>122</v>
      </c>
      <c r="E73" s="1100">
        <v>124</v>
      </c>
      <c r="F73" s="1101">
        <v>107</v>
      </c>
      <c r="G73" s="3817">
        <v>2004</v>
      </c>
      <c r="H73" s="1091">
        <v>4</v>
      </c>
      <c r="I73" s="1091">
        <v>0.33</v>
      </c>
      <c r="J73" s="1091">
        <v>0.5</v>
      </c>
      <c r="K73" s="3452">
        <v>0.5</v>
      </c>
      <c r="L73" s="1122">
        <v>0</v>
      </c>
      <c r="N73" s="1133">
        <f t="shared" ref="N73:O76" si="209">I73/SUM(I$73:I$76)*(B$73/B$77-1)</f>
        <v>1.3391770148526898E-2</v>
      </c>
      <c r="O73" s="1134">
        <f t="shared" si="209"/>
        <v>1.063264221158958E-2</v>
      </c>
      <c r="P73" s="1134">
        <f t="shared" ref="P73:Q76" si="210">K73/SUM(K$73:K$76)*(E$73/E$77-1)</f>
        <v>2.2244466688911134E-2</v>
      </c>
      <c r="Q73" s="1134">
        <f t="shared" si="210"/>
        <v>0</v>
      </c>
      <c r="R73" s="1143"/>
      <c r="S73" s="1144"/>
      <c r="T73" s="1145"/>
      <c r="U73" s="1145"/>
      <c r="V73" s="1145"/>
      <c r="X73" s="1154"/>
      <c r="Y73" s="1154"/>
      <c r="Z73" s="1154"/>
    </row>
    <row r="74" spans="1:26">
      <c r="A74" s="1080" t="s">
        <v>1920</v>
      </c>
      <c r="B74" s="1081">
        <f t="shared" ref="B74:C76" si="211">B75+(B$73-B$77)*I74/SUM(I$73:I$76)</f>
        <v>119.51351351351352</v>
      </c>
      <c r="C74" s="1081">
        <f t="shared" si="211"/>
        <v>120.7878787878788</v>
      </c>
      <c r="D74" s="1081">
        <f t="shared" si="178"/>
        <v>120.7878787878788</v>
      </c>
      <c r="E74" s="1081">
        <f t="shared" ref="E74:F76" si="212">E75+(E$73-E$77)*K74/SUM(K$73:K$76)</f>
        <v>121.5975975975976</v>
      </c>
      <c r="F74" s="1081">
        <f t="shared" si="212"/>
        <v>107</v>
      </c>
      <c r="G74" s="3818">
        <v>2004</v>
      </c>
      <c r="H74" s="1092">
        <v>3</v>
      </c>
      <c r="I74" s="1092">
        <v>0.56000000000000005</v>
      </c>
      <c r="J74" s="1092">
        <v>0.8</v>
      </c>
      <c r="K74" s="3453">
        <v>0.83</v>
      </c>
      <c r="L74" s="1123">
        <v>0.06</v>
      </c>
      <c r="N74" s="1133">
        <f t="shared" si="209"/>
        <v>2.2725428130833527E-2</v>
      </c>
      <c r="O74" s="1134">
        <f t="shared" si="209"/>
        <v>1.7012227538543329E-2</v>
      </c>
      <c r="P74" s="1134">
        <f t="shared" si="210"/>
        <v>3.6925814703592477E-2</v>
      </c>
      <c r="Q74" s="1134">
        <f t="shared" si="210"/>
        <v>2.8846153846153744E-2</v>
      </c>
      <c r="R74" s="1143"/>
      <c r="S74" s="1112"/>
      <c r="T74" s="1113"/>
      <c r="U74" s="1113"/>
      <c r="V74" s="1113"/>
      <c r="X74" s="1154"/>
      <c r="Y74" s="1154"/>
      <c r="Z74" s="1154"/>
    </row>
    <row r="75" spans="1:26">
      <c r="A75" s="1080" t="s">
        <v>1921</v>
      </c>
      <c r="B75" s="1081">
        <f t="shared" si="211"/>
        <v>116.99099099099099</v>
      </c>
      <c r="C75" s="1081">
        <f t="shared" si="211"/>
        <v>118.84848484848486</v>
      </c>
      <c r="D75" s="1081">
        <f t="shared" si="178"/>
        <v>118.84848484848486</v>
      </c>
      <c r="E75" s="1081">
        <f t="shared" si="212"/>
        <v>117.60960960960961</v>
      </c>
      <c r="F75" s="1081">
        <f t="shared" si="212"/>
        <v>104</v>
      </c>
      <c r="G75" s="3818">
        <v>2004</v>
      </c>
      <c r="H75" s="1086">
        <v>2</v>
      </c>
      <c r="I75" s="1086">
        <v>1</v>
      </c>
      <c r="J75" s="1086">
        <v>1.5</v>
      </c>
      <c r="K75" s="3451">
        <v>1.5</v>
      </c>
      <c r="L75" s="1116">
        <v>0</v>
      </c>
      <c r="N75" s="1133">
        <f t="shared" si="209"/>
        <v>4.0581121662202721E-2</v>
      </c>
      <c r="O75" s="1134">
        <f t="shared" si="209"/>
        <v>3.1897926634768738E-2</v>
      </c>
      <c r="P75" s="1134">
        <f t="shared" si="210"/>
        <v>6.6733400066733395E-2</v>
      </c>
      <c r="Q75" s="1134">
        <f t="shared" si="210"/>
        <v>0</v>
      </c>
      <c r="R75" s="1143"/>
      <c r="S75" s="1112"/>
      <c r="T75" s="1113"/>
      <c r="U75" s="1113"/>
      <c r="V75" s="1113"/>
      <c r="X75" s="1154"/>
      <c r="Y75" s="1154"/>
      <c r="Z75" s="1154"/>
    </row>
    <row r="76" spans="1:26" s="1061" customFormat="1">
      <c r="A76" s="1080" t="s">
        <v>1922</v>
      </c>
      <c r="B76" s="1103">
        <f t="shared" si="211"/>
        <v>112.48648648648648</v>
      </c>
      <c r="C76" s="1103">
        <f t="shared" si="211"/>
        <v>115.21212121212122</v>
      </c>
      <c r="D76" s="1103">
        <f t="shared" si="178"/>
        <v>115.21212121212122</v>
      </c>
      <c r="E76" s="1103">
        <f t="shared" si="212"/>
        <v>110.4024024024024</v>
      </c>
      <c r="F76" s="1103">
        <f t="shared" si="212"/>
        <v>104</v>
      </c>
      <c r="G76" s="3819">
        <v>2004</v>
      </c>
      <c r="H76" s="1104">
        <v>1</v>
      </c>
      <c r="I76" s="1104">
        <v>0.33</v>
      </c>
      <c r="J76" s="1104">
        <v>0.5</v>
      </c>
      <c r="K76" s="3455">
        <v>0.5</v>
      </c>
      <c r="L76" s="1129">
        <v>0</v>
      </c>
      <c r="N76" s="1170">
        <f t="shared" si="209"/>
        <v>1.3391770148526898E-2</v>
      </c>
      <c r="O76" s="1171">
        <f t="shared" si="209"/>
        <v>1.063264221158958E-2</v>
      </c>
      <c r="P76" s="1171">
        <f t="shared" si="210"/>
        <v>2.2244466688911134E-2</v>
      </c>
      <c r="Q76" s="1171">
        <f t="shared" si="210"/>
        <v>0</v>
      </c>
      <c r="R76" s="1153"/>
      <c r="S76" s="1130">
        <f>B76/B77-1</f>
        <v>1.3391770148526883E-2</v>
      </c>
      <c r="T76" s="1131">
        <f>C76/C77-1</f>
        <v>1.063264221158966E-2</v>
      </c>
      <c r="U76" s="1131">
        <f>E76/E77-1</f>
        <v>2.2244466688911224E-2</v>
      </c>
      <c r="V76" s="1131">
        <f>F76/F77-1</f>
        <v>0</v>
      </c>
      <c r="X76" s="1178"/>
      <c r="Y76" s="1178"/>
      <c r="Z76" s="1178"/>
    </row>
    <row r="77" spans="1:26">
      <c r="A77" s="1080" t="s">
        <v>1923</v>
      </c>
      <c r="B77" s="1158">
        <v>111</v>
      </c>
      <c r="C77" s="1158">
        <v>114</v>
      </c>
      <c r="D77" s="1158">
        <f t="shared" si="178"/>
        <v>114</v>
      </c>
      <c r="E77" s="1158">
        <v>108</v>
      </c>
      <c r="F77" s="1159">
        <v>104</v>
      </c>
      <c r="G77" s="3817">
        <v>2003</v>
      </c>
      <c r="H77" s="1105">
        <v>4</v>
      </c>
      <c r="I77" s="1172"/>
      <c r="J77" s="1172"/>
      <c r="K77" s="1176"/>
      <c r="L77" s="1172"/>
      <c r="N77" s="1173"/>
      <c r="O77" s="1172"/>
      <c r="P77" s="1172"/>
      <c r="Q77" s="1172"/>
      <c r="S77" s="1173"/>
      <c r="T77" s="1172"/>
      <c r="U77" s="1172"/>
      <c r="V77" s="1172"/>
      <c r="X77" s="1154"/>
      <c r="Y77" s="1154"/>
      <c r="Z77" s="1154"/>
    </row>
    <row r="78" spans="1:26">
      <c r="A78" s="1080" t="s">
        <v>1924</v>
      </c>
      <c r="B78" s="1160">
        <f t="shared" ref="B78:C80" si="213">B79+(B$77-B$81)/4</f>
        <v>109.75</v>
      </c>
      <c r="C78" s="1160">
        <f t="shared" si="213"/>
        <v>112.25</v>
      </c>
      <c r="D78" s="1160">
        <f t="shared" si="178"/>
        <v>112.25</v>
      </c>
      <c r="E78" s="1160">
        <f t="shared" ref="E78:F80" si="214">E79+(E$77-E$81)/4</f>
        <v>107.25</v>
      </c>
      <c r="F78" s="1160">
        <f t="shared" si="214"/>
        <v>103.5</v>
      </c>
      <c r="G78" s="3818">
        <v>2003</v>
      </c>
      <c r="H78" s="1092">
        <v>3</v>
      </c>
      <c r="I78" s="1172"/>
      <c r="J78" s="1172"/>
      <c r="K78" s="1176"/>
      <c r="L78" s="1172"/>
      <c r="X78" s="1154"/>
      <c r="Y78" s="1154"/>
      <c r="Z78" s="1154"/>
    </row>
    <row r="79" spans="1:26">
      <c r="A79" s="1080" t="s">
        <v>1925</v>
      </c>
      <c r="B79" s="1160">
        <f t="shared" si="213"/>
        <v>108.5</v>
      </c>
      <c r="C79" s="1160">
        <f t="shared" si="213"/>
        <v>110.5</v>
      </c>
      <c r="D79" s="1160">
        <f t="shared" si="178"/>
        <v>110.5</v>
      </c>
      <c r="E79" s="1160">
        <f t="shared" si="214"/>
        <v>106.5</v>
      </c>
      <c r="F79" s="1160">
        <f t="shared" si="214"/>
        <v>103</v>
      </c>
      <c r="G79" s="3818">
        <v>2003</v>
      </c>
      <c r="H79" s="1086">
        <v>2</v>
      </c>
      <c r="I79" s="1172"/>
      <c r="J79" s="1172"/>
      <c r="K79" s="1176"/>
      <c r="L79" s="1172"/>
      <c r="X79" s="1154"/>
      <c r="Y79" s="1154"/>
      <c r="Z79" s="1154"/>
    </row>
    <row r="80" spans="1:26">
      <c r="A80" s="1080" t="s">
        <v>1926</v>
      </c>
      <c r="B80" s="1160">
        <f t="shared" si="213"/>
        <v>107.25</v>
      </c>
      <c r="C80" s="1160">
        <f t="shared" si="213"/>
        <v>108.75</v>
      </c>
      <c r="D80" s="1160">
        <f t="shared" si="178"/>
        <v>108.75</v>
      </c>
      <c r="E80" s="1160">
        <f t="shared" si="214"/>
        <v>105.75</v>
      </c>
      <c r="F80" s="1160">
        <f t="shared" si="214"/>
        <v>102.5</v>
      </c>
      <c r="G80" s="3819">
        <v>2003</v>
      </c>
      <c r="H80" s="1161">
        <v>1</v>
      </c>
      <c r="I80" s="1172"/>
      <c r="J80" s="1172"/>
      <c r="K80" s="1176"/>
      <c r="L80" s="1172"/>
      <c r="S80" s="1112"/>
      <c r="T80" s="1113"/>
      <c r="U80" s="1113"/>
      <c r="X80" s="1154"/>
      <c r="Y80" s="1154"/>
      <c r="Z80" s="1154"/>
    </row>
    <row r="81" spans="1:26">
      <c r="A81" s="1080" t="s">
        <v>1927</v>
      </c>
      <c r="B81" s="1162">
        <v>106</v>
      </c>
      <c r="C81" s="1162">
        <v>107</v>
      </c>
      <c r="D81" s="1162">
        <f t="shared" si="178"/>
        <v>107</v>
      </c>
      <c r="E81" s="1162">
        <v>105</v>
      </c>
      <c r="F81" s="1163">
        <v>102</v>
      </c>
      <c r="G81" s="3817">
        <v>2002</v>
      </c>
      <c r="H81" s="1091">
        <v>4</v>
      </c>
      <c r="I81" s="1172"/>
      <c r="J81" s="1172"/>
      <c r="K81" s="1176"/>
      <c r="L81" s="1172"/>
      <c r="N81" s="1173"/>
      <c r="O81" s="1172"/>
      <c r="P81" s="1172"/>
      <c r="Q81" s="1172"/>
      <c r="S81" s="1173"/>
      <c r="T81" s="1172"/>
      <c r="U81" s="1172"/>
      <c r="V81" s="1172"/>
      <c r="X81" s="1154"/>
      <c r="Y81" s="1154"/>
      <c r="Z81" s="1154"/>
    </row>
    <row r="82" spans="1:26">
      <c r="A82" s="1080" t="s">
        <v>1928</v>
      </c>
      <c r="B82" s="1160">
        <f t="shared" ref="B82:C84" si="215">B83+(B$81-B$85)/4</f>
        <v>105</v>
      </c>
      <c r="C82" s="1160">
        <f t="shared" si="215"/>
        <v>106</v>
      </c>
      <c r="D82" s="1160">
        <f t="shared" si="178"/>
        <v>106</v>
      </c>
      <c r="E82" s="1160">
        <f t="shared" ref="E82:F84" si="216">E83+(E$81-E$85)/4</f>
        <v>104.5</v>
      </c>
      <c r="F82" s="1160">
        <f t="shared" si="216"/>
        <v>101.5</v>
      </c>
      <c r="G82" s="3818">
        <v>2002</v>
      </c>
      <c r="H82" s="1092">
        <v>3</v>
      </c>
      <c r="I82" s="1172"/>
      <c r="J82" s="1172"/>
      <c r="K82" s="1176"/>
      <c r="L82" s="1172"/>
      <c r="X82" s="1154"/>
      <c r="Y82" s="1154"/>
      <c r="Z82" s="1154"/>
    </row>
    <row r="83" spans="1:26">
      <c r="A83" s="1080" t="s">
        <v>1929</v>
      </c>
      <c r="B83" s="1160">
        <f t="shared" si="215"/>
        <v>104</v>
      </c>
      <c r="C83" s="1160">
        <f t="shared" si="215"/>
        <v>105</v>
      </c>
      <c r="D83" s="1160">
        <f t="shared" si="178"/>
        <v>105</v>
      </c>
      <c r="E83" s="1160">
        <f t="shared" si="216"/>
        <v>104</v>
      </c>
      <c r="F83" s="1160">
        <f t="shared" si="216"/>
        <v>101</v>
      </c>
      <c r="G83" s="3818">
        <v>2002</v>
      </c>
      <c r="H83" s="1086">
        <v>2</v>
      </c>
      <c r="I83" s="1172"/>
      <c r="J83" s="1172"/>
      <c r="K83" s="1176"/>
      <c r="L83" s="1172"/>
      <c r="X83" s="1154"/>
      <c r="Y83" s="1154"/>
      <c r="Z83" s="1154"/>
    </row>
    <row r="84" spans="1:26" s="1060" customFormat="1">
      <c r="A84" s="1096" t="s">
        <v>1930</v>
      </c>
      <c r="B84" s="1146">
        <f t="shared" si="215"/>
        <v>103</v>
      </c>
      <c r="C84" s="1146">
        <f t="shared" si="215"/>
        <v>104</v>
      </c>
      <c r="D84" s="1146">
        <f t="shared" si="178"/>
        <v>104</v>
      </c>
      <c r="E84" s="1146">
        <f t="shared" si="216"/>
        <v>103.5</v>
      </c>
      <c r="F84" s="1146">
        <f t="shared" si="216"/>
        <v>100.5</v>
      </c>
      <c r="G84" s="3819">
        <v>2002</v>
      </c>
      <c r="H84" s="1164">
        <v>1</v>
      </c>
      <c r="I84" s="1174"/>
      <c r="J84" s="1174"/>
      <c r="K84" s="3457"/>
      <c r="L84" s="1174"/>
      <c r="N84" s="1175"/>
      <c r="S84" s="1175"/>
      <c r="X84" s="1179"/>
      <c r="Y84" s="1179"/>
      <c r="Z84" s="1179"/>
    </row>
    <row r="85" spans="1:26">
      <c r="B85" s="1165">
        <v>102</v>
      </c>
      <c r="C85" s="1166">
        <v>103</v>
      </c>
      <c r="D85" s="1166">
        <f t="shared" si="178"/>
        <v>103</v>
      </c>
      <c r="E85" s="1166">
        <v>103</v>
      </c>
      <c r="F85" s="1167">
        <v>100</v>
      </c>
      <c r="I85" s="1172"/>
      <c r="J85" s="1172"/>
      <c r="K85" s="1176"/>
      <c r="L85" s="1172"/>
      <c r="N85" s="1173"/>
      <c r="O85" s="1172"/>
      <c r="P85" s="1172"/>
      <c r="Q85" s="1172"/>
      <c r="S85" s="1173"/>
      <c r="T85" s="1172"/>
      <c r="U85" s="1172"/>
      <c r="V85" s="1172"/>
      <c r="X85" s="1145"/>
      <c r="Y85" s="1145"/>
      <c r="Z85" s="1145"/>
    </row>
    <row r="87" spans="1:26" s="1062" customFormat="1">
      <c r="A87" s="1168" t="s">
        <v>1931</v>
      </c>
      <c r="G87" s="1169"/>
      <c r="N87" s="1169"/>
      <c r="S87" s="1169"/>
    </row>
    <row r="88" spans="1:26" s="1062" customFormat="1">
      <c r="A88" s="1062" t="s">
        <v>1932</v>
      </c>
      <c r="G88" s="1169"/>
      <c r="N88" s="1169"/>
      <c r="S88" s="1169"/>
    </row>
    <row r="89" spans="1:26" s="1062" customFormat="1">
      <c r="A89" s="1062" t="s">
        <v>1933</v>
      </c>
      <c r="G89" s="1169"/>
      <c r="I89" s="1176"/>
      <c r="J89" s="1176"/>
      <c r="K89" s="1176"/>
      <c r="L89" s="1176"/>
      <c r="N89" s="1177"/>
      <c r="O89" s="1176"/>
      <c r="P89" s="1176"/>
      <c r="Q89" s="1176"/>
      <c r="S89" s="1177"/>
      <c r="T89" s="1176"/>
      <c r="U89" s="1176"/>
      <c r="V89" s="1176"/>
    </row>
    <row r="90" spans="1:26" s="1062" customFormat="1">
      <c r="A90" s="1062" t="s">
        <v>1934</v>
      </c>
      <c r="G90" s="1169"/>
      <c r="N90" s="1169"/>
      <c r="S90" s="1169"/>
    </row>
    <row r="98" spans="7:22">
      <c r="G98" s="1063"/>
      <c r="S98" s="1180" t="s">
        <v>1935</v>
      </c>
      <c r="T98" s="1181" t="s">
        <v>1936</v>
      </c>
      <c r="U98" s="1181" t="s">
        <v>1937</v>
      </c>
      <c r="V98" s="1181" t="s">
        <v>1938</v>
      </c>
    </row>
    <row r="99" spans="7:22">
      <c r="G99" s="1063"/>
      <c r="N99" s="1144"/>
      <c r="O99" s="1145"/>
      <c r="P99" s="1145"/>
      <c r="Q99" s="1145"/>
      <c r="S99" s="1182">
        <v>2006</v>
      </c>
      <c r="T99" s="1183">
        <v>15.1</v>
      </c>
      <c r="U99" s="1183">
        <v>7.43</v>
      </c>
      <c r="V99" s="1183">
        <v>26.26</v>
      </c>
    </row>
    <row r="100" spans="7:22">
      <c r="G100" s="1063"/>
      <c r="N100" s="1144"/>
      <c r="O100" s="1145"/>
      <c r="P100" s="1145"/>
      <c r="Q100" s="1145"/>
      <c r="S100" s="1184">
        <v>2005</v>
      </c>
      <c r="T100" s="1185">
        <v>13.9</v>
      </c>
      <c r="U100" s="1185">
        <v>7.49</v>
      </c>
      <c r="V100" s="1185">
        <v>24.92</v>
      </c>
    </row>
    <row r="101" spans="7:22">
      <c r="G101" s="1063"/>
      <c r="N101" s="1144"/>
      <c r="O101" s="1145"/>
      <c r="P101" s="1145"/>
      <c r="Q101" s="1145"/>
      <c r="S101" s="1182">
        <v>2004</v>
      </c>
      <c r="T101" s="1183">
        <v>9.48</v>
      </c>
      <c r="U101" s="1183">
        <v>7.2</v>
      </c>
      <c r="V101" s="1183">
        <v>14.68</v>
      </c>
    </row>
    <row r="102" spans="7:22">
      <c r="G102" s="1063"/>
      <c r="N102" s="1144"/>
      <c r="O102" s="1145"/>
      <c r="P102" s="1145"/>
      <c r="Q102" s="1145"/>
      <c r="S102" s="1184">
        <v>2003</v>
      </c>
      <c r="T102" s="1185">
        <v>4.5</v>
      </c>
      <c r="U102" s="1185">
        <v>6.12</v>
      </c>
      <c r="V102" s="1185">
        <v>2.34</v>
      </c>
    </row>
    <row r="103" spans="7:22">
      <c r="G103" s="1063"/>
      <c r="N103" s="1144"/>
      <c r="O103" s="1145"/>
      <c r="P103" s="1145"/>
      <c r="Q103" s="1145"/>
      <c r="S103" s="1186">
        <v>2002</v>
      </c>
      <c r="T103" s="1187">
        <v>3.59</v>
      </c>
      <c r="U103" s="1187">
        <v>4.54</v>
      </c>
      <c r="V103" s="1187">
        <v>2.5499999999999998</v>
      </c>
    </row>
    <row r="104" spans="7:22">
      <c r="G104" s="1063"/>
      <c r="N104" s="1144"/>
      <c r="O104" s="1145"/>
      <c r="P104" s="1145"/>
      <c r="Q104" s="1145"/>
    </row>
    <row r="105" spans="7:22">
      <c r="G105" s="1063"/>
      <c r="N105" s="1144"/>
      <c r="O105" s="1145"/>
      <c r="P105" s="1145"/>
      <c r="Q105" s="1145"/>
    </row>
    <row r="106" spans="7:22">
      <c r="G106" s="1063"/>
      <c r="N106" s="1144"/>
      <c r="O106" s="1145"/>
      <c r="P106" s="1145"/>
      <c r="Q106" s="1145"/>
    </row>
    <row r="107" spans="7:22">
      <c r="G107" s="1063"/>
      <c r="N107" s="1144"/>
      <c r="O107" s="1145"/>
      <c r="P107" s="1145"/>
      <c r="Q107" s="1145"/>
    </row>
    <row r="108" spans="7:22">
      <c r="G108" s="1063"/>
      <c r="N108" s="1144"/>
      <c r="O108" s="1145"/>
      <c r="P108" s="1145"/>
      <c r="Q108" s="1145"/>
    </row>
    <row r="109" spans="7:22">
      <c r="G109" s="1063"/>
      <c r="N109" s="1144"/>
      <c r="O109" s="1145"/>
      <c r="P109" s="1145"/>
      <c r="Q109" s="1145"/>
    </row>
    <row r="110" spans="7:22">
      <c r="G110" s="1063"/>
      <c r="N110" s="1144"/>
      <c r="O110" s="1145"/>
      <c r="P110" s="1145"/>
      <c r="Q110" s="1145"/>
    </row>
    <row r="111" spans="7:22">
      <c r="G111" s="1063"/>
      <c r="N111" s="1144"/>
      <c r="O111" s="1145"/>
      <c r="P111" s="1145"/>
      <c r="Q111" s="1145"/>
    </row>
    <row r="112" spans="7:22">
      <c r="G112" s="1063"/>
      <c r="N112" s="1144"/>
      <c r="O112" s="1145"/>
      <c r="P112" s="1145"/>
      <c r="Q112" s="1145"/>
    </row>
    <row r="113" spans="7:19">
      <c r="G113" s="1063"/>
      <c r="N113" s="1144"/>
      <c r="O113" s="1145"/>
      <c r="P113" s="1145"/>
      <c r="Q113" s="1145"/>
    </row>
    <row r="114" spans="7:19">
      <c r="G114" s="1063"/>
      <c r="N114" s="1144"/>
      <c r="O114" s="1145"/>
      <c r="P114" s="1145"/>
      <c r="Q114" s="1145"/>
      <c r="S114" s="1063"/>
    </row>
    <row r="115" spans="7:19">
      <c r="G115" s="1063"/>
      <c r="N115" s="1144"/>
      <c r="O115" s="1145"/>
      <c r="P115" s="1145"/>
      <c r="Q115" s="1145"/>
      <c r="S115" s="1063"/>
    </row>
    <row r="116" spans="7:19">
      <c r="G116" s="1063"/>
      <c r="N116" s="1144"/>
      <c r="O116" s="1145"/>
      <c r="P116" s="1145"/>
      <c r="Q116" s="1145"/>
      <c r="S116" s="1063"/>
    </row>
    <row r="117" spans="7:19">
      <c r="G117" s="1063"/>
      <c r="N117" s="1144"/>
      <c r="O117" s="1145"/>
      <c r="P117" s="1145"/>
      <c r="Q117" s="1145"/>
      <c r="S117" s="1063"/>
    </row>
    <row r="118" spans="7:19">
      <c r="G118" s="1063"/>
      <c r="N118" s="1144"/>
      <c r="O118" s="1145"/>
      <c r="P118" s="1145"/>
      <c r="Q118" s="1145"/>
      <c r="S118" s="1063"/>
    </row>
    <row r="119" spans="7:19">
      <c r="G119" s="1063"/>
      <c r="N119" s="1144"/>
      <c r="O119" s="1145"/>
      <c r="P119" s="1145"/>
      <c r="Q119" s="1145"/>
      <c r="S119" s="1063"/>
    </row>
  </sheetData>
  <sheetProtection sheet="1" objects="1" scenarios="1" formatCells="0" formatColumns="0" formatRow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31" type="noConversion"/>
  <pageMargins left="0.7" right="0.7" top="0.75" bottom="0.75" header="0.3" footer="0.3"/>
  <pageSetup paperSize="9" scale="75" orientation="landscape"/>
  <rowBreaks count="1" manualBreakCount="1">
    <brk id="60"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workbookViewId="0">
      <selection activeCell="K33" sqref="K33"/>
    </sheetView>
  </sheetViews>
  <sheetFormatPr defaultColWidth="8.875" defaultRowHeight="13.5"/>
  <cols>
    <col min="1" max="1" width="22.75" style="1041" customWidth="1"/>
    <col min="2" max="2" width="12.5" style="1041" customWidth="1"/>
    <col min="3" max="3" width="12.125" style="1041" customWidth="1"/>
    <col min="4" max="4" width="16.625" style="1041" customWidth="1"/>
    <col min="5" max="5" width="12.5" style="1041" customWidth="1"/>
    <col min="6" max="6" width="12.75" style="1041" customWidth="1"/>
    <col min="7" max="16384" width="8.875" style="1041"/>
  </cols>
  <sheetData>
    <row r="1" spans="1:14" ht="20.25">
      <c r="A1" s="1042" t="s">
        <v>324</v>
      </c>
      <c r="B1" s="1043"/>
      <c r="C1" s="1043"/>
      <c r="D1" s="1043"/>
      <c r="E1" s="1043"/>
      <c r="F1" s="1043"/>
      <c r="G1" s="1044"/>
      <c r="H1" s="1044"/>
      <c r="I1" s="1044"/>
      <c r="J1" s="1044"/>
      <c r="K1" s="1044"/>
      <c r="L1" s="1044"/>
      <c r="M1" s="1044"/>
      <c r="N1" s="1044"/>
    </row>
    <row r="2" spans="1:14" ht="14.25">
      <c r="A2" s="1045" t="s">
        <v>1140</v>
      </c>
      <c r="B2" s="1046">
        <f ca="1">SUMIF(B7:B14,"&lt;&gt;#ref!",B7:B14)</f>
        <v>0</v>
      </c>
      <c r="C2" s="1045" t="s">
        <v>1010</v>
      </c>
      <c r="D2" s="1047"/>
      <c r="E2" s="1047"/>
      <c r="F2" s="1047"/>
      <c r="G2" s="1044"/>
      <c r="H2" s="1044"/>
      <c r="I2" s="1044"/>
      <c r="J2" s="1044"/>
      <c r="K2" s="1044"/>
      <c r="L2" s="1044"/>
      <c r="M2" s="1044"/>
      <c r="N2" s="1044"/>
    </row>
    <row r="3" spans="1:14" ht="14.25">
      <c r="A3" s="1045" t="s">
        <v>894</v>
      </c>
      <c r="B3" s="1046" t="e">
        <f ca="1">ROUND(B2*10000/E3,0)</f>
        <v>#DIV/0!</v>
      </c>
      <c r="C3" s="1045" t="s">
        <v>1142</v>
      </c>
      <c r="D3" s="1045" t="s">
        <v>1939</v>
      </c>
      <c r="E3" s="1048">
        <f ca="1">SUMIF(E7:E14,"&lt;&gt;#ref!",E7:E14)</f>
        <v>0</v>
      </c>
      <c r="F3" s="1047"/>
      <c r="G3" s="1044"/>
      <c r="H3" s="1044"/>
      <c r="I3" s="1044"/>
      <c r="J3" s="1044"/>
      <c r="K3" s="1044"/>
      <c r="L3" s="1044"/>
      <c r="M3" s="1044"/>
      <c r="N3" s="1044"/>
    </row>
    <row r="4" spans="1:14" ht="14.25">
      <c r="A4" s="1045" t="s">
        <v>1148</v>
      </c>
      <c r="B4" s="1046" t="e">
        <f ca="1">ROUND(B2*10000/E4,0)</f>
        <v>#DIV/0!</v>
      </c>
      <c r="C4" s="1045" t="s">
        <v>1142</v>
      </c>
      <c r="D4" s="1045" t="s">
        <v>1940</v>
      </c>
      <c r="E4" s="1048">
        <f ca="1">SUMIF(F7:F14,"&lt;&gt;#ref!",F7:F14)</f>
        <v>0</v>
      </c>
      <c r="F4" s="1047"/>
      <c r="G4" s="1044"/>
      <c r="H4" s="1044"/>
      <c r="I4" s="1044"/>
      <c r="J4" s="1044"/>
      <c r="K4" s="1044"/>
      <c r="L4" s="1044"/>
      <c r="M4" s="1044"/>
      <c r="N4" s="1044"/>
    </row>
    <row r="5" spans="1:14" ht="14.25">
      <c r="A5" s="1049"/>
      <c r="B5" s="1047"/>
      <c r="C5" s="1047"/>
      <c r="D5" s="1047"/>
      <c r="E5" s="1047"/>
      <c r="F5" s="1047"/>
      <c r="G5" s="1044"/>
      <c r="H5" s="1044"/>
      <c r="I5" s="1044"/>
      <c r="J5" s="1044"/>
      <c r="K5" s="1044"/>
      <c r="L5" s="1044"/>
      <c r="M5" s="1044"/>
      <c r="N5" s="1044"/>
    </row>
    <row r="6" spans="1:14" ht="28.5">
      <c r="A6" s="1050" t="s">
        <v>1941</v>
      </c>
      <c r="B6" s="1045" t="s">
        <v>1942</v>
      </c>
      <c r="C6" s="1051"/>
      <c r="D6" s="1047"/>
      <c r="E6" s="1045" t="s">
        <v>380</v>
      </c>
      <c r="F6" s="1045" t="s">
        <v>383</v>
      </c>
      <c r="G6" s="1044"/>
      <c r="H6" s="1044"/>
      <c r="I6" s="1044"/>
      <c r="J6" s="1044"/>
      <c r="K6" s="1044"/>
      <c r="L6" s="1044"/>
      <c r="M6" s="1044"/>
      <c r="N6" s="1044"/>
    </row>
    <row r="7" spans="1:14" ht="14.25">
      <c r="A7" s="1052"/>
      <c r="B7" s="1046" t="e">
        <f ca="1">SUMIF(INDIRECT("'"&amp;A7&amp;"'"&amp;"!A:A"),"总价",INDIRECT("'"&amp;A7&amp;"'"&amp;"!B:B"))</f>
        <v>#REF!</v>
      </c>
      <c r="C7" s="1045" t="s">
        <v>1010</v>
      </c>
      <c r="D7" s="1047"/>
      <c r="E7" s="1048" t="e">
        <f ca="1">SUMIF(INDIRECT("'"&amp;A7&amp;"'"&amp;"!C:C"),"建筑面积",INDIRECT("'"&amp;A7&amp;"'"&amp;"!D:D"))</f>
        <v>#REF!</v>
      </c>
      <c r="F7" s="1048" t="e">
        <f ca="1">SUMIF(INDIRECT("'"&amp;A7&amp;"'"&amp;"!E:E"),"土地面积",INDIRECT("'"&amp;A7&amp;"'"&amp;"!F:F"))</f>
        <v>#REF!</v>
      </c>
      <c r="G7" s="1044"/>
      <c r="H7" s="1044"/>
      <c r="I7" s="1044"/>
      <c r="J7" s="1044"/>
      <c r="K7" s="1044"/>
      <c r="L7" s="1044"/>
      <c r="M7" s="1044"/>
      <c r="N7" s="1044"/>
    </row>
    <row r="8" spans="1:14" ht="14.25">
      <c r="A8" s="1052"/>
      <c r="B8" s="1046" t="e">
        <f t="shared" ref="B8:B14" ca="1" si="0">SUMIF(INDIRECT("'"&amp;A8&amp;"'"&amp;"!A:A"),"总价",INDIRECT("'"&amp;A8&amp;"'"&amp;"!B:B"))</f>
        <v>#REF!</v>
      </c>
      <c r="C8" s="1045" t="s">
        <v>1010</v>
      </c>
      <c r="D8" s="1047"/>
      <c r="E8" s="1048" t="e">
        <f t="shared" ref="E8:E14" ca="1" si="1">SUMIF(INDIRECT("'"&amp;A8&amp;"'"&amp;"!C:C"),"建筑面积",INDIRECT("'"&amp;A8&amp;"'"&amp;"!D:D"))</f>
        <v>#REF!</v>
      </c>
      <c r="F8" s="1048" t="e">
        <f t="shared" ref="F8:F14" ca="1" si="2">SUMIF(INDIRECT("'"&amp;A8&amp;"'"&amp;"!E:E"),"土地面积",INDIRECT("'"&amp;A8&amp;"'"&amp;"!F:F"))</f>
        <v>#REF!</v>
      </c>
      <c r="G8" s="1044"/>
      <c r="H8" s="1044"/>
      <c r="I8" s="1044"/>
      <c r="J8" s="1044"/>
      <c r="K8" s="1044"/>
      <c r="L8" s="1044"/>
      <c r="M8" s="1044"/>
      <c r="N8" s="1044"/>
    </row>
    <row r="9" spans="1:14" ht="14.25">
      <c r="A9" s="1052"/>
      <c r="B9" s="1046" t="e">
        <f t="shared" ca="1" si="0"/>
        <v>#REF!</v>
      </c>
      <c r="C9" s="1045" t="s">
        <v>1010</v>
      </c>
      <c r="D9" s="1047"/>
      <c r="E9" s="1048" t="e">
        <f t="shared" ca="1" si="1"/>
        <v>#REF!</v>
      </c>
      <c r="F9" s="1048" t="e">
        <f t="shared" ca="1" si="2"/>
        <v>#REF!</v>
      </c>
      <c r="G9" s="1044"/>
      <c r="H9" s="1044"/>
      <c r="I9" s="1044"/>
      <c r="J9" s="1044"/>
      <c r="K9" s="1044"/>
      <c r="L9" s="1044"/>
      <c r="M9" s="1044"/>
      <c r="N9" s="1044"/>
    </row>
    <row r="10" spans="1:14" ht="14.25">
      <c r="A10" s="1052"/>
      <c r="B10" s="1046" t="e">
        <f t="shared" ca="1" si="0"/>
        <v>#REF!</v>
      </c>
      <c r="C10" s="1045" t="s">
        <v>1010</v>
      </c>
      <c r="D10" s="1047"/>
      <c r="E10" s="1048" t="e">
        <f t="shared" ca="1" si="1"/>
        <v>#REF!</v>
      </c>
      <c r="F10" s="1048" t="e">
        <f t="shared" ca="1" si="2"/>
        <v>#REF!</v>
      </c>
      <c r="G10" s="1044"/>
      <c r="H10" s="1044"/>
      <c r="I10" s="1044"/>
      <c r="J10" s="1044"/>
      <c r="K10" s="1044"/>
      <c r="L10" s="1044"/>
      <c r="M10" s="1044"/>
      <c r="N10" s="1044"/>
    </row>
    <row r="11" spans="1:14" ht="14.25">
      <c r="A11" s="1052"/>
      <c r="B11" s="1046" t="e">
        <f t="shared" ca="1" si="0"/>
        <v>#REF!</v>
      </c>
      <c r="C11" s="1045" t="s">
        <v>1010</v>
      </c>
      <c r="D11" s="1047"/>
      <c r="E11" s="1048" t="e">
        <f t="shared" ca="1" si="1"/>
        <v>#REF!</v>
      </c>
      <c r="F11" s="1048" t="e">
        <f t="shared" ca="1" si="2"/>
        <v>#REF!</v>
      </c>
      <c r="G11" s="1044"/>
      <c r="H11" s="1044"/>
      <c r="I11" s="1044"/>
      <c r="J11" s="1044"/>
      <c r="K11" s="1044"/>
      <c r="L11" s="1044"/>
      <c r="M11" s="1044"/>
      <c r="N11" s="1044"/>
    </row>
    <row r="12" spans="1:14" ht="14.25">
      <c r="A12" s="1052"/>
      <c r="B12" s="1046" t="e">
        <f t="shared" ca="1" si="0"/>
        <v>#REF!</v>
      </c>
      <c r="C12" s="1045" t="s">
        <v>1010</v>
      </c>
      <c r="D12" s="1047"/>
      <c r="E12" s="1048" t="e">
        <f t="shared" ca="1" si="1"/>
        <v>#REF!</v>
      </c>
      <c r="F12" s="1048" t="e">
        <f t="shared" ca="1" si="2"/>
        <v>#REF!</v>
      </c>
      <c r="G12" s="1044"/>
      <c r="H12" s="1044"/>
      <c r="I12" s="1044"/>
      <c r="J12" s="1044"/>
      <c r="K12" s="1044"/>
      <c r="L12" s="1044"/>
      <c r="M12" s="1044"/>
      <c r="N12" s="1044"/>
    </row>
    <row r="13" spans="1:14" ht="14.25">
      <c r="A13" s="1052"/>
      <c r="B13" s="1046" t="e">
        <f t="shared" ca="1" si="0"/>
        <v>#REF!</v>
      </c>
      <c r="C13" s="1045" t="s">
        <v>1010</v>
      </c>
      <c r="D13" s="1047"/>
      <c r="E13" s="1048" t="e">
        <f t="shared" ca="1" si="1"/>
        <v>#REF!</v>
      </c>
      <c r="F13" s="1048" t="e">
        <f t="shared" ca="1" si="2"/>
        <v>#REF!</v>
      </c>
      <c r="G13" s="1044"/>
      <c r="H13" s="1044"/>
      <c r="I13" s="1044"/>
      <c r="J13" s="1044"/>
      <c r="K13" s="1044"/>
      <c r="L13" s="1044"/>
      <c r="M13" s="1044"/>
      <c r="N13" s="1044"/>
    </row>
    <row r="14" spans="1:14" ht="14.25">
      <c r="A14" s="1053"/>
      <c r="B14" s="1046" t="e">
        <f t="shared" ca="1" si="0"/>
        <v>#REF!</v>
      </c>
      <c r="C14" s="1045" t="s">
        <v>1010</v>
      </c>
      <c r="D14" s="1047"/>
      <c r="E14" s="1048" t="e">
        <f t="shared" ca="1" si="1"/>
        <v>#REF!</v>
      </c>
      <c r="F14" s="1048" t="e">
        <f t="shared" ca="1" si="2"/>
        <v>#REF!</v>
      </c>
      <c r="G14" s="1044"/>
      <c r="H14" s="1044"/>
      <c r="I14" s="1044"/>
      <c r="J14" s="1044"/>
      <c r="K14" s="1044"/>
      <c r="L14" s="1044"/>
      <c r="M14" s="1044"/>
      <c r="N14" s="1044"/>
    </row>
    <row r="15" spans="1:14">
      <c r="A15" s="1044"/>
      <c r="B15" s="1044"/>
      <c r="C15" s="1044"/>
      <c r="D15" s="1044"/>
      <c r="E15" s="1044"/>
      <c r="F15" s="1044"/>
      <c r="G15" s="1044"/>
      <c r="H15" s="1044"/>
      <c r="I15" s="1044"/>
      <c r="J15" s="1044"/>
      <c r="K15" s="1044"/>
      <c r="L15" s="1044"/>
      <c r="M15" s="1044"/>
      <c r="N15" s="1044"/>
    </row>
    <row r="16" spans="1:14">
      <c r="A16" s="1044"/>
      <c r="B16" s="1044"/>
      <c r="C16" s="1044"/>
      <c r="D16" s="1044"/>
      <c r="E16" s="1044"/>
      <c r="F16" s="1044"/>
      <c r="G16" s="1044"/>
      <c r="H16" s="1044"/>
      <c r="I16" s="1044"/>
      <c r="J16" s="1044"/>
      <c r="K16" s="1044"/>
      <c r="L16" s="1044"/>
      <c r="M16" s="1044"/>
      <c r="N16" s="1044"/>
    </row>
    <row r="17" spans="1:14">
      <c r="A17" s="1044"/>
      <c r="B17" s="1044"/>
      <c r="C17" s="1044"/>
      <c r="D17" s="1044"/>
      <c r="E17" s="1044"/>
      <c r="F17" s="1044"/>
      <c r="G17" s="1044"/>
      <c r="H17" s="1044"/>
      <c r="I17" s="1044"/>
      <c r="J17" s="1044"/>
      <c r="K17" s="1044"/>
      <c r="L17" s="1044"/>
      <c r="M17" s="1044"/>
      <c r="N17" s="1044"/>
    </row>
    <row r="18" spans="1:14">
      <c r="A18" s="1044"/>
      <c r="B18" s="1044"/>
      <c r="C18" s="1044"/>
      <c r="D18" s="1044"/>
      <c r="E18" s="1044"/>
      <c r="F18" s="1044"/>
      <c r="G18" s="1044"/>
      <c r="H18" s="1044"/>
      <c r="I18" s="1044"/>
      <c r="J18" s="1044"/>
      <c r="K18" s="1044"/>
      <c r="L18" s="1044"/>
      <c r="M18" s="1044"/>
      <c r="N18" s="1044"/>
    </row>
    <row r="19" spans="1:14">
      <c r="A19" s="1044"/>
      <c r="B19" s="1044"/>
      <c r="C19" s="1044"/>
      <c r="D19" s="1044"/>
      <c r="E19" s="1044"/>
      <c r="F19" s="1044"/>
      <c r="G19" s="1044"/>
      <c r="H19" s="1044"/>
      <c r="I19" s="1044"/>
      <c r="J19" s="1044"/>
      <c r="K19" s="1044"/>
      <c r="L19" s="1044"/>
      <c r="M19" s="1044"/>
      <c r="N19" s="1044"/>
    </row>
    <row r="20" spans="1:14">
      <c r="A20" s="1044"/>
      <c r="B20" s="1044"/>
      <c r="C20" s="1044"/>
      <c r="D20" s="1044"/>
      <c r="E20" s="1044"/>
      <c r="F20" s="1044"/>
      <c r="G20" s="1044"/>
      <c r="H20" s="1044"/>
      <c r="I20" s="1044"/>
      <c r="J20" s="1044"/>
      <c r="K20" s="1044"/>
      <c r="L20" s="1044"/>
      <c r="M20" s="1044"/>
      <c r="N20" s="1044"/>
    </row>
    <row r="21" spans="1:14">
      <c r="A21" s="1044"/>
      <c r="B21" s="1044"/>
      <c r="C21" s="1044"/>
      <c r="D21" s="1044"/>
      <c r="E21" s="1044"/>
      <c r="F21" s="1044"/>
      <c r="G21" s="1044"/>
      <c r="H21" s="1044"/>
      <c r="I21" s="1044"/>
      <c r="J21" s="1044"/>
      <c r="K21" s="1044"/>
      <c r="L21" s="1044"/>
      <c r="M21" s="1044"/>
      <c r="N21" s="1044"/>
    </row>
    <row r="22" spans="1:14">
      <c r="A22" s="1044"/>
      <c r="B22" s="1044"/>
      <c r="C22" s="1044"/>
      <c r="D22" s="1044"/>
      <c r="E22" s="1044"/>
      <c r="F22" s="1044"/>
      <c r="G22" s="1044"/>
      <c r="H22" s="1044"/>
      <c r="I22" s="1044"/>
      <c r="J22" s="1044"/>
      <c r="K22" s="1044"/>
      <c r="L22" s="1044"/>
      <c r="M22" s="1044"/>
      <c r="N22" s="1044"/>
    </row>
    <row r="23" spans="1:14">
      <c r="A23" s="1044"/>
      <c r="B23" s="1044"/>
      <c r="C23" s="1044"/>
      <c r="D23" s="1044"/>
      <c r="E23" s="1044"/>
      <c r="F23" s="1044"/>
      <c r="G23" s="1044"/>
      <c r="H23" s="1044"/>
      <c r="I23" s="1044"/>
      <c r="J23" s="1044"/>
      <c r="K23" s="1044"/>
      <c r="L23" s="1044"/>
      <c r="M23" s="1044"/>
      <c r="N23" s="1044"/>
    </row>
    <row r="24" spans="1:14">
      <c r="A24" s="1044"/>
      <c r="B24" s="1044"/>
      <c r="C24" s="1044"/>
      <c r="D24" s="1044"/>
      <c r="E24" s="1044"/>
      <c r="F24" s="1044"/>
      <c r="G24" s="1044"/>
      <c r="H24" s="1044"/>
      <c r="I24" s="1044"/>
      <c r="J24" s="1044"/>
      <c r="K24" s="1044"/>
      <c r="L24" s="1044"/>
      <c r="M24" s="1044"/>
      <c r="N24" s="1044"/>
    </row>
    <row r="25" spans="1:14">
      <c r="A25" s="1044"/>
      <c r="B25" s="1044"/>
      <c r="C25" s="1044"/>
      <c r="D25" s="1044"/>
      <c r="E25" s="1044"/>
      <c r="F25" s="1044"/>
      <c r="G25" s="1044"/>
      <c r="H25" s="1044"/>
      <c r="I25" s="1044"/>
      <c r="J25" s="1044"/>
      <c r="K25" s="1044"/>
      <c r="L25" s="1044"/>
      <c r="M25" s="1044"/>
      <c r="N25" s="1044"/>
    </row>
    <row r="26" spans="1:14">
      <c r="A26" s="1044"/>
      <c r="B26" s="1044"/>
      <c r="C26" s="1044"/>
      <c r="D26" s="1044"/>
      <c r="E26" s="1044"/>
      <c r="F26" s="1044"/>
      <c r="G26" s="1044"/>
      <c r="H26" s="1044"/>
      <c r="I26" s="1044"/>
      <c r="J26" s="1044"/>
      <c r="K26" s="1044"/>
      <c r="L26" s="1044"/>
      <c r="M26" s="1044"/>
      <c r="N26" s="1044"/>
    </row>
    <row r="27" spans="1:14">
      <c r="A27" s="1044"/>
      <c r="B27" s="1044"/>
      <c r="C27" s="1044"/>
      <c r="D27" s="1044"/>
      <c r="E27" s="1044"/>
      <c r="F27" s="1044"/>
      <c r="G27" s="1044"/>
      <c r="H27" s="1044"/>
      <c r="I27" s="1044"/>
      <c r="J27" s="1044"/>
      <c r="K27" s="1044"/>
      <c r="L27" s="1044"/>
      <c r="M27" s="1044"/>
      <c r="N27" s="1044"/>
    </row>
    <row r="28" spans="1:14">
      <c r="A28" s="1044"/>
      <c r="B28" s="1044"/>
      <c r="C28" s="1044"/>
      <c r="D28" s="1044"/>
      <c r="E28" s="1044"/>
      <c r="F28" s="1044"/>
      <c r="G28" s="1044"/>
      <c r="H28" s="1044"/>
      <c r="I28" s="1044"/>
      <c r="J28" s="1044"/>
      <c r="K28" s="1044"/>
      <c r="L28" s="1044"/>
      <c r="M28" s="1044"/>
      <c r="N28" s="1044"/>
    </row>
    <row r="29" spans="1:14">
      <c r="A29" s="1044"/>
      <c r="B29" s="1044"/>
      <c r="C29" s="1044"/>
      <c r="D29" s="1044"/>
      <c r="E29" s="1044"/>
      <c r="F29" s="1044"/>
      <c r="G29" s="1044"/>
      <c r="H29" s="1044"/>
      <c r="I29" s="1044"/>
      <c r="J29" s="1044"/>
      <c r="K29" s="1044"/>
      <c r="L29" s="1044"/>
      <c r="M29" s="1044"/>
      <c r="N29" s="1044"/>
    </row>
  </sheetData>
  <sheetProtection password="CEE9" sheet="1" objects="1" scenarios="1" formatCells="0" formatColumns="0" formatRows="0"/>
  <phoneticPr fontId="231"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978"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8.375" style="615" customWidth="1"/>
    <col min="16" max="16" width="30.25" style="615" customWidth="1"/>
    <col min="17" max="17" width="13.75" style="615" customWidth="1"/>
    <col min="18" max="18" width="22.25" style="615" customWidth="1"/>
    <col min="19" max="19" width="1.5" style="615" customWidth="1"/>
    <col min="20" max="25" width="9" style="615"/>
    <col min="26" max="16384" width="9" style="713"/>
  </cols>
  <sheetData>
    <row r="1" spans="1:25" s="711" customFormat="1" ht="21">
      <c r="A1" s="979" t="s">
        <v>1943</v>
      </c>
      <c r="B1" s="718"/>
      <c r="C1" s="719"/>
      <c r="D1" s="724"/>
      <c r="E1" s="721" t="s">
        <v>572</v>
      </c>
      <c r="F1" s="722">
        <f ca="1">J54</f>
        <v>-1.5</v>
      </c>
      <c r="G1" s="980">
        <f>MATCH(C1,'数据-取费表'!A6:A16,0)+5</f>
        <v>7</v>
      </c>
      <c r="H1" s="981"/>
      <c r="I1" s="865"/>
      <c r="J1" s="865"/>
      <c r="K1" s="866"/>
      <c r="L1" s="865"/>
      <c r="M1" s="865"/>
      <c r="N1" s="867"/>
      <c r="O1" s="867"/>
      <c r="P1" s="867"/>
      <c r="Q1" s="867"/>
      <c r="R1" s="867"/>
      <c r="S1" s="867"/>
      <c r="T1" s="867"/>
      <c r="U1" s="867"/>
      <c r="V1" s="867"/>
      <c r="W1" s="867"/>
      <c r="X1" s="867"/>
      <c r="Y1" s="867"/>
    </row>
    <row r="2" spans="1:25" ht="18" customHeight="1">
      <c r="A2" s="982" t="s">
        <v>893</v>
      </c>
      <c r="B2" s="119">
        <f ca="1">IF(ISERROR(C45+J31),0,C45+J31)</f>
        <v>0</v>
      </c>
      <c r="C2" s="983"/>
      <c r="D2" s="984"/>
      <c r="E2" s="985"/>
      <c r="F2" s="985"/>
      <c r="G2" s="986"/>
      <c r="H2" s="869"/>
      <c r="I2" s="729"/>
      <c r="J2" s="729"/>
      <c r="K2" s="868"/>
      <c r="L2" s="729"/>
      <c r="M2" s="729"/>
    </row>
    <row r="3" spans="1:25" ht="18" customHeight="1">
      <c r="A3" s="987" t="s">
        <v>894</v>
      </c>
      <c r="B3" s="988">
        <f ca="1">ROUND(B2*10000/'数据-汇总表'!E3,0)</f>
        <v>0</v>
      </c>
      <c r="C3" s="983"/>
      <c r="D3" s="984"/>
      <c r="E3" s="985"/>
      <c r="F3" s="985"/>
      <c r="G3" s="986"/>
      <c r="H3" s="732" t="s">
        <v>1944</v>
      </c>
      <c r="I3" s="729"/>
      <c r="J3" s="729"/>
      <c r="K3" s="868"/>
      <c r="L3" s="729"/>
      <c r="M3" s="729"/>
    </row>
    <row r="4" spans="1:25" ht="18" customHeight="1">
      <c r="A4" s="989" t="s">
        <v>978</v>
      </c>
      <c r="B4" s="990">
        <f ca="1">ROUND(B2*10000/'数据-汇总表'!D3,0)</f>
        <v>0</v>
      </c>
      <c r="C4" s="991"/>
      <c r="D4" s="984"/>
      <c r="E4" s="985"/>
      <c r="F4" s="985"/>
      <c r="G4" s="986"/>
      <c r="H4" s="732"/>
      <c r="I4" s="729"/>
      <c r="J4" s="729"/>
      <c r="K4" s="868"/>
      <c r="L4" s="729"/>
      <c r="M4" s="729"/>
    </row>
    <row r="5" spans="1:25" ht="18" customHeight="1">
      <c r="A5" s="992"/>
      <c r="B5" s="634">
        <f ca="1">ROUND(B2/('数据-汇总表'!D3/666.67),0)</f>
        <v>0</v>
      </c>
      <c r="C5" s="635" t="s">
        <v>896</v>
      </c>
      <c r="D5" s="984"/>
      <c r="E5" s="985"/>
      <c r="F5" s="985"/>
      <c r="G5" s="986"/>
      <c r="H5" s="732"/>
      <c r="I5" s="729"/>
      <c r="J5" s="729"/>
      <c r="K5" s="868"/>
      <c r="L5" s="729"/>
      <c r="M5" s="729"/>
    </row>
    <row r="6" spans="1:25" ht="18" customHeight="1">
      <c r="A6" s="993" t="s">
        <v>1945</v>
      </c>
      <c r="B6" s="994" t="s">
        <v>1946</v>
      </c>
      <c r="C6" s="994" t="s">
        <v>1947</v>
      </c>
      <c r="D6" s="994" t="s">
        <v>1948</v>
      </c>
      <c r="E6" s="735" t="s">
        <v>1949</v>
      </c>
      <c r="F6" s="736"/>
      <c r="G6" s="923"/>
      <c r="H6" s="993" t="s">
        <v>1945</v>
      </c>
      <c r="I6" s="994" t="s">
        <v>1946</v>
      </c>
      <c r="J6" s="994" t="s">
        <v>1947</v>
      </c>
      <c r="K6" s="994" t="s">
        <v>1948</v>
      </c>
      <c r="L6" s="735" t="s">
        <v>1949</v>
      </c>
      <c r="M6" s="736"/>
    </row>
    <row r="7" spans="1:25" ht="18" customHeight="1">
      <c r="A7" s="738">
        <v>1</v>
      </c>
      <c r="B7" s="739" t="s">
        <v>1950</v>
      </c>
      <c r="C7" s="121">
        <f ca="1">C8+C12+C14</f>
        <v>0</v>
      </c>
      <c r="D7" s="741" t="s">
        <v>1951</v>
      </c>
      <c r="E7" s="742"/>
      <c r="F7" s="743"/>
      <c r="G7" s="923"/>
      <c r="H7" s="738">
        <v>1</v>
      </c>
      <c r="I7" s="739" t="s">
        <v>1950</v>
      </c>
      <c r="J7" s="121">
        <f ca="1">J8+J12+J14</f>
        <v>0</v>
      </c>
      <c r="K7" s="741" t="s">
        <v>1951</v>
      </c>
      <c r="L7" s="742"/>
      <c r="M7" s="743"/>
    </row>
    <row r="8" spans="1:25" ht="18" customHeight="1">
      <c r="A8" s="744" t="s">
        <v>829</v>
      </c>
      <c r="B8" s="3830" t="s">
        <v>1952</v>
      </c>
      <c r="C8" s="995">
        <f ca="1">ROUND(F8*F10*F9*(1-F11)/10000,0)</f>
        <v>0</v>
      </c>
      <c r="D8" s="996" t="s">
        <v>1953</v>
      </c>
      <c r="E8" s="997" t="s">
        <v>1954</v>
      </c>
      <c r="F8" s="748">
        <f ca="1">INDIRECT("'数据-取费表'!u"&amp;$G$1)</f>
        <v>0</v>
      </c>
      <c r="G8" s="923"/>
      <c r="H8" s="749" t="s">
        <v>829</v>
      </c>
      <c r="I8" s="3830" t="s">
        <v>1952</v>
      </c>
      <c r="J8" s="745">
        <f ca="1">ROUND(M8*M10*M9*(1-M11)/10000,0)</f>
        <v>0</v>
      </c>
      <c r="K8" s="819" t="s">
        <v>1953</v>
      </c>
      <c r="L8" s="747" t="s">
        <v>1954</v>
      </c>
      <c r="M8" s="748">
        <f ca="1">INDIRECT("'数据-取费表'!z"&amp;$G$1)</f>
        <v>0</v>
      </c>
    </row>
    <row r="9" spans="1:25" ht="18" customHeight="1">
      <c r="A9" s="750"/>
      <c r="B9" s="3831"/>
      <c r="C9" s="998"/>
      <c r="D9" s="999"/>
      <c r="E9" s="997" t="s">
        <v>1955</v>
      </c>
      <c r="F9" s="748">
        <f ca="1">IF(INDIRECT("'数据-取费表'!ah"&amp;$G$1)="",INDIRECT("'数据-取费表'!k"&amp;$G$1),INDIRECT("'数据-取费表'!ah"&amp;$G$1))</f>
        <v>0</v>
      </c>
      <c r="G9" s="923"/>
      <c r="H9" s="753"/>
      <c r="I9" s="3831"/>
      <c r="J9" s="751"/>
      <c r="K9" s="752"/>
      <c r="L9" s="747" t="s">
        <v>1955</v>
      </c>
      <c r="M9" s="748">
        <f ca="1">F9</f>
        <v>0</v>
      </c>
    </row>
    <row r="10" spans="1:25" ht="18" customHeight="1">
      <c r="A10" s="754"/>
      <c r="B10" s="3832"/>
      <c r="C10" s="998"/>
      <c r="D10" s="999"/>
      <c r="E10" s="997" t="s">
        <v>1956</v>
      </c>
      <c r="F10" s="748">
        <f ca="1">INDIRECT("'数据-取费表'!ai"&amp;$G$1)</f>
        <v>0</v>
      </c>
      <c r="G10" s="923"/>
      <c r="H10" s="753"/>
      <c r="I10" s="3832"/>
      <c r="J10" s="751"/>
      <c r="K10" s="752"/>
      <c r="L10" s="747" t="s">
        <v>1956</v>
      </c>
      <c r="M10" s="748">
        <f ca="1">INDIRECT("'数据-取费表'!ai"&amp;$G$1)</f>
        <v>0</v>
      </c>
    </row>
    <row r="11" spans="1:25" ht="18" customHeight="1">
      <c r="A11" s="755"/>
      <c r="B11" s="3833"/>
      <c r="C11" s="998"/>
      <c r="D11" s="999"/>
      <c r="E11" s="997" t="s">
        <v>1957</v>
      </c>
      <c r="F11" s="756">
        <f ca="1">INDIRECT("'数据-取费表'!w"&amp;$G$1)</f>
        <v>0</v>
      </c>
      <c r="G11" s="923"/>
      <c r="H11" s="757"/>
      <c r="I11" s="3832"/>
      <c r="J11" s="751"/>
      <c r="K11" s="752"/>
      <c r="L11" s="800" t="s">
        <v>1957</v>
      </c>
      <c r="M11" s="766">
        <f ca="1">INDIRECT("'数据-取费表'!ab"&amp;$G$1)</f>
        <v>0</v>
      </c>
    </row>
    <row r="12" spans="1:25" ht="18" customHeight="1">
      <c r="A12" s="744" t="s">
        <v>831</v>
      </c>
      <c r="B12" s="758" t="s">
        <v>1958</v>
      </c>
      <c r="C12" s="120">
        <f ca="1">ROUND(IF(F12="押一",C8/12*F13,IF(F12="押二",C8/12*2*F13,IF(F12="押三",C8/12*3*F13,C13*F13))),0)</f>
        <v>0</v>
      </c>
      <c r="D12" s="759" t="s">
        <v>1959</v>
      </c>
      <c r="E12" s="760" t="s">
        <v>1960</v>
      </c>
      <c r="F12" s="761"/>
      <c r="G12" s="923"/>
      <c r="H12" s="762" t="s">
        <v>831</v>
      </c>
      <c r="I12" s="871" t="s">
        <v>1958</v>
      </c>
      <c r="J12" s="745">
        <f ca="1">ROUND(IF(M12="押一",J8/12*M13,IF(M12="押二",J8/12*2*M13,IF(M12="押三",J8/12*3*M13,J13*M13))),0)</f>
        <v>0</v>
      </c>
      <c r="K12" s="759" t="s">
        <v>1959</v>
      </c>
      <c r="L12" s="760" t="s">
        <v>1960</v>
      </c>
      <c r="M12" s="761"/>
    </row>
    <row r="13" spans="1:25" ht="18" customHeight="1">
      <c r="A13" s="763"/>
      <c r="B13" s="764" t="s">
        <v>1961</v>
      </c>
      <c r="C13" s="765"/>
      <c r="D13" s="752"/>
      <c r="E13" s="760" t="s">
        <v>618</v>
      </c>
      <c r="F13" s="766">
        <f ca="1">'数据-取费表'!B39</f>
        <v>1.4999999999999999E-2</v>
      </c>
      <c r="G13" s="923"/>
      <c r="H13" s="767"/>
      <c r="I13" s="764" t="s">
        <v>1961</v>
      </c>
      <c r="J13" s="765"/>
      <c r="K13" s="872"/>
      <c r="L13" s="760" t="s">
        <v>618</v>
      </c>
      <c r="M13" s="873">
        <f ca="1">'数据-取费表'!B39</f>
        <v>1.4999999999999999E-2</v>
      </c>
    </row>
    <row r="14" spans="1:25" ht="18" customHeight="1">
      <c r="A14" s="768" t="s">
        <v>983</v>
      </c>
      <c r="B14" s="769" t="s">
        <v>1962</v>
      </c>
      <c r="C14" s="770"/>
      <c r="D14" s="771"/>
      <c r="E14" s="772"/>
      <c r="F14" s="773"/>
      <c r="G14" s="923"/>
      <c r="H14" s="774" t="s">
        <v>983</v>
      </c>
      <c r="I14" s="874" t="s">
        <v>1962</v>
      </c>
      <c r="J14" s="875"/>
      <c r="K14" s="771"/>
      <c r="L14" s="772"/>
      <c r="M14" s="876"/>
    </row>
    <row r="15" spans="1:25" ht="18" customHeight="1">
      <c r="A15" s="775" t="s">
        <v>835</v>
      </c>
      <c r="B15" s="776" t="s">
        <v>1963</v>
      </c>
      <c r="C15" s="777">
        <f ca="1">ROUND(C31*F15,0)</f>
        <v>0</v>
      </c>
      <c r="D15" s="778" t="s">
        <v>1964</v>
      </c>
      <c r="E15" s="800" t="s">
        <v>1965</v>
      </c>
      <c r="F15" s="860">
        <f ca="1">INDIRECT("'数据-取费表'!y"&amp;$G$1)</f>
        <v>0</v>
      </c>
      <c r="G15" s="923"/>
      <c r="H15" s="775" t="s">
        <v>835</v>
      </c>
      <c r="I15" s="776" t="s">
        <v>1966</v>
      </c>
      <c r="J15" s="877">
        <f ca="1">ROUND(J16*J17,0)</f>
        <v>0</v>
      </c>
      <c r="K15" s="809" t="s">
        <v>1964</v>
      </c>
      <c r="L15" s="880"/>
      <c r="M15" s="881"/>
    </row>
    <row r="16" spans="1:25" ht="18" customHeight="1">
      <c r="A16" s="1000" t="s">
        <v>853</v>
      </c>
      <c r="B16" s="747" t="s">
        <v>990</v>
      </c>
      <c r="C16" s="781">
        <f ca="1">INDIRECT("'数据-取费表'!m"&amp;$G$1)+INDIRECT("'数据-取费表'!t"&amp;$G$1)</f>
        <v>0</v>
      </c>
      <c r="D16" s="782" t="s">
        <v>1967</v>
      </c>
      <c r="E16" s="783"/>
      <c r="F16" s="784"/>
      <c r="G16" s="923"/>
      <c r="H16" s="1000" t="s">
        <v>829</v>
      </c>
      <c r="I16" s="863" t="s">
        <v>1968</v>
      </c>
      <c r="J16" s="121">
        <f ca="1">C31</f>
        <v>0</v>
      </c>
      <c r="K16" s="864"/>
      <c r="L16" s="880"/>
      <c r="M16" s="881"/>
    </row>
    <row r="17" spans="1:25" s="712" customFormat="1" ht="18" customHeight="1">
      <c r="A17" s="1000" t="s">
        <v>991</v>
      </c>
      <c r="B17" s="747" t="s">
        <v>992</v>
      </c>
      <c r="C17" s="121">
        <f ca="1">ROUND(C16*F17,0)</f>
        <v>0</v>
      </c>
      <c r="D17" s="786" t="s">
        <v>1969</v>
      </c>
      <c r="E17" s="786" t="s">
        <v>1970</v>
      </c>
      <c r="F17" s="787">
        <f>'数据-取费表'!B33</f>
        <v>0.04</v>
      </c>
      <c r="G17" s="1001"/>
      <c r="H17" s="1000" t="s">
        <v>831</v>
      </c>
      <c r="I17" s="747" t="s">
        <v>1965</v>
      </c>
      <c r="J17" s="1034">
        <f ca="1">INDIRECT("'数据-取费表'!ad"&amp;$G$1)</f>
        <v>0</v>
      </c>
      <c r="K17" s="864"/>
      <c r="L17" s="880"/>
      <c r="M17" s="881"/>
      <c r="N17" s="886"/>
      <c r="O17" s="886"/>
      <c r="P17" s="886"/>
      <c r="Q17" s="886"/>
      <c r="R17" s="886"/>
      <c r="S17" s="886"/>
      <c r="T17" s="886"/>
      <c r="U17" s="886"/>
      <c r="V17" s="886"/>
      <c r="W17" s="886"/>
      <c r="X17" s="886"/>
      <c r="Y17" s="886"/>
    </row>
    <row r="18" spans="1:25" ht="18" customHeight="1">
      <c r="A18" s="1000" t="s">
        <v>994</v>
      </c>
      <c r="B18" s="747" t="s">
        <v>995</v>
      </c>
      <c r="C18" s="121">
        <f ca="1">ROUND(INDIRECT("'数据-取费表'!m"&amp;$G$1)*F18,0)</f>
        <v>0</v>
      </c>
      <c r="D18" s="747" t="s">
        <v>1969</v>
      </c>
      <c r="E18" s="747" t="s">
        <v>1970</v>
      </c>
      <c r="F18" s="789">
        <f ca="1">IF(INDIRECT("'数据-取费表'!c"&amp;$G$1)="住宅",'数据-取费表'!B34,0)</f>
        <v>0</v>
      </c>
      <c r="G18" s="923"/>
      <c r="H18" s="861" t="s">
        <v>840</v>
      </c>
      <c r="I18" s="862" t="s">
        <v>1971</v>
      </c>
      <c r="J18" s="120">
        <f ca="1">ROUND(J19+J24+J25+J26,0)</f>
        <v>0</v>
      </c>
      <c r="K18" s="864" t="s">
        <v>1972</v>
      </c>
      <c r="L18" s="123"/>
      <c r="M18" s="790"/>
    </row>
    <row r="19" spans="1:25" s="712" customFormat="1" ht="18" customHeight="1">
      <c r="A19" s="1000" t="s">
        <v>997</v>
      </c>
      <c r="B19" s="747" t="s">
        <v>1973</v>
      </c>
      <c r="C19" s="121">
        <f ca="1">ROUND(F19*(INDIRECT("'数据-取费表'!k"&amp;$G$1)+INDIRECT("'数据-取费表'!S"&amp;$G$1))/10000,0)</f>
        <v>0</v>
      </c>
      <c r="D19" s="747" t="s">
        <v>1974</v>
      </c>
      <c r="E19" s="747" t="s">
        <v>1975</v>
      </c>
      <c r="F19" s="790">
        <f>'数据-取费表'!B35</f>
        <v>200</v>
      </c>
      <c r="G19" s="1001"/>
      <c r="H19" s="1000" t="s">
        <v>829</v>
      </c>
      <c r="I19" s="747" t="s">
        <v>1976</v>
      </c>
      <c r="J19" s="812">
        <f ca="1">ROUND(IF(AND(项目基本情况!B11="自然人",项目基本情况!B10="北京市"),J8*M19/(1+'数据-取费表'!C42),J20+J21+J22),0)</f>
        <v>0</v>
      </c>
      <c r="K19" s="782" t="s">
        <v>1977</v>
      </c>
      <c r="L19" s="813" t="s">
        <v>1978</v>
      </c>
      <c r="M19" s="814">
        <f ca="1">IF(项目基本情况!B11="企业","——",IF('数据-取费表'!B10="住宅",IF(M8*M9*M10/12/(1+'数据-取费表'!F30)&gt;100000,4%,2.5%),IF(M8*M9*M10/12/(1+'数据-取费表'!F30)&gt;100000,12%,7%)))</f>
        <v>7.0000000000000007E-2</v>
      </c>
      <c r="N19" s="886"/>
      <c r="O19" s="886"/>
      <c r="P19" s="886"/>
      <c r="Q19" s="886"/>
      <c r="R19" s="886"/>
      <c r="S19" s="886"/>
      <c r="T19" s="886"/>
      <c r="U19" s="886"/>
      <c r="V19" s="886"/>
      <c r="W19" s="886"/>
      <c r="X19" s="886"/>
      <c r="Y19" s="886"/>
    </row>
    <row r="20" spans="1:25" s="712" customFormat="1" ht="18" customHeight="1">
      <c r="A20" s="1000" t="s">
        <v>999</v>
      </c>
      <c r="B20" s="747" t="s">
        <v>1000</v>
      </c>
      <c r="C20" s="121">
        <f ca="1">ROUND(C16*F20,0)</f>
        <v>0</v>
      </c>
      <c r="D20" s="747" t="s">
        <v>1969</v>
      </c>
      <c r="E20" s="747" t="s">
        <v>1970</v>
      </c>
      <c r="F20" s="789">
        <f>'数据-取费表'!B36</f>
        <v>1.4999999999999999E-2</v>
      </c>
      <c r="G20" s="1001"/>
      <c r="H20" s="1000" t="s">
        <v>853</v>
      </c>
      <c r="I20" s="747" t="s">
        <v>1979</v>
      </c>
      <c r="J20" s="121">
        <f ca="1">ROUND(J8*M20/(1+'数据-取费表'!C42),1)</f>
        <v>0</v>
      </c>
      <c r="K20" s="813" t="s">
        <v>1980</v>
      </c>
      <c r="L20" s="747" t="s">
        <v>1970</v>
      </c>
      <c r="M20" s="789">
        <f>'数据-取费表'!B41</f>
        <v>5.6000000000000001E-2</v>
      </c>
      <c r="N20" s="886"/>
      <c r="O20" s="886"/>
      <c r="P20" s="886"/>
      <c r="Q20" s="886"/>
      <c r="R20" s="886"/>
      <c r="S20" s="886"/>
      <c r="T20" s="886"/>
      <c r="U20" s="886"/>
      <c r="V20" s="886"/>
      <c r="W20" s="886"/>
      <c r="X20" s="886"/>
      <c r="Y20" s="886"/>
    </row>
    <row r="21" spans="1:25" ht="18" customHeight="1">
      <c r="A21" s="1000" t="s">
        <v>829</v>
      </c>
      <c r="B21" s="747" t="s">
        <v>1981</v>
      </c>
      <c r="C21" s="121">
        <f ca="1">SUM(C16:C20)</f>
        <v>0</v>
      </c>
      <c r="D21" s="791" t="s">
        <v>1982</v>
      </c>
      <c r="E21" s="123"/>
      <c r="F21" s="790"/>
      <c r="G21" s="923"/>
      <c r="H21" s="744" t="s">
        <v>991</v>
      </c>
      <c r="I21" s="747" t="s">
        <v>1983</v>
      </c>
      <c r="J21" s="121">
        <f ca="1">IF(K21="按租金收入计税",ROUND(J8*M21/(1+'数据-取费表'!C42),1),ROUND(C31*F35*0.7,1))</f>
        <v>0</v>
      </c>
      <c r="K21" s="817" t="s">
        <v>1984</v>
      </c>
      <c r="L21" s="747" t="s">
        <v>1970</v>
      </c>
      <c r="M21" s="789">
        <f>IF(K21="按租金收入计税",'数据-取费表'!B51,'数据-取费表'!B50)</f>
        <v>1.2E-2</v>
      </c>
    </row>
    <row r="22" spans="1:25" s="712" customFormat="1" ht="18" customHeight="1">
      <c r="A22" s="1000" t="s">
        <v>1985</v>
      </c>
      <c r="B22" s="747" t="s">
        <v>1986</v>
      </c>
      <c r="C22" s="121">
        <f ca="1">ROUND(C21*F22,0)</f>
        <v>0</v>
      </c>
      <c r="D22" s="792" t="s">
        <v>1987</v>
      </c>
      <c r="E22" s="747" t="s">
        <v>1970</v>
      </c>
      <c r="F22" s="789">
        <f>'数据-取费表'!B37</f>
        <v>0.02</v>
      </c>
      <c r="G22" s="1001"/>
      <c r="H22" s="1002" t="s">
        <v>994</v>
      </c>
      <c r="I22" s="996" t="s">
        <v>1988</v>
      </c>
      <c r="J22" s="820">
        <f ca="1">ROUND(M22*M23/10000,0)</f>
        <v>0</v>
      </c>
      <c r="K22" s="821" t="s">
        <v>1989</v>
      </c>
      <c r="L22" s="747" t="s">
        <v>1990</v>
      </c>
      <c r="M22" s="797">
        <f>'数据-取费表'!B52</f>
        <v>1.5</v>
      </c>
      <c r="N22" s="886"/>
      <c r="O22" s="886"/>
      <c r="P22" s="886"/>
      <c r="Q22" s="886"/>
      <c r="R22" s="886"/>
      <c r="S22" s="886"/>
      <c r="T22" s="886"/>
      <c r="U22" s="886"/>
      <c r="V22" s="886"/>
      <c r="W22" s="886"/>
      <c r="X22" s="886"/>
      <c r="Y22" s="886"/>
    </row>
    <row r="23" spans="1:25" s="712" customFormat="1" ht="18" customHeight="1">
      <c r="A23" s="1000" t="s">
        <v>1991</v>
      </c>
      <c r="B23" s="747" t="s">
        <v>1992</v>
      </c>
      <c r="C23" s="121" t="s">
        <v>138</v>
      </c>
      <c r="D23" s="792" t="s">
        <v>1993</v>
      </c>
      <c r="E23" s="747" t="s">
        <v>1994</v>
      </c>
      <c r="F23" s="789">
        <f>'数据-取费表'!B38</f>
        <v>0.02</v>
      </c>
      <c r="G23" s="1001"/>
      <c r="H23" s="1003"/>
      <c r="I23" s="1035"/>
      <c r="J23" s="824"/>
      <c r="K23" s="825"/>
      <c r="L23" s="747" t="s">
        <v>1995</v>
      </c>
      <c r="M23" s="748">
        <f ca="1">INDIRECT("'数据-取费表'!r"&amp;$G$1)</f>
        <v>0</v>
      </c>
      <c r="N23" s="886"/>
      <c r="O23" s="886"/>
      <c r="P23" s="886"/>
      <c r="Q23" s="886"/>
      <c r="R23" s="886"/>
      <c r="S23" s="886"/>
      <c r="T23" s="886"/>
      <c r="U23" s="886"/>
      <c r="V23" s="886"/>
      <c r="W23" s="886"/>
      <c r="X23" s="886"/>
      <c r="Y23" s="886"/>
    </row>
    <row r="24" spans="1:25" ht="18" customHeight="1">
      <c r="A24" s="1000" t="s">
        <v>1996</v>
      </c>
      <c r="B24" s="747" t="s">
        <v>1997</v>
      </c>
      <c r="C24" s="121"/>
      <c r="D24" s="795" t="str">
        <f>IF(F25&lt;=1,"单利计息。","复利计息。")&amp;"建造成本、管理费用、销售费用产生的利息。"</f>
        <v>复利计息。建造成本、管理费用、销售费用产生的利息。</v>
      </c>
      <c r="E24" s="123"/>
      <c r="F24" s="790"/>
      <c r="G24" s="923"/>
      <c r="H24" s="1004" t="s">
        <v>831</v>
      </c>
      <c r="I24" s="747" t="s">
        <v>1998</v>
      </c>
      <c r="J24" s="121">
        <f ca="1">ROUND(J16*M24,0)</f>
        <v>0</v>
      </c>
      <c r="K24" s="813" t="s">
        <v>1999</v>
      </c>
      <c r="L24" s="747" t="s">
        <v>1970</v>
      </c>
      <c r="M24" s="826">
        <f ca="1">INDIRECT("'数据-取费表'!Ak"&amp;$G$1)</f>
        <v>0</v>
      </c>
    </row>
    <row r="25" spans="1:25" s="712" customFormat="1" ht="18" customHeight="1">
      <c r="A25" s="1000" t="s">
        <v>853</v>
      </c>
      <c r="B25" s="747" t="s">
        <v>2000</v>
      </c>
      <c r="C25" s="121">
        <f ca="1">ROUND(IF('数据-取费表'!B22&lt;=1,(C21+C22)*F26*F25/2,(C21+C22)*(POWER((1+F26),F25/2)-1)),0)</f>
        <v>0</v>
      </c>
      <c r="D25" s="796" t="str">
        <f>IF(F25&lt;=1,"(建造成本+管理费用)×利率×(建设周期÷2)","(建造成本+管理费用)×((1+利率)^(建设周期÷2)-1)")</f>
        <v>(建造成本+管理费用)×((1+利率)^(建设周期÷2)-1)</v>
      </c>
      <c r="E25" s="747" t="s">
        <v>2001</v>
      </c>
      <c r="F25" s="797">
        <f>'数据-取费表'!B20</f>
        <v>1.5</v>
      </c>
      <c r="G25" s="1001"/>
      <c r="H25" s="1000" t="s">
        <v>1991</v>
      </c>
      <c r="I25" s="747" t="s">
        <v>2002</v>
      </c>
      <c r="J25" s="121">
        <f ca="1">ROUND(J15*M25,0)</f>
        <v>0</v>
      </c>
      <c r="K25" s="813" t="s">
        <v>2003</v>
      </c>
      <c r="L25" s="747" t="s">
        <v>1970</v>
      </c>
      <c r="M25" s="827">
        <f ca="1">INDIRECT("'数据-取费表'!Al"&amp;$G$1)</f>
        <v>0</v>
      </c>
      <c r="N25" s="886"/>
      <c r="O25" s="886"/>
      <c r="P25" s="886"/>
      <c r="Q25" s="886"/>
      <c r="R25" s="886"/>
      <c r="S25" s="886"/>
      <c r="T25" s="886"/>
      <c r="U25" s="886"/>
      <c r="V25" s="886"/>
      <c r="W25" s="886"/>
      <c r="X25" s="886"/>
      <c r="Y25" s="886"/>
    </row>
    <row r="26" spans="1:25" s="712" customFormat="1" ht="18" customHeight="1">
      <c r="A26" s="1000" t="s">
        <v>991</v>
      </c>
      <c r="B26" s="747" t="s">
        <v>2004</v>
      </c>
      <c r="C26" s="121">
        <f ca="1">ROUND(IF('数据-取费表'!B22&lt;=1,F23*F26*F25/2,F23*(POWER((1+F26),F25/2)-1)),4)</f>
        <v>6.9999999999999999E-4</v>
      </c>
      <c r="D26" s="796" t="str">
        <f>IF(F25&lt;=1,"销售费用×利率×(建设周期÷2)","销售费用×((1+利率)^(建设周期÷2)-1)")</f>
        <v>销售费用×((1+利率)^(建设周期÷2)-1)</v>
      </c>
      <c r="E26" s="747" t="s">
        <v>2005</v>
      </c>
      <c r="F26" s="798">
        <f ca="1">'数据-取费表'!B40</f>
        <v>4.7500000000000001E-2</v>
      </c>
      <c r="G26" s="1001"/>
      <c r="H26" s="1000" t="s">
        <v>1996</v>
      </c>
      <c r="I26" s="747" t="s">
        <v>1986</v>
      </c>
      <c r="J26" s="121">
        <f ca="1">ROUND(J7*M26,0)</f>
        <v>0</v>
      </c>
      <c r="K26" s="813" t="s">
        <v>2006</v>
      </c>
      <c r="L26" s="747" t="s">
        <v>1970</v>
      </c>
      <c r="M26" s="756">
        <f ca="1">INDIRECT("'数据-取费表'!Am"&amp;$G$1)</f>
        <v>0</v>
      </c>
      <c r="N26" s="886"/>
      <c r="O26" s="886"/>
      <c r="P26" s="886"/>
      <c r="Q26" s="886"/>
      <c r="R26" s="886"/>
      <c r="S26" s="886"/>
      <c r="T26" s="886"/>
      <c r="U26" s="886"/>
      <c r="V26" s="886"/>
      <c r="W26" s="886"/>
      <c r="X26" s="886"/>
      <c r="Y26" s="886"/>
    </row>
    <row r="27" spans="1:25" ht="18" customHeight="1">
      <c r="A27" s="1000" t="s">
        <v>2007</v>
      </c>
      <c r="B27" s="747" t="s">
        <v>2008</v>
      </c>
      <c r="C27" s="121"/>
      <c r="D27" s="791" t="s">
        <v>2009</v>
      </c>
      <c r="E27" s="123"/>
      <c r="F27" s="790"/>
      <c r="G27" s="923"/>
      <c r="H27" s="861" t="s">
        <v>843</v>
      </c>
      <c r="I27" s="972" t="s">
        <v>2010</v>
      </c>
      <c r="J27" s="120">
        <f ca="1">J7-J18</f>
        <v>0</v>
      </c>
      <c r="K27" s="782" t="s">
        <v>2011</v>
      </c>
      <c r="L27" s="973"/>
      <c r="M27" s="974"/>
    </row>
    <row r="28" spans="1:25" ht="18" customHeight="1">
      <c r="A28" s="1000" t="s">
        <v>853</v>
      </c>
      <c r="B28" s="747" t="s">
        <v>2012</v>
      </c>
      <c r="C28" s="121">
        <f ca="1">ROUND((C21+C22)*F28,0)</f>
        <v>0</v>
      </c>
      <c r="D28" s="792" t="s">
        <v>2013</v>
      </c>
      <c r="E28" s="800" t="s">
        <v>2014</v>
      </c>
      <c r="F28" s="756">
        <f ca="1">INDIRECT("'数据-取费表'!q"&amp;$G$1)</f>
        <v>0</v>
      </c>
      <c r="G28" s="923"/>
      <c r="H28" s="738" t="s">
        <v>867</v>
      </c>
      <c r="I28" s="739" t="s">
        <v>2015</v>
      </c>
      <c r="J28" s="745">
        <f ca="1">IF(J7&lt;&gt;0,ROUND(J27*(1-((1+M30)/(1+M28))^M29)/(M28-M30),0),0)</f>
        <v>0</v>
      </c>
      <c r="K28" s="821" t="s">
        <v>2016</v>
      </c>
      <c r="L28" s="747" t="s">
        <v>2017</v>
      </c>
      <c r="M28" s="756">
        <f ca="1">INDIRECT("'数据-取费表'!I"&amp;$G$1)</f>
        <v>0</v>
      </c>
    </row>
    <row r="29" spans="1:25" ht="18" customHeight="1">
      <c r="A29" s="1000" t="s">
        <v>991</v>
      </c>
      <c r="B29" s="747" t="s">
        <v>2018</v>
      </c>
      <c r="C29" s="121">
        <f ca="1">ROUND(F23*F28,4)</f>
        <v>0</v>
      </c>
      <c r="D29" s="792" t="s">
        <v>2019</v>
      </c>
      <c r="E29" s="786"/>
      <c r="F29" s="787"/>
      <c r="G29" s="923"/>
      <c r="H29" s="755"/>
      <c r="I29" s="833"/>
      <c r="J29" s="751"/>
      <c r="K29" s="834" t="s">
        <v>2020</v>
      </c>
      <c r="L29" s="747" t="s">
        <v>2021</v>
      </c>
      <c r="M29" s="835">
        <f ca="1">INDIRECT("'数据-取费表'!ag"&amp;$G$1)</f>
        <v>0</v>
      </c>
    </row>
    <row r="30" spans="1:25" s="712" customFormat="1" ht="18" customHeight="1">
      <c r="A30" s="1000" t="s">
        <v>2022</v>
      </c>
      <c r="B30" s="747" t="s">
        <v>2023</v>
      </c>
      <c r="C30" s="121">
        <f>ROUND(F30/(1+'数据-取费表'!C42),4)</f>
        <v>5.33E-2</v>
      </c>
      <c r="D30" s="792" t="s">
        <v>2024</v>
      </c>
      <c r="E30" s="747" t="s">
        <v>1970</v>
      </c>
      <c r="F30" s="789">
        <f>'数据-取费表'!B41</f>
        <v>5.6000000000000001E-2</v>
      </c>
      <c r="G30" s="1001"/>
      <c r="H30" s="763"/>
      <c r="I30" s="837"/>
      <c r="J30" s="777"/>
      <c r="K30" s="825"/>
      <c r="L30" s="747" t="s">
        <v>2025</v>
      </c>
      <c r="M30" s="756">
        <f ca="1">INDIRECT("'数据-取费表'!aa"&amp;$G$1)</f>
        <v>0</v>
      </c>
      <c r="N30" s="886"/>
      <c r="O30" s="886"/>
      <c r="P30" s="886"/>
      <c r="Q30" s="886"/>
      <c r="R30" s="886"/>
      <c r="S30" s="886"/>
      <c r="T30" s="886"/>
      <c r="U30" s="886"/>
      <c r="V30" s="886"/>
      <c r="W30" s="886"/>
      <c r="X30" s="886"/>
      <c r="Y30" s="886"/>
    </row>
    <row r="31" spans="1:25" s="712" customFormat="1" ht="18" customHeight="1">
      <c r="A31" s="1005" t="s">
        <v>2026</v>
      </c>
      <c r="B31" s="772" t="s">
        <v>2027</v>
      </c>
      <c r="C31" s="804">
        <f ca="1">ROUND((C21+C22+C25+C28)/(1-F23-C26-C29-C30),0)</f>
        <v>0</v>
      </c>
      <c r="D31" s="805"/>
      <c r="E31" s="806"/>
      <c r="F31" s="807"/>
      <c r="G31" s="1001"/>
      <c r="H31" s="808" t="s">
        <v>1231</v>
      </c>
      <c r="I31" s="1036" t="s">
        <v>2028</v>
      </c>
      <c r="J31" s="839">
        <f ca="1">ROUND(J28/(1+F45)^F46,0)</f>
        <v>0</v>
      </c>
      <c r="K31" s="840" t="s">
        <v>2029</v>
      </c>
      <c r="L31" s="841"/>
      <c r="M31" s="842">
        <f ca="1">INDIRECT("'数据-取费表'!k"&amp;$G$1)</f>
        <v>0</v>
      </c>
      <c r="N31" s="886"/>
      <c r="O31" s="886"/>
      <c r="P31" s="886"/>
      <c r="Q31" s="886"/>
      <c r="R31" s="886"/>
      <c r="S31" s="886"/>
      <c r="T31" s="886"/>
      <c r="U31" s="886"/>
      <c r="V31" s="886"/>
      <c r="W31" s="886"/>
      <c r="X31" s="886"/>
      <c r="Y31" s="886"/>
    </row>
    <row r="32" spans="1:25" ht="18" customHeight="1">
      <c r="A32" s="775" t="s">
        <v>2030</v>
      </c>
      <c r="B32" s="776" t="s">
        <v>2031</v>
      </c>
      <c r="C32" s="777">
        <f ca="1">ROUND(C33+C38+C39+C40,0)</f>
        <v>0</v>
      </c>
      <c r="D32" s="809" t="s">
        <v>1972</v>
      </c>
      <c r="E32" s="810"/>
      <c r="F32" s="743"/>
      <c r="G32" s="737"/>
      <c r="H32" s="811"/>
      <c r="I32" s="887"/>
      <c r="J32" s="888"/>
      <c r="K32" s="889"/>
      <c r="L32" s="890"/>
      <c r="M32" s="891"/>
    </row>
    <row r="33" spans="1:18" ht="18" customHeight="1">
      <c r="A33" s="1000" t="s">
        <v>829</v>
      </c>
      <c r="B33" s="747" t="s">
        <v>1976</v>
      </c>
      <c r="C33" s="812">
        <f ca="1">ROUND(IF(AND(项目基本情况!B11="自然人",项目基本情况!B10="北京市"),C8*F33/(1+'数据-取费表'!C42),C34+C35+C36),0)</f>
        <v>0</v>
      </c>
      <c r="D33" s="782" t="s">
        <v>1977</v>
      </c>
      <c r="E33" s="813" t="s">
        <v>1978</v>
      </c>
      <c r="F33" s="814">
        <f ca="1">IF(项目基本情况!B11="企业","——",IF('数据-取费表'!B10="住宅",IF(F8*F9*F10/12/(1+'数据-取费表'!F30)&gt;100000,4%,2.5%),IF(F8*F9*F10/12/(1+'数据-取费表'!F30)&gt;100000,12%,7%)))</f>
        <v>7.0000000000000007E-2</v>
      </c>
      <c r="G33" s="737"/>
      <c r="H33" s="815" t="s">
        <v>2032</v>
      </c>
      <c r="I33" s="887"/>
      <c r="J33" s="888"/>
      <c r="K33" s="889"/>
      <c r="L33" s="890"/>
      <c r="M33" s="891"/>
    </row>
    <row r="34" spans="1:18" ht="18" customHeight="1">
      <c r="A34" s="1000" t="s">
        <v>853</v>
      </c>
      <c r="B34" s="747" t="s">
        <v>1979</v>
      </c>
      <c r="C34" s="121">
        <f ca="1">ROUND(C8*F34/(1+'数据-取费表'!C42),1)</f>
        <v>0</v>
      </c>
      <c r="D34" s="813" t="s">
        <v>1980</v>
      </c>
      <c r="E34" s="747" t="s">
        <v>1970</v>
      </c>
      <c r="F34" s="789">
        <f>'数据-取费表'!B41</f>
        <v>5.6000000000000001E-2</v>
      </c>
      <c r="G34" s="737"/>
      <c r="H34" s="816"/>
      <c r="I34" s="892"/>
      <c r="J34" s="893"/>
      <c r="K34" s="894"/>
      <c r="L34" s="895"/>
      <c r="M34" s="896"/>
    </row>
    <row r="35" spans="1:18" ht="18" customHeight="1">
      <c r="A35" s="1000" t="s">
        <v>991</v>
      </c>
      <c r="B35" s="747" t="s">
        <v>1983</v>
      </c>
      <c r="C35" s="121">
        <f ca="1">IF(D35="按租金收入计税",ROUND(C8*F35/(1+'数据-取费表'!C42),1),IF(D35="按房产原值计税",ROUND(C31*F35*0.7,1),INDIRECT("'数据-取费表'!Aj"&amp;$G$1)))</f>
        <v>0</v>
      </c>
      <c r="D35" s="817" t="s">
        <v>2033</v>
      </c>
      <c r="E35" s="747" t="s">
        <v>1970</v>
      </c>
      <c r="F35" s="789">
        <f>IF(D35="按租金收入计税",'数据-取费表'!B51,'数据-取费表'!B50)</f>
        <v>1.2E-2</v>
      </c>
      <c r="G35" s="737"/>
      <c r="H35" s="818"/>
      <c r="I35" s="818"/>
      <c r="J35" s="818"/>
      <c r="K35" s="897"/>
      <c r="L35" s="818"/>
      <c r="M35" s="818"/>
    </row>
    <row r="36" spans="1:18" ht="18" customHeight="1">
      <c r="A36" s="1006" t="s">
        <v>860</v>
      </c>
      <c r="B36" s="819" t="s">
        <v>1988</v>
      </c>
      <c r="C36" s="820">
        <f ca="1">ROUND(F36*F37/10000,1)</f>
        <v>0</v>
      </c>
      <c r="D36" s="821" t="s">
        <v>1989</v>
      </c>
      <c r="E36" s="747" t="s">
        <v>1990</v>
      </c>
      <c r="F36" s="797">
        <f>'数据-取费表'!B52</f>
        <v>1.5</v>
      </c>
      <c r="G36" s="737"/>
      <c r="H36" s="811"/>
      <c r="I36" s="3834"/>
      <c r="J36" s="901"/>
      <c r="K36" s="900"/>
      <c r="L36" s="901"/>
      <c r="M36" s="901"/>
    </row>
    <row r="37" spans="1:18" ht="18" customHeight="1">
      <c r="A37" s="822"/>
      <c r="B37" s="823"/>
      <c r="C37" s="824"/>
      <c r="D37" s="825"/>
      <c r="E37" s="747" t="s">
        <v>1995</v>
      </c>
      <c r="F37" s="748">
        <f ca="1">INDIRECT("'数据-取费表'!r"&amp;$G$1)</f>
        <v>0</v>
      </c>
      <c r="G37" s="737"/>
      <c r="H37" s="811"/>
      <c r="I37" s="3834"/>
      <c r="J37" s="818"/>
      <c r="K37" s="897"/>
      <c r="L37" s="818"/>
      <c r="M37" s="818"/>
    </row>
    <row r="38" spans="1:18" ht="18" customHeight="1">
      <c r="A38" s="1000" t="s">
        <v>1985</v>
      </c>
      <c r="B38" s="747" t="s">
        <v>1998</v>
      </c>
      <c r="C38" s="121">
        <f ca="1">ROUND(C31*F38,1)</f>
        <v>0</v>
      </c>
      <c r="D38" s="813" t="s">
        <v>2034</v>
      </c>
      <c r="E38" s="747" t="s">
        <v>1970</v>
      </c>
      <c r="F38" s="826">
        <f ca="1">INDIRECT("'数据-取费表'!Ak"&amp;$G$1)</f>
        <v>0</v>
      </c>
      <c r="G38" s="737"/>
      <c r="H38" s="818"/>
      <c r="I38" s="1037"/>
      <c r="J38" s="836"/>
      <c r="K38" s="906"/>
      <c r="L38" s="818"/>
      <c r="M38" s="818"/>
    </row>
    <row r="39" spans="1:18" ht="18" customHeight="1">
      <c r="A39" s="1000" t="s">
        <v>1991</v>
      </c>
      <c r="B39" s="747" t="s">
        <v>2002</v>
      </c>
      <c r="C39" s="121">
        <f ca="1">ROUND(C15*F39,1)</f>
        <v>0</v>
      </c>
      <c r="D39" s="813" t="s">
        <v>2003</v>
      </c>
      <c r="E39" s="747" t="s">
        <v>1970</v>
      </c>
      <c r="F39" s="827">
        <f ca="1">INDIRECT("'数据-取费表'!Al"&amp;$G$1)</f>
        <v>0</v>
      </c>
      <c r="G39" s="737"/>
      <c r="H39" s="818"/>
      <c r="I39" s="1037"/>
      <c r="J39" s="836"/>
      <c r="K39" s="906"/>
      <c r="L39" s="818"/>
      <c r="M39" s="818"/>
    </row>
    <row r="40" spans="1:18" ht="18" customHeight="1">
      <c r="A40" s="1005" t="s">
        <v>1996</v>
      </c>
      <c r="B40" s="806" t="s">
        <v>1986</v>
      </c>
      <c r="C40" s="804">
        <f ca="1">ROUND(C7*F40,1)</f>
        <v>0</v>
      </c>
      <c r="D40" s="805" t="s">
        <v>2006</v>
      </c>
      <c r="E40" s="806" t="s">
        <v>1970</v>
      </c>
      <c r="F40" s="773">
        <f ca="1">INDIRECT("'数据-取费表'!Am"&amp;$G$1)</f>
        <v>0</v>
      </c>
      <c r="G40" s="737"/>
      <c r="H40" s="818"/>
      <c r="I40" s="1037"/>
      <c r="J40" s="836"/>
      <c r="K40" s="911"/>
      <c r="L40" s="818"/>
      <c r="M40" s="818"/>
    </row>
    <row r="41" spans="1:18" ht="18" customHeight="1">
      <c r="A41" s="775">
        <v>4</v>
      </c>
      <c r="B41" s="776" t="s">
        <v>2035</v>
      </c>
      <c r="C41" s="1007"/>
      <c r="D41" s="1008"/>
      <c r="E41" s="1008"/>
      <c r="F41" s="1009"/>
      <c r="G41" s="737"/>
      <c r="H41" s="737"/>
      <c r="I41" s="737"/>
      <c r="J41" s="737"/>
      <c r="K41" s="911"/>
      <c r="L41" s="737"/>
      <c r="M41" s="737"/>
    </row>
    <row r="42" spans="1:18" ht="18" customHeight="1">
      <c r="A42" s="1000" t="s">
        <v>829</v>
      </c>
      <c r="B42" s="898" t="s">
        <v>2036</v>
      </c>
      <c r="C42" s="1010">
        <f ca="1">C7-C32</f>
        <v>0</v>
      </c>
      <c r="D42" s="782" t="s">
        <v>2037</v>
      </c>
      <c r="E42" s="973"/>
      <c r="F42" s="974"/>
      <c r="G42" s="737"/>
      <c r="H42" s="737"/>
      <c r="I42" s="737"/>
      <c r="J42" s="737"/>
      <c r="K42" s="911"/>
      <c r="L42" s="737"/>
      <c r="M42" s="737"/>
    </row>
    <row r="43" spans="1:18" ht="18" customHeight="1">
      <c r="A43" s="1000" t="s">
        <v>1985</v>
      </c>
      <c r="B43" s="898" t="s">
        <v>2038</v>
      </c>
      <c r="C43" s="899">
        <f ca="1">ROUND(C15*F43,0)</f>
        <v>0</v>
      </c>
      <c r="D43" s="1011" t="s">
        <v>2039</v>
      </c>
      <c r="E43" s="1012" t="s">
        <v>2040</v>
      </c>
      <c r="F43" s="1013">
        <f ca="1">INDIRECT("'数据-取费表'!j"&amp;$G$1)</f>
        <v>0</v>
      </c>
      <c r="G43" s="737"/>
      <c r="H43" s="737"/>
      <c r="I43" s="737"/>
      <c r="J43" s="737"/>
      <c r="K43" s="911"/>
      <c r="L43" s="737"/>
      <c r="M43" s="737"/>
    </row>
    <row r="44" spans="1:18" ht="18" customHeight="1">
      <c r="A44" s="1000" t="s">
        <v>1991</v>
      </c>
      <c r="B44" s="898" t="s">
        <v>2041</v>
      </c>
      <c r="C44" s="1014">
        <f ca="1">C42-C43</f>
        <v>0</v>
      </c>
      <c r="D44" s="1015" t="s">
        <v>2042</v>
      </c>
      <c r="E44" s="1016"/>
      <c r="F44" s="1017"/>
      <c r="G44" s="737"/>
      <c r="H44" s="737"/>
      <c r="I44" s="737"/>
      <c r="J44" s="737"/>
      <c r="K44" s="911"/>
      <c r="L44" s="737"/>
      <c r="M44" s="737"/>
    </row>
    <row r="45" spans="1:18" ht="18" customHeight="1">
      <c r="A45" s="1000" t="s">
        <v>1996</v>
      </c>
      <c r="B45" s="1011" t="s">
        <v>2043</v>
      </c>
      <c r="C45" s="1018">
        <f ca="1">ROUND(-PV(F45,F46,C44,0),0)</f>
        <v>0</v>
      </c>
      <c r="D45" s="1019" t="s">
        <v>2044</v>
      </c>
      <c r="E45" s="786" t="s">
        <v>2045</v>
      </c>
      <c r="F45" s="1020">
        <f ca="1">INDIRECT("'数据-取费表'!h"&amp;$G$1)</f>
        <v>0</v>
      </c>
      <c r="G45" s="737"/>
      <c r="H45" s="737"/>
      <c r="I45" s="737"/>
      <c r="J45" s="737"/>
      <c r="K45" s="911"/>
      <c r="L45" s="737"/>
      <c r="M45" s="737"/>
    </row>
    <row r="46" spans="1:18" ht="18" customHeight="1">
      <c r="A46" s="1021"/>
      <c r="B46" s="1022"/>
      <c r="C46" s="1023"/>
      <c r="D46" s="1024"/>
      <c r="E46" s="1025" t="s">
        <v>2046</v>
      </c>
      <c r="F46" s="842">
        <f ca="1">IF(INDIRECT("'数据-取费表'!af"&amp;$G$1)=0,INDIRECT("'数据-取费表'!ae"&amp;$G$1),INDIRECT("'数据-取费表'!af"&amp;$G$1))</f>
        <v>0</v>
      </c>
      <c r="G46" s="737"/>
      <c r="H46" s="737"/>
      <c r="I46" s="737"/>
      <c r="J46" s="737"/>
      <c r="K46" s="911"/>
      <c r="L46" s="737"/>
      <c r="M46" s="737"/>
    </row>
    <row r="47" spans="1:18" s="615" customFormat="1" ht="18" customHeight="1">
      <c r="A47" s="1026"/>
      <c r="D47" s="843"/>
      <c r="E47" s="843"/>
      <c r="F47" s="843"/>
      <c r="I47" s="917" t="s">
        <v>2047</v>
      </c>
      <c r="J47" s="918"/>
      <c r="K47" s="919"/>
      <c r="L47" s="920" t="str">
        <f ca="1">IF(M48="住宅",0,IF(L49&gt;J52,L61,J61))</f>
        <v>0</v>
      </c>
      <c r="O47" s="922" t="s">
        <v>2048</v>
      </c>
      <c r="P47" s="923"/>
      <c r="Q47" s="928"/>
      <c r="R47" s="923"/>
    </row>
    <row r="48" spans="1:18" s="615" customFormat="1" ht="18" customHeight="1">
      <c r="A48" s="1026"/>
      <c r="C48" s="1027"/>
      <c r="D48" s="1028"/>
      <c r="E48" s="1028"/>
      <c r="F48" s="1029"/>
      <c r="G48" s="856"/>
      <c r="I48" s="924" t="s">
        <v>2049</v>
      </c>
      <c r="J48" s="925"/>
      <c r="K48" s="926" t="s">
        <v>2050</v>
      </c>
      <c r="L48" s="927">
        <f ca="1">INDIRECT("'数据-取费表'!d"&amp;$G$1)</f>
        <v>0</v>
      </c>
      <c r="M48" s="1038" t="str">
        <f>IF(ISNUMBER(FIND("住宅",C1)),"住宅","非住宅")</f>
        <v>非住宅</v>
      </c>
      <c r="O48" s="929" t="s">
        <v>1354</v>
      </c>
      <c r="P48" s="930" t="s">
        <v>2051</v>
      </c>
      <c r="Q48" s="968" t="s">
        <v>2052</v>
      </c>
      <c r="R48" s="930" t="s">
        <v>2053</v>
      </c>
    </row>
    <row r="49" spans="1:18" s="615" customFormat="1" ht="18" customHeight="1">
      <c r="A49" s="1026"/>
      <c r="D49" s="1030"/>
      <c r="E49" s="1031"/>
      <c r="F49" s="1029"/>
      <c r="G49" s="856"/>
      <c r="H49" s="857"/>
      <c r="I49" s="931" t="s">
        <v>2054</v>
      </c>
      <c r="J49" s="932"/>
      <c r="K49" s="933" t="s">
        <v>2055</v>
      </c>
      <c r="L49" s="934">
        <f ca="1">INDIRECT("'数据-取费表'!f"&amp;$G$1)</f>
        <v>0</v>
      </c>
      <c r="O49" s="935" t="s">
        <v>2056</v>
      </c>
      <c r="P49" s="936" t="s">
        <v>2057</v>
      </c>
      <c r="Q49" s="969">
        <f ca="1">C41+J31</f>
        <v>0</v>
      </c>
      <c r="R49" s="936" t="s">
        <v>2058</v>
      </c>
    </row>
    <row r="50" spans="1:18" s="615" customFormat="1" ht="18" customHeight="1">
      <c r="A50" s="1026"/>
      <c r="D50" s="1032"/>
      <c r="E50" s="1032"/>
      <c r="F50" s="1028"/>
      <c r="G50" s="858"/>
      <c r="H50" s="857"/>
      <c r="I50" s="931" t="s">
        <v>2059</v>
      </c>
      <c r="J50" s="937"/>
      <c r="K50" s="938" t="s">
        <v>2060</v>
      </c>
      <c r="L50" s="939"/>
      <c r="O50" s="935" t="s">
        <v>2061</v>
      </c>
      <c r="P50" s="936" t="s">
        <v>2062</v>
      </c>
      <c r="Q50" s="969" t="str">
        <f ca="1">J61</f>
        <v>0</v>
      </c>
      <c r="R50" s="936" t="s">
        <v>2063</v>
      </c>
    </row>
    <row r="51" spans="1:18" s="615" customFormat="1" ht="18" customHeight="1">
      <c r="A51" s="1033"/>
      <c r="D51" s="1032"/>
      <c r="E51" s="1032"/>
      <c r="F51" s="843"/>
      <c r="H51" s="857"/>
      <c r="I51" s="931" t="s">
        <v>2064</v>
      </c>
      <c r="J51" s="940">
        <f>SUMPRODUCT((I64:I66=J48)*(J63:L63=J49)*(J64:L66))</f>
        <v>0</v>
      </c>
      <c r="K51" s="938" t="s">
        <v>2065</v>
      </c>
      <c r="L51" s="939"/>
      <c r="O51" s="941" t="s">
        <v>2066</v>
      </c>
      <c r="P51" s="936" t="s">
        <v>2067</v>
      </c>
      <c r="Q51" s="969">
        <f ca="1">C31</f>
        <v>0</v>
      </c>
      <c r="R51" s="936" t="s">
        <v>2058</v>
      </c>
    </row>
    <row r="52" spans="1:18" s="615" customFormat="1" ht="18" customHeight="1">
      <c r="A52" s="1033"/>
      <c r="F52" s="843"/>
      <c r="I52" s="942" t="s">
        <v>2068</v>
      </c>
      <c r="J52" s="943">
        <f>IF(J50="",J51,J50+J51-YEAR('数据-取费表'!B3))</f>
        <v>0</v>
      </c>
      <c r="K52" s="931" t="s">
        <v>2069</v>
      </c>
      <c r="L52" s="944">
        <f ca="1">C45</f>
        <v>0</v>
      </c>
      <c r="O52" s="941" t="s">
        <v>2070</v>
      </c>
      <c r="P52" s="936" t="s">
        <v>2071</v>
      </c>
      <c r="Q52" s="970" t="e">
        <f ca="1">J59</f>
        <v>#VALUE!</v>
      </c>
      <c r="R52" s="971"/>
    </row>
    <row r="53" spans="1:18" s="615" customFormat="1" ht="18" customHeight="1">
      <c r="A53" s="1033"/>
      <c r="F53" s="843"/>
      <c r="I53" s="945" t="s">
        <v>2072</v>
      </c>
      <c r="J53" s="946"/>
      <c r="K53" s="945" t="s">
        <v>1221</v>
      </c>
      <c r="L53" s="946"/>
      <c r="O53" s="941" t="s">
        <v>2073</v>
      </c>
      <c r="P53" s="936" t="s">
        <v>2074</v>
      </c>
      <c r="Q53" s="970">
        <f>J53</f>
        <v>0</v>
      </c>
      <c r="R53" s="971"/>
    </row>
    <row r="54" spans="1:18" s="615" customFormat="1" ht="28.5">
      <c r="A54" s="1033"/>
      <c r="I54" s="947" t="s">
        <v>2075</v>
      </c>
      <c r="J54" s="948">
        <f ca="1">IF(M48="住宅",MAX(J52,L49-'数据-取费表'!B20),MIN(J52,L49-'数据-取费表'!B20))</f>
        <v>-1.5</v>
      </c>
      <c r="K54" s="3828"/>
      <c r="L54" s="3829"/>
      <c r="O54" s="941" t="s">
        <v>2076</v>
      </c>
      <c r="P54" s="936" t="s">
        <v>2077</v>
      </c>
      <c r="Q54" s="969">
        <f ca="1">J54</f>
        <v>-1.5</v>
      </c>
      <c r="R54" s="936" t="s">
        <v>2078</v>
      </c>
    </row>
    <row r="55" spans="1:18" s="615" customFormat="1" ht="18" customHeight="1">
      <c r="A55" s="1033"/>
      <c r="I55" s="103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039"/>
      <c r="K55" s="1040"/>
      <c r="O55" s="935" t="s">
        <v>2079</v>
      </c>
      <c r="P55" s="936" t="s">
        <v>2080</v>
      </c>
      <c r="Q55" s="969">
        <f ca="1">Q49+Q50</f>
        <v>0</v>
      </c>
      <c r="R55" s="971" t="s">
        <v>2081</v>
      </c>
    </row>
    <row r="56" spans="1:18" s="615" customFormat="1" ht="15.75">
      <c r="A56" s="1033"/>
      <c r="B56" s="716"/>
      <c r="C56" s="716"/>
      <c r="I56" s="949" t="s">
        <v>2082</v>
      </c>
      <c r="J56" s="950" t="e">
        <f ca="1">ROUND(IF(J48="钢混",J58/J51,1-(1-2%)*(J51-J58)/J51),3)</f>
        <v>#VALUE!</v>
      </c>
      <c r="K56" s="951" t="s">
        <v>2083</v>
      </c>
      <c r="L56" s="952"/>
      <c r="O56" s="953" t="s">
        <v>2084</v>
      </c>
      <c r="P56" s="923"/>
      <c r="Q56" s="928"/>
      <c r="R56" s="923"/>
    </row>
    <row r="57" spans="1:18" s="615" customFormat="1" ht="42.75">
      <c r="A57" s="1033"/>
      <c r="B57" s="716"/>
      <c r="C57" s="716"/>
      <c r="I57" s="954" t="s">
        <v>2085</v>
      </c>
      <c r="J57" s="955" t="s">
        <v>475</v>
      </c>
      <c r="K57" s="931" t="s">
        <v>2086</v>
      </c>
      <c r="L57" s="934">
        <f ca="1">IF(L49&lt;J52,"——",L49-J52)</f>
        <v>0</v>
      </c>
      <c r="O57" s="929" t="s">
        <v>1354</v>
      </c>
      <c r="P57" s="930" t="s">
        <v>2051</v>
      </c>
      <c r="Q57" s="968" t="s">
        <v>2052</v>
      </c>
      <c r="R57" s="930" t="s">
        <v>2053</v>
      </c>
    </row>
    <row r="58" spans="1:18" s="615" customFormat="1" ht="28.5">
      <c r="A58" s="1033"/>
      <c r="B58" s="716"/>
      <c r="C58" s="716"/>
      <c r="I58" s="956" t="s">
        <v>2087</v>
      </c>
      <c r="J58" s="957" t="str">
        <f ca="1">IF(OR(M48="住宅",J52&lt;L49,J57="是"),"——",J52-L49)</f>
        <v>——</v>
      </c>
      <c r="K58" s="931" t="s">
        <v>2088</v>
      </c>
      <c r="L58" s="934">
        <f ca="1">IF(L49&lt;J52,"——",IF(L56="比较法",L50,IF(L56="基准地价",L51,L52)))</f>
        <v>0</v>
      </c>
      <c r="O58" s="935" t="s">
        <v>2056</v>
      </c>
      <c r="P58" s="936" t="s">
        <v>2057</v>
      </c>
      <c r="Q58" s="969">
        <f ca="1">C41+J31</f>
        <v>0</v>
      </c>
      <c r="R58" s="936" t="s">
        <v>2058</v>
      </c>
    </row>
    <row r="59" spans="1:18" s="615" customFormat="1" ht="28.5">
      <c r="A59" s="1033"/>
      <c r="B59" s="716"/>
      <c r="C59" s="716"/>
      <c r="I59" s="956" t="s">
        <v>2089</v>
      </c>
      <c r="J59" s="958" t="e">
        <f ca="1">IF(J56&lt;0.4,0.4,J56)</f>
        <v>#VALUE!</v>
      </c>
      <c r="K59" s="931" t="s">
        <v>2090</v>
      </c>
      <c r="L59" s="934">
        <f ca="1">IF(ISERROR(POWER(1+L53,L48-L49)*(POWER(1+L53,L49)-1)/(POWER(1+L53,L48)-1)),0,POWER(1+L53,L48-L49)*(POWER(1+L53,L49)-1)/(POWER(1+L53,L48)-1))</f>
        <v>0</v>
      </c>
      <c r="O59" s="935" t="s">
        <v>2061</v>
      </c>
      <c r="P59" s="936" t="s">
        <v>2091</v>
      </c>
      <c r="Q59" s="969" t="e">
        <f ca="1">L61</f>
        <v>#DIV/0!</v>
      </c>
      <c r="R59" s="971" t="s">
        <v>2092</v>
      </c>
    </row>
    <row r="60" spans="1:18" s="615" customFormat="1" ht="28.5">
      <c r="A60" s="1033"/>
      <c r="B60" s="716"/>
      <c r="C60" s="716"/>
      <c r="I60" s="956" t="s">
        <v>2093</v>
      </c>
      <c r="J60" s="957" t="str">
        <f ca="1">IF(OR(M48="住宅",J52&lt;L49,J57="是"),"——",ROUND(C30*J59,0))</f>
        <v>——</v>
      </c>
      <c r="K60" s="931" t="s">
        <v>2094</v>
      </c>
      <c r="L60" s="934">
        <f ca="1">IF(ISERROR(POWER(1+L53,L48-J52)*(POWER(1+L53,J52)-1)/(POWER(1+L53,L48)-1)),0,POWER(1+L53,L48-J52)*(POWER(1+L53,J52)-1)/(POWER(1+L53,L48)-1))</f>
        <v>0</v>
      </c>
      <c r="O60" s="941" t="s">
        <v>2066</v>
      </c>
      <c r="P60" s="936" t="s">
        <v>2095</v>
      </c>
      <c r="Q60" s="969">
        <f>IF(L56="比较法",L50,IF(L56="基准地价",L51,0))</f>
        <v>0</v>
      </c>
      <c r="R60" s="936" t="s">
        <v>2058</v>
      </c>
    </row>
    <row r="61" spans="1:18" s="615" customFormat="1">
      <c r="A61" s="1033"/>
      <c r="B61" s="716"/>
      <c r="C61" s="716"/>
      <c r="I61" s="959" t="s">
        <v>2096</v>
      </c>
      <c r="J61" s="960" t="str">
        <f ca="1">IF(OR(M48="住宅",J52&lt;L49,J57="是"),"0",ROUND(J60/(1+J53)^J54,0))</f>
        <v>0</v>
      </c>
      <c r="K61" s="961" t="s">
        <v>2097</v>
      </c>
      <c r="L61" s="960" t="e">
        <f ca="1">IF(OR(M48="住宅",L49&lt;J52),0,ROUND(L58*(L59/L60-1),0))</f>
        <v>#DIV/0!</v>
      </c>
      <c r="O61" s="941" t="s">
        <v>2070</v>
      </c>
      <c r="P61" s="936" t="s">
        <v>2098</v>
      </c>
      <c r="Q61" s="970">
        <f>L53</f>
        <v>0</v>
      </c>
      <c r="R61" s="971"/>
    </row>
    <row r="62" spans="1:18" s="615" customFormat="1" ht="19.5">
      <c r="A62" s="1033"/>
      <c r="B62" s="716"/>
      <c r="C62" s="716"/>
      <c r="K62" s="916"/>
      <c r="O62" s="941" t="s">
        <v>2073</v>
      </c>
      <c r="P62" s="936" t="s">
        <v>2099</v>
      </c>
      <c r="Q62" s="969">
        <f ca="1">L59</f>
        <v>0</v>
      </c>
      <c r="R62" s="971" t="s">
        <v>2100</v>
      </c>
    </row>
    <row r="63" spans="1:18" s="615" customFormat="1" ht="19.5">
      <c r="A63" s="1033"/>
      <c r="B63" s="716"/>
      <c r="C63" s="716"/>
      <c r="I63" s="962" t="s">
        <v>2101</v>
      </c>
      <c r="J63" s="963" t="s">
        <v>2102</v>
      </c>
      <c r="K63" s="963" t="s">
        <v>2103</v>
      </c>
      <c r="L63" s="963" t="s">
        <v>2104</v>
      </c>
      <c r="M63" s="964" t="s">
        <v>2105</v>
      </c>
      <c r="O63" s="941" t="s">
        <v>2076</v>
      </c>
      <c r="P63" s="936" t="s">
        <v>2106</v>
      </c>
      <c r="Q63" s="969">
        <f ca="1">L60</f>
        <v>0</v>
      </c>
      <c r="R63" s="971" t="s">
        <v>2107</v>
      </c>
    </row>
    <row r="64" spans="1:18" s="615" customFormat="1">
      <c r="A64" s="1033"/>
      <c r="B64" s="716"/>
      <c r="C64" s="716"/>
      <c r="I64" s="962" t="s">
        <v>2108</v>
      </c>
      <c r="J64" s="963">
        <v>70</v>
      </c>
      <c r="K64" s="963">
        <v>50</v>
      </c>
      <c r="L64" s="963">
        <v>80</v>
      </c>
      <c r="M64" s="965">
        <v>0.02</v>
      </c>
      <c r="O64" s="935" t="s">
        <v>2079</v>
      </c>
      <c r="P64" s="936" t="s">
        <v>2080</v>
      </c>
      <c r="Q64" s="969" t="e">
        <f ca="1">Q58+Q59</f>
        <v>#DIV/0!</v>
      </c>
      <c r="R64" s="971" t="s">
        <v>2081</v>
      </c>
    </row>
    <row r="65" spans="1:18" s="615" customFormat="1" ht="15.75">
      <c r="A65" s="1033"/>
      <c r="B65" s="716"/>
      <c r="C65" s="716"/>
      <c r="I65" s="962" t="s">
        <v>2109</v>
      </c>
      <c r="J65" s="963">
        <v>50</v>
      </c>
      <c r="K65" s="963">
        <v>35</v>
      </c>
      <c r="L65" s="963">
        <v>60</v>
      </c>
      <c r="M65" s="913">
        <v>0</v>
      </c>
      <c r="O65" s="953" t="s">
        <v>2110</v>
      </c>
      <c r="P65" s="923"/>
      <c r="Q65" s="928"/>
      <c r="R65" s="923"/>
    </row>
    <row r="66" spans="1:18" s="615" customFormat="1">
      <c r="A66" s="1033"/>
      <c r="B66" s="716"/>
      <c r="C66" s="716"/>
      <c r="I66" s="962" t="s">
        <v>2111</v>
      </c>
      <c r="J66" s="963">
        <v>40</v>
      </c>
      <c r="K66" s="963">
        <v>30</v>
      </c>
      <c r="L66" s="963">
        <v>50</v>
      </c>
      <c r="M66" s="965">
        <v>0.02</v>
      </c>
      <c r="O66" s="929" t="s">
        <v>1354</v>
      </c>
      <c r="P66" s="930" t="s">
        <v>2051</v>
      </c>
      <c r="Q66" s="968" t="s">
        <v>2052</v>
      </c>
      <c r="R66" s="930" t="s">
        <v>2053</v>
      </c>
    </row>
    <row r="67" spans="1:18" s="615" customFormat="1">
      <c r="A67" s="1033"/>
      <c r="B67" s="716"/>
      <c r="C67" s="716"/>
      <c r="K67" s="916"/>
      <c r="O67" s="935" t="s">
        <v>2056</v>
      </c>
      <c r="P67" s="936" t="s">
        <v>2057</v>
      </c>
      <c r="Q67" s="969">
        <f ca="1">C41+J31</f>
        <v>0</v>
      </c>
      <c r="R67" s="936" t="s">
        <v>2058</v>
      </c>
    </row>
    <row r="68" spans="1:18" s="615" customFormat="1" ht="19.5">
      <c r="A68" s="1033"/>
      <c r="B68" s="716"/>
      <c r="C68" s="716"/>
      <c r="K68" s="916"/>
      <c r="O68" s="935" t="s">
        <v>2061</v>
      </c>
      <c r="P68" s="936" t="s">
        <v>2091</v>
      </c>
      <c r="Q68" s="969" t="e">
        <f ca="1">L61</f>
        <v>#DIV/0!</v>
      </c>
      <c r="R68" s="971" t="s">
        <v>2092</v>
      </c>
    </row>
    <row r="69" spans="1:18" s="615" customFormat="1" ht="21">
      <c r="A69" s="1033"/>
      <c r="B69" s="716"/>
      <c r="C69" s="716"/>
      <c r="K69" s="916"/>
      <c r="O69" s="941" t="s">
        <v>2066</v>
      </c>
      <c r="P69" s="936" t="s">
        <v>2095</v>
      </c>
      <c r="Q69" s="976">
        <f ca="1">L52</f>
        <v>0</v>
      </c>
      <c r="R69" s="977" t="s">
        <v>2112</v>
      </c>
    </row>
    <row r="70" spans="1:18" s="615" customFormat="1" ht="19.5">
      <c r="A70" s="1033"/>
      <c r="B70" s="716"/>
      <c r="C70" s="716"/>
      <c r="K70" s="916"/>
      <c r="O70" s="941" t="s">
        <v>2070</v>
      </c>
      <c r="P70" s="975" t="s">
        <v>2113</v>
      </c>
      <c r="Q70" s="969">
        <f ca="1">ROUND(Q71-Q72*Q73,0)</f>
        <v>0</v>
      </c>
      <c r="R70" s="971"/>
    </row>
    <row r="71" spans="1:18" s="615" customFormat="1">
      <c r="A71" s="1033"/>
      <c r="B71" s="716"/>
      <c r="C71" s="716"/>
      <c r="K71" s="916"/>
      <c r="O71" s="941" t="s">
        <v>2114</v>
      </c>
      <c r="P71" s="975" t="s">
        <v>2115</v>
      </c>
      <c r="Q71" s="969">
        <f ca="1">C42</f>
        <v>0</v>
      </c>
      <c r="R71" s="936" t="s">
        <v>2058</v>
      </c>
    </row>
    <row r="72" spans="1:18" s="615" customFormat="1">
      <c r="A72" s="1033"/>
      <c r="B72" s="716"/>
      <c r="C72" s="716"/>
      <c r="K72" s="916"/>
      <c r="O72" s="941" t="s">
        <v>2116</v>
      </c>
      <c r="P72" s="975" t="s">
        <v>2117</v>
      </c>
      <c r="Q72" s="969">
        <f ca="1">C15</f>
        <v>0</v>
      </c>
      <c r="R72" s="936" t="s">
        <v>2058</v>
      </c>
    </row>
    <row r="73" spans="1:18" s="615" customFormat="1">
      <c r="A73" s="1033"/>
      <c r="B73" s="716"/>
      <c r="C73" s="716"/>
      <c r="K73" s="916"/>
      <c r="O73" s="941" t="s">
        <v>2118</v>
      </c>
      <c r="P73" s="975" t="s">
        <v>2119</v>
      </c>
      <c r="Q73" s="970">
        <f ca="1">F43</f>
        <v>0</v>
      </c>
      <c r="R73" s="971"/>
    </row>
    <row r="74" spans="1:18" s="615" customFormat="1">
      <c r="A74" s="1033"/>
      <c r="B74" s="716"/>
      <c r="C74" s="716"/>
      <c r="K74" s="916"/>
      <c r="O74" s="941" t="s">
        <v>2073</v>
      </c>
      <c r="P74" s="936" t="s">
        <v>2098</v>
      </c>
      <c r="Q74" s="970">
        <f>L53</f>
        <v>0</v>
      </c>
      <c r="R74" s="971"/>
    </row>
    <row r="75" spans="1:18" s="615" customFormat="1" ht="19.5">
      <c r="A75" s="1033"/>
      <c r="B75" s="716"/>
      <c r="C75" s="716"/>
      <c r="K75" s="916"/>
      <c r="O75" s="941" t="s">
        <v>2076</v>
      </c>
      <c r="P75" s="936" t="s">
        <v>2099</v>
      </c>
      <c r="Q75" s="969">
        <f ca="1">L59</f>
        <v>0</v>
      </c>
      <c r="R75" s="971" t="s">
        <v>2100</v>
      </c>
    </row>
    <row r="76" spans="1:18" s="615" customFormat="1" ht="19.5">
      <c r="A76" s="1033"/>
      <c r="B76" s="716"/>
      <c r="C76" s="716"/>
      <c r="K76" s="916"/>
      <c r="O76" s="941" t="s">
        <v>2120</v>
      </c>
      <c r="P76" s="936" t="s">
        <v>2106</v>
      </c>
      <c r="Q76" s="969">
        <f ca="1">L60</f>
        <v>0</v>
      </c>
      <c r="R76" s="971" t="s">
        <v>2107</v>
      </c>
    </row>
    <row r="77" spans="1:18" s="615" customFormat="1">
      <c r="A77" s="1033"/>
      <c r="B77" s="716"/>
      <c r="C77" s="716"/>
      <c r="K77" s="916"/>
      <c r="O77" s="935" t="s">
        <v>2079</v>
      </c>
      <c r="P77" s="936" t="s">
        <v>2080</v>
      </c>
      <c r="Q77" s="969" t="e">
        <f ca="1">Q67+Q68</f>
        <v>#DIV/0!</v>
      </c>
      <c r="R77" s="971" t="s">
        <v>2081</v>
      </c>
    </row>
    <row r="78" spans="1:18" s="615" customFormat="1">
      <c r="A78" s="1033"/>
      <c r="B78" s="716"/>
      <c r="C78" s="716"/>
      <c r="K78" s="916"/>
    </row>
    <row r="79" spans="1:18" s="615" customFormat="1">
      <c r="A79" s="1033"/>
      <c r="B79" s="716"/>
      <c r="C79" s="716"/>
      <c r="K79" s="916"/>
    </row>
    <row r="80" spans="1:18" s="615" customFormat="1">
      <c r="A80" s="1033"/>
      <c r="B80" s="716"/>
      <c r="C80" s="716"/>
      <c r="K80" s="916"/>
    </row>
    <row r="81" spans="1:11" s="615" customFormat="1">
      <c r="A81" s="1033"/>
      <c r="B81" s="716"/>
      <c r="C81" s="716"/>
      <c r="K81" s="916"/>
    </row>
    <row r="82" spans="1:11" s="615" customFormat="1">
      <c r="A82" s="1033"/>
      <c r="B82" s="716"/>
      <c r="C82" s="716"/>
      <c r="K82" s="916"/>
    </row>
    <row r="83" spans="1:11" s="615" customFormat="1">
      <c r="A83" s="1033"/>
      <c r="B83" s="716"/>
      <c r="C83" s="716"/>
      <c r="K83" s="916"/>
    </row>
    <row r="84" spans="1:11" s="615" customFormat="1">
      <c r="A84" s="1033"/>
      <c r="B84" s="716"/>
      <c r="C84" s="716"/>
      <c r="K84" s="916"/>
    </row>
    <row r="85" spans="1:11" s="615" customFormat="1">
      <c r="A85" s="1033"/>
      <c r="B85" s="716"/>
      <c r="C85" s="716"/>
      <c r="K85" s="916"/>
    </row>
    <row r="86" spans="1:11" s="615" customFormat="1">
      <c r="A86" s="1033"/>
      <c r="B86" s="716"/>
      <c r="C86" s="716"/>
      <c r="K86" s="916"/>
    </row>
    <row r="87" spans="1:11" s="615" customFormat="1">
      <c r="A87" s="1033"/>
      <c r="B87" s="716"/>
      <c r="C87" s="716"/>
      <c r="K87" s="916"/>
    </row>
    <row r="88" spans="1:11" s="615" customFormat="1">
      <c r="A88" s="1033"/>
      <c r="B88" s="716"/>
      <c r="C88" s="716"/>
      <c r="K88" s="916"/>
    </row>
    <row r="89" spans="1:11" s="615" customFormat="1">
      <c r="A89" s="1033"/>
      <c r="B89" s="716"/>
      <c r="C89" s="716"/>
      <c r="K89" s="916"/>
    </row>
    <row r="90" spans="1:11" s="615" customFormat="1">
      <c r="A90" s="1033"/>
      <c r="B90" s="716"/>
      <c r="C90" s="716"/>
      <c r="K90" s="916"/>
    </row>
    <row r="91" spans="1:11" s="615" customFormat="1">
      <c r="A91" s="1033"/>
      <c r="B91" s="716"/>
      <c r="C91" s="716"/>
      <c r="K91" s="916"/>
    </row>
    <row r="92" spans="1:11" s="615" customFormat="1">
      <c r="A92" s="1033"/>
      <c r="B92" s="716"/>
      <c r="C92" s="716"/>
      <c r="K92" s="916"/>
    </row>
    <row r="93" spans="1:11" s="615" customFormat="1">
      <c r="A93" s="1033"/>
      <c r="B93" s="716"/>
      <c r="C93" s="716"/>
      <c r="K93" s="916"/>
    </row>
    <row r="94" spans="1:11" s="615" customFormat="1">
      <c r="A94" s="1033"/>
      <c r="B94" s="716"/>
      <c r="C94" s="716"/>
      <c r="K94" s="916"/>
    </row>
  </sheetData>
  <sheetProtection password="CEE9" sheet="1" objects="1" scenarios="1" formatCells="0" formatColumns="0" formatRows="0"/>
  <mergeCells count="4">
    <mergeCell ref="K54:L54"/>
    <mergeCell ref="B8:B11"/>
    <mergeCell ref="I8:I11"/>
    <mergeCell ref="I36:I37"/>
  </mergeCells>
  <phoneticPr fontId="231" type="noConversion"/>
  <conditionalFormatting sqref="C13">
    <cfRule type="expression" dxfId="108" priority="6">
      <formula>$F$12="自定义"</formula>
    </cfRule>
  </conditionalFormatting>
  <conditionalFormatting sqref="J13">
    <cfRule type="expression" dxfId="107" priority="5">
      <formula>$M$10="自定义"</formula>
    </cfRule>
  </conditionalFormatting>
  <conditionalFormatting sqref="I56">
    <cfRule type="expression" dxfId="106" priority="4">
      <formula>$J$51&gt;$L$48</formula>
    </cfRule>
  </conditionalFormatting>
  <conditionalFormatting sqref="K56">
    <cfRule type="expression" dxfId="105" priority="3">
      <formula>$L$48&gt;$J$51</formula>
    </cfRule>
  </conditionalFormatting>
  <conditionalFormatting sqref="I61">
    <cfRule type="expression" dxfId="104" priority="2">
      <formula>$J$51&gt;$L$48</formula>
    </cfRule>
  </conditionalFormatting>
  <conditionalFormatting sqref="K61">
    <cfRule type="expression" dxfId="103"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J57" xr:uid="{00000000-0002-0000-1E00-000001000000}">
      <formula1>判定</formula1>
    </dataValidation>
    <dataValidation type="list" allowBlank="1" showInputMessage="1" showErrorMessage="1" sqref="F12 M12" xr:uid="{00000000-0002-0000-1E00-000002000000}">
      <formula1>"押一,押二,押三,自定义"</formula1>
    </dataValidation>
    <dataValidation type="list" allowBlank="1" showInputMessage="1" showErrorMessage="1" sqref="K21" xr:uid="{00000000-0002-0000-1E00-000003000000}">
      <formula1>"按租金收入计税,按房产原值计税"</formula1>
    </dataValidation>
    <dataValidation type="list" allowBlank="1" showInputMessage="1" showErrorMessage="1" sqref="D35" xr:uid="{00000000-0002-0000-1E00-000004000000}">
      <formula1>"按租金收入计税,按房产原值计税,按票据"</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60" zoomScaleNormal="60" workbookViewId="0">
      <selection activeCell="K37" sqref="K37"/>
    </sheetView>
  </sheetViews>
  <sheetFormatPr defaultColWidth="9" defaultRowHeight="15"/>
  <cols>
    <col min="1" max="1" width="9" style="713"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5.875" style="615" customWidth="1"/>
    <col min="16" max="16" width="27.625" style="615" customWidth="1"/>
    <col min="17" max="17" width="13.75" style="716" customWidth="1"/>
    <col min="18" max="18" width="23.5" style="615" customWidth="1"/>
    <col min="19" max="19" width="1.5" style="615" customWidth="1"/>
    <col min="20" max="33" width="9" style="615"/>
    <col min="34" max="16384" width="9" style="713"/>
  </cols>
  <sheetData>
    <row r="1" spans="1:33" s="711" customFormat="1" ht="21">
      <c r="A1" s="717" t="s">
        <v>2121</v>
      </c>
      <c r="B1" s="718"/>
      <c r="C1" s="719"/>
      <c r="D1" s="720" t="s">
        <v>138</v>
      </c>
      <c r="E1" s="721" t="s">
        <v>572</v>
      </c>
      <c r="F1" s="722">
        <f ca="1">J53</f>
        <v>0</v>
      </c>
      <c r="G1" s="723">
        <f>MATCH(C1,'数据-取费表'!A6:A16,0)+5</f>
        <v>7</v>
      </c>
      <c r="H1" s="724"/>
      <c r="I1" s="865"/>
      <c r="J1" s="865"/>
      <c r="K1" s="866"/>
      <c r="L1" s="865"/>
      <c r="M1" s="865"/>
      <c r="N1" s="867"/>
      <c r="O1" s="867"/>
      <c r="P1" s="867"/>
      <c r="Q1" s="966"/>
      <c r="R1" s="867"/>
      <c r="S1" s="867"/>
      <c r="T1" s="867"/>
      <c r="U1" s="867"/>
      <c r="V1" s="867"/>
      <c r="W1" s="867"/>
      <c r="X1" s="867"/>
      <c r="Y1" s="867"/>
      <c r="Z1" s="867"/>
      <c r="AA1" s="867"/>
      <c r="AB1" s="867"/>
      <c r="AC1" s="867"/>
      <c r="AD1" s="867"/>
      <c r="AE1" s="867"/>
      <c r="AF1" s="867"/>
      <c r="AG1" s="867"/>
    </row>
    <row r="2" spans="1:33" ht="18" customHeight="1">
      <c r="A2" s="208" t="s">
        <v>893</v>
      </c>
      <c r="B2" s="119" t="e">
        <f ca="1">C40+J29+L46</f>
        <v>#DIV/0!</v>
      </c>
      <c r="C2" s="725"/>
      <c r="D2" s="726"/>
      <c r="E2" s="727"/>
      <c r="F2" s="727"/>
      <c r="G2" s="728"/>
      <c r="H2" s="729"/>
      <c r="I2" s="729"/>
      <c r="J2" s="729"/>
      <c r="K2" s="868"/>
      <c r="L2" s="729"/>
      <c r="M2" s="729"/>
    </row>
    <row r="3" spans="1:33" ht="18" customHeight="1">
      <c r="A3" s="730" t="s">
        <v>1045</v>
      </c>
      <c r="B3" s="731">
        <f ca="1">IF(ISERROR(B2*10000/F43),0,ROUND(B2*10000/F43,0))</f>
        <v>0</v>
      </c>
      <c r="C3" s="725"/>
      <c r="D3" s="726"/>
      <c r="E3" s="727"/>
      <c r="F3" s="727"/>
      <c r="G3" s="728"/>
      <c r="H3" s="732" t="s">
        <v>1944</v>
      </c>
      <c r="I3" s="869"/>
      <c r="J3" s="869"/>
      <c r="K3" s="870"/>
      <c r="L3" s="869"/>
      <c r="M3" s="869"/>
    </row>
    <row r="4" spans="1:33" ht="18" customHeight="1">
      <c r="A4" s="733" t="s">
        <v>1945</v>
      </c>
      <c r="B4" s="734" t="s">
        <v>1946</v>
      </c>
      <c r="C4" s="734" t="s">
        <v>1947</v>
      </c>
      <c r="D4" s="734" t="s">
        <v>1948</v>
      </c>
      <c r="E4" s="735" t="s">
        <v>1949</v>
      </c>
      <c r="F4" s="736"/>
      <c r="G4" s="737"/>
      <c r="H4" s="733" t="s">
        <v>1945</v>
      </c>
      <c r="I4" s="734" t="s">
        <v>1946</v>
      </c>
      <c r="J4" s="734" t="s">
        <v>1947</v>
      </c>
      <c r="K4" s="734" t="s">
        <v>1948</v>
      </c>
      <c r="L4" s="735" t="s">
        <v>1949</v>
      </c>
      <c r="M4" s="736"/>
    </row>
    <row r="5" spans="1:33" ht="18" customHeight="1">
      <c r="A5" s="738">
        <v>1</v>
      </c>
      <c r="B5" s="739" t="s">
        <v>1950</v>
      </c>
      <c r="C5" s="740">
        <f ca="1">C6+C10+C12</f>
        <v>0</v>
      </c>
      <c r="D5" s="741" t="s">
        <v>1951</v>
      </c>
      <c r="E5" s="742"/>
      <c r="F5" s="743"/>
      <c r="G5" s="737"/>
      <c r="H5" s="738">
        <v>1</v>
      </c>
      <c r="I5" s="739" t="s">
        <v>1950</v>
      </c>
      <c r="J5" s="740">
        <f ca="1">J6+J10+J12</f>
        <v>0</v>
      </c>
      <c r="K5" s="741" t="s">
        <v>1951</v>
      </c>
      <c r="L5" s="742"/>
      <c r="M5" s="743"/>
    </row>
    <row r="6" spans="1:33" ht="18" customHeight="1">
      <c r="A6" s="744" t="s">
        <v>829</v>
      </c>
      <c r="B6" s="3830" t="s">
        <v>1952</v>
      </c>
      <c r="C6" s="745">
        <f ca="1">ROUND(F6*F8*F7*(1-F9)/10000,0)</f>
        <v>0</v>
      </c>
      <c r="D6" s="746" t="s">
        <v>2122</v>
      </c>
      <c r="E6" s="747" t="s">
        <v>1954</v>
      </c>
      <c r="F6" s="748">
        <f ca="1">INDIRECT("'数据-取费表'!u"&amp;$G$1)</f>
        <v>0</v>
      </c>
      <c r="G6" s="737"/>
      <c r="H6" s="749" t="s">
        <v>829</v>
      </c>
      <c r="I6" s="3830" t="s">
        <v>1952</v>
      </c>
      <c r="J6" s="745">
        <f ca="1">ROUND(M6*M8*M7*(1-M9)/10000,0)</f>
        <v>0</v>
      </c>
      <c r="K6" s="819" t="s">
        <v>2123</v>
      </c>
      <c r="L6" s="747" t="s">
        <v>1954</v>
      </c>
      <c r="M6" s="748">
        <f ca="1">INDIRECT("'数据-取费表'!z"&amp;$G$1)</f>
        <v>0</v>
      </c>
    </row>
    <row r="7" spans="1:33" ht="18" customHeight="1">
      <c r="A7" s="750"/>
      <c r="B7" s="3831"/>
      <c r="C7" s="751"/>
      <c r="D7" s="752"/>
      <c r="E7" s="747" t="s">
        <v>1955</v>
      </c>
      <c r="F7" s="748">
        <f ca="1">IF(INDIRECT("'数据-取费表'!ah"&amp;$G$1)="",INDIRECT("'数据-取费表'!k"&amp;$G$1),INDIRECT("'数据-取费表'!ah"&amp;$G$1))</f>
        <v>0</v>
      </c>
      <c r="G7" s="737"/>
      <c r="H7" s="753"/>
      <c r="I7" s="3831"/>
      <c r="J7" s="751"/>
      <c r="K7" s="752"/>
      <c r="L7" s="747" t="s">
        <v>1955</v>
      </c>
      <c r="M7" s="748">
        <f ca="1">F7</f>
        <v>0</v>
      </c>
    </row>
    <row r="8" spans="1:33" ht="18" customHeight="1">
      <c r="A8" s="754"/>
      <c r="B8" s="3832"/>
      <c r="C8" s="751"/>
      <c r="D8" s="752"/>
      <c r="E8" s="747" t="s">
        <v>1956</v>
      </c>
      <c r="F8" s="748">
        <f ca="1">INDIRECT("'数据-取费表'!ai"&amp;$G$1)</f>
        <v>0</v>
      </c>
      <c r="G8" s="737"/>
      <c r="H8" s="753"/>
      <c r="I8" s="3832"/>
      <c r="J8" s="751"/>
      <c r="K8" s="752"/>
      <c r="L8" s="747" t="s">
        <v>1956</v>
      </c>
      <c r="M8" s="748">
        <f ca="1">INDIRECT("'数据-取费表'!ai"&amp;$G$1)</f>
        <v>0</v>
      </c>
    </row>
    <row r="9" spans="1:33" ht="18" customHeight="1">
      <c r="A9" s="755"/>
      <c r="B9" s="3833"/>
      <c r="C9" s="751"/>
      <c r="D9" s="752"/>
      <c r="E9" s="747" t="s">
        <v>1957</v>
      </c>
      <c r="F9" s="756">
        <f ca="1">INDIRECT("'数据-取费表'!w"&amp;$G$1)</f>
        <v>0</v>
      </c>
      <c r="G9" s="737"/>
      <c r="H9" s="757"/>
      <c r="I9" s="3832"/>
      <c r="J9" s="751"/>
      <c r="K9" s="752"/>
      <c r="L9" s="800" t="s">
        <v>1957</v>
      </c>
      <c r="M9" s="766">
        <f ca="1">INDIRECT("'数据-取费表'!ab"&amp;$G$1)</f>
        <v>0</v>
      </c>
    </row>
    <row r="10" spans="1:33" ht="18" customHeight="1">
      <c r="A10" s="744" t="s">
        <v>831</v>
      </c>
      <c r="B10" s="758" t="s">
        <v>1958</v>
      </c>
      <c r="C10" s="120">
        <f ca="1">ROUND(IF(F10="押一",C6/12*F11,IF(F10="押二",C6/12*2*F11,IF(F10="押三",C6/12*3*F11,C11*F11))),0)</f>
        <v>0</v>
      </c>
      <c r="D10" s="759" t="s">
        <v>1959</v>
      </c>
      <c r="E10" s="760" t="s">
        <v>1960</v>
      </c>
      <c r="F10" s="761"/>
      <c r="G10" s="737"/>
      <c r="H10" s="762" t="s">
        <v>831</v>
      </c>
      <c r="I10" s="871" t="s">
        <v>1958</v>
      </c>
      <c r="J10" s="745">
        <f ca="1">ROUND(IF(M10="押一",J6/12*M11,IF(M10="押二",J6/12*2*M11,IF(M10="押三",J6/12*3*M11,J11*M11))),0)</f>
        <v>0</v>
      </c>
      <c r="K10" s="759" t="s">
        <v>1959</v>
      </c>
      <c r="L10" s="760" t="s">
        <v>1960</v>
      </c>
      <c r="M10" s="761"/>
    </row>
    <row r="11" spans="1:33" ht="18" customHeight="1">
      <c r="A11" s="763"/>
      <c r="B11" s="764" t="s">
        <v>1961</v>
      </c>
      <c r="C11" s="765"/>
      <c r="D11" s="752"/>
      <c r="E11" s="760" t="s">
        <v>618</v>
      </c>
      <c r="F11" s="766">
        <f ca="1">'数据-取费表'!B39</f>
        <v>1.4999999999999999E-2</v>
      </c>
      <c r="G11" s="737"/>
      <c r="H11" s="767"/>
      <c r="I11" s="764" t="s">
        <v>1961</v>
      </c>
      <c r="J11" s="765"/>
      <c r="K11" s="872"/>
      <c r="L11" s="760" t="s">
        <v>618</v>
      </c>
      <c r="M11" s="873">
        <f ca="1">'数据-取费表'!B39</f>
        <v>1.4999999999999999E-2</v>
      </c>
    </row>
    <row r="12" spans="1:33" ht="18" customHeight="1">
      <c r="A12" s="768" t="s">
        <v>983</v>
      </c>
      <c r="B12" s="769" t="s">
        <v>1962</v>
      </c>
      <c r="C12" s="770"/>
      <c r="D12" s="771"/>
      <c r="E12" s="772"/>
      <c r="F12" s="773"/>
      <c r="G12" s="737"/>
      <c r="H12" s="774" t="s">
        <v>983</v>
      </c>
      <c r="I12" s="874" t="s">
        <v>1962</v>
      </c>
      <c r="J12" s="875"/>
      <c r="K12" s="771"/>
      <c r="L12" s="772"/>
      <c r="M12" s="876"/>
    </row>
    <row r="13" spans="1:33" ht="18" customHeight="1">
      <c r="A13" s="775">
        <v>2</v>
      </c>
      <c r="B13" s="776" t="s">
        <v>1966</v>
      </c>
      <c r="C13" s="777">
        <f ca="1">ROUND(C29*F13,0)</f>
        <v>0</v>
      </c>
      <c r="D13" s="778" t="s">
        <v>2124</v>
      </c>
      <c r="E13" s="778" t="s">
        <v>1965</v>
      </c>
      <c r="F13" s="779">
        <f ca="1">INDIRECT("'数据-取费表'!y"&amp;$G$1)</f>
        <v>0</v>
      </c>
      <c r="G13" s="737"/>
      <c r="H13" s="775">
        <v>2</v>
      </c>
      <c r="I13" s="776" t="s">
        <v>1966</v>
      </c>
      <c r="J13" s="877">
        <f ca="1">ROUND(J14*J15,0)</f>
        <v>0</v>
      </c>
      <c r="K13" s="809" t="s">
        <v>1964</v>
      </c>
      <c r="L13" s="878"/>
      <c r="M13" s="879"/>
    </row>
    <row r="14" spans="1:33" ht="18" customHeight="1">
      <c r="A14" s="780" t="s">
        <v>853</v>
      </c>
      <c r="B14" s="747" t="s">
        <v>990</v>
      </c>
      <c r="C14" s="781">
        <f ca="1">INDIRECT("'数据-取费表'!m"&amp;$G$1)+INDIRECT("'数据-取费表'!t"&amp;$G$1)</f>
        <v>0</v>
      </c>
      <c r="D14" s="782" t="s">
        <v>1967</v>
      </c>
      <c r="E14" s="783"/>
      <c r="F14" s="784"/>
      <c r="G14" s="737"/>
      <c r="H14" s="785" t="s">
        <v>829</v>
      </c>
      <c r="I14" s="863" t="s">
        <v>1968</v>
      </c>
      <c r="J14" s="121">
        <f ca="1">C29</f>
        <v>0</v>
      </c>
      <c r="K14" s="864"/>
      <c r="L14" s="880"/>
      <c r="M14" s="881"/>
    </row>
    <row r="15" spans="1:33" s="712" customFormat="1" ht="18" customHeight="1">
      <c r="A15" s="780" t="s">
        <v>857</v>
      </c>
      <c r="B15" s="747" t="s">
        <v>992</v>
      </c>
      <c r="C15" s="121">
        <f ca="1">ROUND(C14*F15,0)</f>
        <v>0</v>
      </c>
      <c r="D15" s="786" t="s">
        <v>1969</v>
      </c>
      <c r="E15" s="786" t="s">
        <v>1970</v>
      </c>
      <c r="F15" s="787">
        <f>'数据-取费表'!B33</f>
        <v>0.04</v>
      </c>
      <c r="G15" s="788"/>
      <c r="H15" s="774" t="s">
        <v>831</v>
      </c>
      <c r="I15" s="806" t="s">
        <v>1965</v>
      </c>
      <c r="J15" s="882">
        <f ca="1">INDIRECT("'数据-取费表'!ad"&amp;$G$1)</f>
        <v>0</v>
      </c>
      <c r="K15" s="883"/>
      <c r="L15" s="884"/>
      <c r="M15" s="885"/>
      <c r="N15" s="886"/>
      <c r="O15" s="886"/>
      <c r="P15" s="886"/>
      <c r="Q15" s="967"/>
      <c r="R15" s="886"/>
      <c r="S15" s="886"/>
      <c r="T15" s="886"/>
      <c r="U15" s="886"/>
      <c r="V15" s="886"/>
      <c r="W15" s="886"/>
      <c r="X15" s="886"/>
      <c r="Y15" s="886"/>
      <c r="Z15" s="886"/>
      <c r="AA15" s="886"/>
      <c r="AB15" s="886"/>
      <c r="AC15" s="886"/>
      <c r="AD15" s="886"/>
      <c r="AE15" s="886"/>
      <c r="AF15" s="886"/>
      <c r="AG15" s="886"/>
    </row>
    <row r="16" spans="1:33" ht="18" customHeight="1">
      <c r="A16" s="780" t="s">
        <v>860</v>
      </c>
      <c r="B16" s="747" t="s">
        <v>995</v>
      </c>
      <c r="C16" s="121">
        <f ca="1">ROUND(INDIRECT("'数据-取费表'!m"&amp;$G$1)*F16,0)</f>
        <v>0</v>
      </c>
      <c r="D16" s="747" t="s">
        <v>1969</v>
      </c>
      <c r="E16" s="747" t="s">
        <v>1970</v>
      </c>
      <c r="F16" s="789">
        <f ca="1">IF(INDIRECT("'数据-取费表'!c"&amp;$G$1)="住宅",'数据-取费表'!B34,0)</f>
        <v>0</v>
      </c>
      <c r="G16" s="737"/>
      <c r="H16" s="775" t="s">
        <v>2030</v>
      </c>
      <c r="I16" s="776" t="s">
        <v>1971</v>
      </c>
      <c r="J16" s="777">
        <f ca="1">ROUND(J17+J22+J23+J24,0)</f>
        <v>0</v>
      </c>
      <c r="K16" s="809" t="s">
        <v>1972</v>
      </c>
      <c r="L16" s="810"/>
      <c r="M16" s="743"/>
    </row>
    <row r="17" spans="1:33" s="712" customFormat="1" ht="18" customHeight="1">
      <c r="A17" s="780" t="s">
        <v>2125</v>
      </c>
      <c r="B17" s="747" t="s">
        <v>1973</v>
      </c>
      <c r="C17" s="121">
        <f ca="1">ROUND(F17*(F43+INDIRECT("'数据-取费表'!S"&amp;$G$1))/10000,0)</f>
        <v>0</v>
      </c>
      <c r="D17" s="747" t="s">
        <v>1974</v>
      </c>
      <c r="E17" s="747" t="s">
        <v>1975</v>
      </c>
      <c r="F17" s="790">
        <f>'数据-取费表'!B35</f>
        <v>200</v>
      </c>
      <c r="G17" s="788"/>
      <c r="H17" s="785" t="s">
        <v>829</v>
      </c>
      <c r="I17" s="747" t="s">
        <v>1976</v>
      </c>
      <c r="J17" s="812">
        <f ca="1">ROUND(IF(AND(项目基本情况!B11="自然人",项目基本情况!B10="北京市"),J6*M17/(1+'数据-取费表'!C42),J18+J19+J20),0)</f>
        <v>0</v>
      </c>
      <c r="K17" s="782" t="s">
        <v>1977</v>
      </c>
      <c r="L17" s="813" t="s">
        <v>1978</v>
      </c>
      <c r="M17" s="814">
        <f ca="1">IF(项目基本情况!B11="企业","——",IF('数据-取费表'!B10="住宅",IF(M6*M7*M8/12/(1+'数据-取费表'!F30)&gt;100000,4%,2.5%),IF(M6*M7*M8/12/(1+'数据-取费表'!F30)&gt;100000,12%,7%)))</f>
        <v>7.0000000000000007E-2</v>
      </c>
      <c r="N17" s="886"/>
      <c r="O17" s="886"/>
      <c r="P17" s="886"/>
      <c r="Q17" s="967"/>
      <c r="R17" s="886"/>
      <c r="S17" s="886"/>
      <c r="T17" s="886"/>
      <c r="U17" s="886"/>
      <c r="V17" s="886"/>
      <c r="W17" s="886"/>
      <c r="X17" s="886"/>
      <c r="Y17" s="886"/>
      <c r="Z17" s="886"/>
      <c r="AA17" s="886"/>
      <c r="AB17" s="886"/>
      <c r="AC17" s="886"/>
      <c r="AD17" s="886"/>
      <c r="AE17" s="886"/>
      <c r="AF17" s="886"/>
      <c r="AG17" s="886"/>
    </row>
    <row r="18" spans="1:33" s="712" customFormat="1" ht="18" customHeight="1">
      <c r="A18" s="780" t="s">
        <v>2126</v>
      </c>
      <c r="B18" s="747" t="s">
        <v>1000</v>
      </c>
      <c r="C18" s="121">
        <f ca="1">ROUND(C14*F18,0)</f>
        <v>0</v>
      </c>
      <c r="D18" s="747" t="s">
        <v>1969</v>
      </c>
      <c r="E18" s="747" t="s">
        <v>1970</v>
      </c>
      <c r="F18" s="789">
        <f>'数据-取费表'!B36</f>
        <v>1.4999999999999999E-2</v>
      </c>
      <c r="G18" s="788"/>
      <c r="H18" s="780" t="s">
        <v>853</v>
      </c>
      <c r="I18" s="747" t="s">
        <v>1979</v>
      </c>
      <c r="J18" s="121">
        <f ca="1">ROUND(J6*M18/(1+'数据-取费表'!C42),1)</f>
        <v>0</v>
      </c>
      <c r="K18" s="813" t="s">
        <v>1980</v>
      </c>
      <c r="L18" s="747" t="s">
        <v>1970</v>
      </c>
      <c r="M18" s="789">
        <f>'数据-取费表'!B41</f>
        <v>5.6000000000000001E-2</v>
      </c>
      <c r="N18" s="886"/>
      <c r="O18" s="886"/>
      <c r="P18" s="886"/>
      <c r="Q18" s="967"/>
      <c r="R18" s="886"/>
      <c r="S18" s="886"/>
      <c r="T18" s="886"/>
      <c r="U18" s="886"/>
      <c r="V18" s="886"/>
      <c r="W18" s="886"/>
      <c r="X18" s="886"/>
      <c r="Y18" s="886"/>
      <c r="Z18" s="886"/>
      <c r="AA18" s="886"/>
      <c r="AB18" s="886"/>
      <c r="AC18" s="886"/>
      <c r="AD18" s="886"/>
      <c r="AE18" s="886"/>
      <c r="AF18" s="886"/>
      <c r="AG18" s="886"/>
    </row>
    <row r="19" spans="1:33" ht="18" customHeight="1">
      <c r="A19" s="785" t="s">
        <v>829</v>
      </c>
      <c r="B19" s="747" t="s">
        <v>1981</v>
      </c>
      <c r="C19" s="121">
        <f ca="1">SUM(C14:C18)</f>
        <v>0</v>
      </c>
      <c r="D19" s="791" t="s">
        <v>1982</v>
      </c>
      <c r="E19" s="123"/>
      <c r="F19" s="790"/>
      <c r="G19" s="737"/>
      <c r="H19" s="780" t="s">
        <v>857</v>
      </c>
      <c r="I19" s="747" t="s">
        <v>1983</v>
      </c>
      <c r="J19" s="121">
        <f ca="1">IF(K19="按租金收入计税",ROUND(J6*M19/(1+'数据-取费表'!C42),1),ROUND(C29*F33*0.7,1))</f>
        <v>0</v>
      </c>
      <c r="K19" s="817" t="s">
        <v>1984</v>
      </c>
      <c r="L19" s="747" t="s">
        <v>1970</v>
      </c>
      <c r="M19" s="789">
        <f>IF(K19="按租金收入计税",'数据-取费表'!B51,'数据-取费表'!B50)</f>
        <v>1.2E-2</v>
      </c>
    </row>
    <row r="20" spans="1:33" s="712" customFormat="1" ht="18" customHeight="1">
      <c r="A20" s="785" t="s">
        <v>831</v>
      </c>
      <c r="B20" s="747" t="s">
        <v>1986</v>
      </c>
      <c r="C20" s="121">
        <f ca="1">ROUND(C19*F20,0)</f>
        <v>0</v>
      </c>
      <c r="D20" s="792" t="s">
        <v>1987</v>
      </c>
      <c r="E20" s="747" t="s">
        <v>1970</v>
      </c>
      <c r="F20" s="789">
        <f>'数据-取费表'!B37</f>
        <v>0.02</v>
      </c>
      <c r="G20" s="788"/>
      <c r="H20" s="793" t="s">
        <v>860</v>
      </c>
      <c r="I20" s="819" t="s">
        <v>1988</v>
      </c>
      <c r="J20" s="820">
        <f ca="1">ROUND(M20*M21/10000,0)</f>
        <v>0</v>
      </c>
      <c r="K20" s="821" t="s">
        <v>1989</v>
      </c>
      <c r="L20" s="747" t="s">
        <v>1990</v>
      </c>
      <c r="M20" s="797">
        <f>'数据-取费表'!B52</f>
        <v>1.5</v>
      </c>
      <c r="N20" s="886"/>
      <c r="O20" s="886"/>
      <c r="P20" s="886"/>
      <c r="Q20" s="967"/>
      <c r="R20" s="886"/>
      <c r="S20" s="886"/>
      <c r="T20" s="886"/>
      <c r="U20" s="886"/>
      <c r="V20" s="886"/>
      <c r="W20" s="886"/>
      <c r="X20" s="886"/>
      <c r="Y20" s="886"/>
      <c r="Z20" s="886"/>
      <c r="AA20" s="886"/>
      <c r="AB20" s="886"/>
      <c r="AC20" s="886"/>
      <c r="AD20" s="886"/>
      <c r="AE20" s="886"/>
      <c r="AF20" s="886"/>
      <c r="AG20" s="886"/>
    </row>
    <row r="21" spans="1:33" s="712" customFormat="1" ht="18" customHeight="1">
      <c r="A21" s="785" t="s">
        <v>983</v>
      </c>
      <c r="B21" s="747" t="s">
        <v>1992</v>
      </c>
      <c r="C21" s="121" t="s">
        <v>138</v>
      </c>
      <c r="D21" s="792" t="s">
        <v>2127</v>
      </c>
      <c r="E21" s="747" t="s">
        <v>1994</v>
      </c>
      <c r="F21" s="789">
        <f>'数据-取费表'!B38</f>
        <v>0.02</v>
      </c>
      <c r="G21" s="788"/>
      <c r="H21" s="794"/>
      <c r="I21" s="823"/>
      <c r="J21" s="824"/>
      <c r="K21" s="825"/>
      <c r="L21" s="747" t="s">
        <v>1995</v>
      </c>
      <c r="M21" s="748">
        <f ca="1">INDIRECT("'数据-取费表'!r"&amp;$G$1)</f>
        <v>0</v>
      </c>
      <c r="N21" s="886"/>
      <c r="O21" s="886"/>
      <c r="P21" s="886"/>
      <c r="Q21" s="967"/>
      <c r="R21" s="886"/>
      <c r="S21" s="886"/>
      <c r="T21" s="886"/>
      <c r="U21" s="886"/>
      <c r="V21" s="886"/>
      <c r="W21" s="886"/>
      <c r="X21" s="886"/>
      <c r="Y21" s="886"/>
      <c r="Z21" s="886"/>
      <c r="AA21" s="886"/>
      <c r="AB21" s="886"/>
      <c r="AC21" s="886"/>
      <c r="AD21" s="886"/>
      <c r="AE21" s="886"/>
      <c r="AF21" s="886"/>
      <c r="AG21" s="886"/>
    </row>
    <row r="22" spans="1:33" ht="18" customHeight="1">
      <c r="A22" s="785" t="s">
        <v>2128</v>
      </c>
      <c r="B22" s="747" t="s">
        <v>1997</v>
      </c>
      <c r="C22" s="121"/>
      <c r="D22" s="795" t="str">
        <f>IF(F23&lt;=1,"单利计息。","复利计息。")&amp;"建造成本、管理费用、销售费用产生的利息。"</f>
        <v>复利计息。建造成本、管理费用、销售费用产生的利息。</v>
      </c>
      <c r="E22" s="123"/>
      <c r="F22" s="790"/>
      <c r="G22" s="737"/>
      <c r="H22" s="785" t="s">
        <v>831</v>
      </c>
      <c r="I22" s="747" t="s">
        <v>1998</v>
      </c>
      <c r="J22" s="121">
        <f ca="1">ROUND(J14*M22,0)</f>
        <v>0</v>
      </c>
      <c r="K22" s="813" t="s">
        <v>1999</v>
      </c>
      <c r="L22" s="747" t="s">
        <v>1970</v>
      </c>
      <c r="M22" s="826">
        <f ca="1">INDIRECT("'数据-取费表'!Ak"&amp;$G$1)</f>
        <v>0</v>
      </c>
    </row>
    <row r="23" spans="1:33" s="712" customFormat="1" ht="18" customHeight="1">
      <c r="A23" s="780" t="s">
        <v>853</v>
      </c>
      <c r="B23" s="747" t="s">
        <v>2000</v>
      </c>
      <c r="C23" s="121">
        <f ca="1">ROUND(IF('数据-取费表'!B22&lt;=1,(C19+C20)*F24*F23/2,(C19+C20)*(POWER((1+F24),F23/2)-1)),0)</f>
        <v>0</v>
      </c>
      <c r="D23" s="796" t="str">
        <f>IF(F23&lt;=1,"(建造成本+管理费用)×利率×(建设周期÷2)","(建造成本+管理费用)×((1+利率)^(建设周期÷2)-1)")</f>
        <v>(建造成本+管理费用)×((1+利率)^(建设周期÷2)-1)</v>
      </c>
      <c r="E23" s="747" t="s">
        <v>2001</v>
      </c>
      <c r="F23" s="797">
        <f>'数据-取费表'!B20</f>
        <v>1.5</v>
      </c>
      <c r="G23" s="788"/>
      <c r="H23" s="785" t="s">
        <v>983</v>
      </c>
      <c r="I23" s="747" t="s">
        <v>2002</v>
      </c>
      <c r="J23" s="121">
        <f ca="1">ROUND(J13*M23,0)</f>
        <v>0</v>
      </c>
      <c r="K23" s="813" t="s">
        <v>2003</v>
      </c>
      <c r="L23" s="747" t="s">
        <v>1970</v>
      </c>
      <c r="M23" s="827">
        <f ca="1">INDIRECT("'数据-取费表'!Al"&amp;$G$1)</f>
        <v>0</v>
      </c>
      <c r="N23" s="886"/>
      <c r="O23" s="886"/>
      <c r="P23" s="886"/>
      <c r="Q23" s="967"/>
      <c r="R23" s="886"/>
      <c r="S23" s="886"/>
      <c r="T23" s="886"/>
      <c r="U23" s="886"/>
      <c r="V23" s="886"/>
      <c r="W23" s="886"/>
      <c r="X23" s="886"/>
      <c r="Y23" s="886"/>
      <c r="Z23" s="886"/>
      <c r="AA23" s="886"/>
      <c r="AB23" s="886"/>
      <c r="AC23" s="886"/>
      <c r="AD23" s="886"/>
      <c r="AE23" s="886"/>
      <c r="AF23" s="886"/>
      <c r="AG23" s="886"/>
    </row>
    <row r="24" spans="1:33" s="712" customFormat="1" ht="18" customHeight="1">
      <c r="A24" s="780" t="s">
        <v>857</v>
      </c>
      <c r="B24" s="747" t="s">
        <v>2004</v>
      </c>
      <c r="C24" s="121">
        <f ca="1">ROUND(IF('数据-取费表'!B22&lt;=1,F21*F24*F23/2,F21*(POWER((1+F24),F23/2)-1)),4)</f>
        <v>6.9999999999999999E-4</v>
      </c>
      <c r="D24" s="796" t="str">
        <f>IF(F23&lt;=1,"销售费用×利率×(建设周期÷2)","销售费用×((1+利率)^(建设周期÷2)-1)")</f>
        <v>销售费用×((1+利率)^(建设周期÷2)-1)</v>
      </c>
      <c r="E24" s="747" t="s">
        <v>2005</v>
      </c>
      <c r="F24" s="798">
        <f ca="1">'数据-取费表'!B40</f>
        <v>4.7500000000000001E-2</v>
      </c>
      <c r="G24" s="788"/>
      <c r="H24" s="774" t="s">
        <v>2128</v>
      </c>
      <c r="I24" s="806" t="s">
        <v>1986</v>
      </c>
      <c r="J24" s="804">
        <f ca="1">ROUND(J5*M24,0)</f>
        <v>0</v>
      </c>
      <c r="K24" s="805" t="s">
        <v>2006</v>
      </c>
      <c r="L24" s="806" t="s">
        <v>1970</v>
      </c>
      <c r="M24" s="773">
        <f ca="1">INDIRECT("'数据-取费表'!Am"&amp;$G$1)</f>
        <v>0</v>
      </c>
      <c r="N24" s="886"/>
      <c r="O24" s="886"/>
      <c r="P24" s="886"/>
      <c r="Q24" s="967"/>
      <c r="R24" s="886"/>
      <c r="S24" s="886"/>
      <c r="T24" s="886"/>
      <c r="U24" s="886"/>
      <c r="V24" s="886"/>
      <c r="W24" s="886"/>
      <c r="X24" s="886"/>
      <c r="Y24" s="886"/>
      <c r="Z24" s="886"/>
      <c r="AA24" s="886"/>
      <c r="AB24" s="886"/>
      <c r="AC24" s="886"/>
      <c r="AD24" s="886"/>
      <c r="AE24" s="886"/>
      <c r="AF24" s="886"/>
      <c r="AG24" s="886"/>
    </row>
    <row r="25" spans="1:33" ht="18" customHeight="1">
      <c r="A25" s="799" t="s">
        <v>886</v>
      </c>
      <c r="B25" s="747" t="s">
        <v>2008</v>
      </c>
      <c r="C25" s="121"/>
      <c r="D25" s="791" t="s">
        <v>2009</v>
      </c>
      <c r="E25" s="123"/>
      <c r="F25" s="790"/>
      <c r="G25" s="737"/>
      <c r="H25" s="775" t="s">
        <v>2129</v>
      </c>
      <c r="I25" s="828" t="s">
        <v>2010</v>
      </c>
      <c r="J25" s="777">
        <f ca="1">J5-J16</f>
        <v>0</v>
      </c>
      <c r="K25" s="829" t="s">
        <v>2011</v>
      </c>
      <c r="L25" s="830"/>
      <c r="M25" s="831"/>
    </row>
    <row r="26" spans="1:33" ht="18" customHeight="1">
      <c r="A26" s="780" t="s">
        <v>853</v>
      </c>
      <c r="B26" s="747" t="s">
        <v>2012</v>
      </c>
      <c r="C26" s="121">
        <f ca="1">ROUND((C19+C20)*F26,0)</f>
        <v>0</v>
      </c>
      <c r="D26" s="792" t="s">
        <v>2013</v>
      </c>
      <c r="E26" s="800" t="s">
        <v>2014</v>
      </c>
      <c r="F26" s="756">
        <f ca="1">INDIRECT("'数据-取费表'!q"&amp;$G$1)</f>
        <v>0</v>
      </c>
      <c r="G26" s="737"/>
      <c r="H26" s="801" t="s">
        <v>2130</v>
      </c>
      <c r="I26" s="832" t="s">
        <v>2131</v>
      </c>
      <c r="J26" s="745">
        <f ca="1">IF(J5&lt;&gt;0,ROUND(J25*(1-((1+M28)/(1+M26))^M27)/(M26-M28),0),0)</f>
        <v>0</v>
      </c>
      <c r="K26" s="821" t="s">
        <v>2016</v>
      </c>
      <c r="L26" s="747" t="s">
        <v>2132</v>
      </c>
      <c r="M26" s="756">
        <f ca="1">INDIRECT("'数据-取费表'!I"&amp;$G$1)</f>
        <v>0</v>
      </c>
    </row>
    <row r="27" spans="1:33" ht="18" customHeight="1">
      <c r="A27" s="780" t="s">
        <v>857</v>
      </c>
      <c r="B27" s="747" t="s">
        <v>2018</v>
      </c>
      <c r="C27" s="121">
        <f ca="1">ROUND(F21*F26,4)</f>
        <v>0</v>
      </c>
      <c r="D27" s="792" t="s">
        <v>2019</v>
      </c>
      <c r="E27" s="786"/>
      <c r="F27" s="787"/>
      <c r="G27" s="737"/>
      <c r="H27" s="802"/>
      <c r="I27" s="833"/>
      <c r="J27" s="751"/>
      <c r="K27" s="834" t="s">
        <v>2020</v>
      </c>
      <c r="L27" s="747" t="s">
        <v>2021</v>
      </c>
      <c r="M27" s="835">
        <f ca="1">INDIRECT("'数据-取费表'!ag"&amp;$G$1)</f>
        <v>0</v>
      </c>
    </row>
    <row r="28" spans="1:33" s="712" customFormat="1" ht="18" customHeight="1">
      <c r="A28" s="799" t="s">
        <v>887</v>
      </c>
      <c r="B28" s="747" t="s">
        <v>2023</v>
      </c>
      <c r="C28" s="121">
        <f>ROUND(F28/(1+'数据-取费表'!C42),4)</f>
        <v>5.33E-2</v>
      </c>
      <c r="D28" s="792" t="s">
        <v>2133</v>
      </c>
      <c r="E28" s="747" t="s">
        <v>1970</v>
      </c>
      <c r="F28" s="789">
        <f>'数据-取费表'!B41</f>
        <v>5.6000000000000001E-2</v>
      </c>
      <c r="G28" s="788"/>
      <c r="H28" s="775"/>
      <c r="I28" s="837"/>
      <c r="J28" s="777"/>
      <c r="K28" s="825"/>
      <c r="L28" s="747" t="s">
        <v>2025</v>
      </c>
      <c r="M28" s="756">
        <f ca="1">INDIRECT("'数据-取费表'!aa"&amp;$G$1)</f>
        <v>0</v>
      </c>
      <c r="N28" s="886"/>
      <c r="O28" s="886"/>
      <c r="P28" s="886"/>
      <c r="Q28" s="967"/>
      <c r="R28" s="886"/>
      <c r="S28" s="886"/>
      <c r="T28" s="886"/>
      <c r="U28" s="886"/>
      <c r="V28" s="886"/>
      <c r="W28" s="886"/>
      <c r="X28" s="886"/>
      <c r="Y28" s="886"/>
      <c r="Z28" s="886"/>
      <c r="AA28" s="886"/>
      <c r="AB28" s="886"/>
      <c r="AC28" s="886"/>
      <c r="AD28" s="886"/>
      <c r="AE28" s="886"/>
      <c r="AF28" s="886"/>
      <c r="AG28" s="886"/>
    </row>
    <row r="29" spans="1:33" s="712" customFormat="1" ht="18" customHeight="1">
      <c r="A29" s="803" t="s">
        <v>1111</v>
      </c>
      <c r="B29" s="772" t="s">
        <v>2027</v>
      </c>
      <c r="C29" s="804">
        <f ca="1">ROUND((C19+C20+C23+C26)/(1-F21-C24-C27-C28),0)</f>
        <v>0</v>
      </c>
      <c r="D29" s="805"/>
      <c r="E29" s="806"/>
      <c r="F29" s="807"/>
      <c r="G29" s="788"/>
      <c r="H29" s="808" t="s">
        <v>2134</v>
      </c>
      <c r="I29" s="838" t="s">
        <v>2135</v>
      </c>
      <c r="J29" s="839">
        <f ca="1">ROUND(J26/(1+F40)^F41,0)</f>
        <v>0</v>
      </c>
      <c r="K29" s="840" t="s">
        <v>2029</v>
      </c>
      <c r="L29" s="841"/>
      <c r="M29" s="842">
        <f ca="1">INDIRECT("'数据-取费表'!k"&amp;$G$1)</f>
        <v>0</v>
      </c>
      <c r="N29" s="886"/>
      <c r="O29" s="886"/>
      <c r="P29" s="886"/>
      <c r="Q29" s="967"/>
      <c r="R29" s="886"/>
      <c r="S29" s="886"/>
      <c r="T29" s="886"/>
      <c r="U29" s="886"/>
      <c r="V29" s="886"/>
      <c r="W29" s="886"/>
      <c r="X29" s="886"/>
      <c r="Y29" s="886"/>
      <c r="Z29" s="886"/>
      <c r="AA29" s="886"/>
      <c r="AB29" s="886"/>
      <c r="AC29" s="886"/>
      <c r="AD29" s="886"/>
      <c r="AE29" s="886"/>
      <c r="AF29" s="886"/>
      <c r="AG29" s="886"/>
    </row>
    <row r="30" spans="1:33" ht="18" customHeight="1">
      <c r="A30" s="775" t="s">
        <v>2030</v>
      </c>
      <c r="B30" s="776" t="s">
        <v>1971</v>
      </c>
      <c r="C30" s="777">
        <f ca="1">ROUND(C31+C36+C37+C38,0)</f>
        <v>0</v>
      </c>
      <c r="D30" s="809" t="s">
        <v>1972</v>
      </c>
      <c r="E30" s="810"/>
      <c r="F30" s="743"/>
      <c r="G30" s="737"/>
      <c r="H30" s="811"/>
      <c r="I30" s="887"/>
      <c r="J30" s="888"/>
      <c r="K30" s="889"/>
      <c r="L30" s="890"/>
      <c r="M30" s="891"/>
    </row>
    <row r="31" spans="1:33" ht="18" customHeight="1">
      <c r="A31" s="785" t="s">
        <v>829</v>
      </c>
      <c r="B31" s="747" t="s">
        <v>1976</v>
      </c>
      <c r="C31" s="812">
        <f ca="1">ROUND(IF(AND(项目基本情况!B11="自然人",项目基本情况!B10="北京市"),C6*F31/(1+'数据-取费表'!C42),C32+C33+C34),0)</f>
        <v>0</v>
      </c>
      <c r="D31" s="782" t="s">
        <v>1977</v>
      </c>
      <c r="E31" s="813" t="s">
        <v>1978</v>
      </c>
      <c r="F31" s="814">
        <f ca="1">IF(项目基本情况!B11="企业","——",IF('数据-取费表'!B10="住宅",IF(F6*F7*F8/12/(1+'数据-取费表'!F30)&gt;100000,4%,2.5%),IF(F6*F7*F8/12/(1+'数据-取费表'!F30)&gt;100000,12%,7%)))</f>
        <v>7.0000000000000007E-2</v>
      </c>
      <c r="G31" s="737"/>
      <c r="H31" s="815" t="s">
        <v>2032</v>
      </c>
      <c r="I31" s="887"/>
      <c r="J31" s="888"/>
      <c r="K31" s="889"/>
      <c r="L31" s="890"/>
      <c r="M31" s="891"/>
    </row>
    <row r="32" spans="1:33" ht="18" customHeight="1">
      <c r="A32" s="780" t="s">
        <v>853</v>
      </c>
      <c r="B32" s="747" t="s">
        <v>1979</v>
      </c>
      <c r="C32" s="121">
        <f ca="1">ROUND(C6*F32/(1+'数据-取费表'!C42),1)</f>
        <v>0</v>
      </c>
      <c r="D32" s="813" t="s">
        <v>1980</v>
      </c>
      <c r="E32" s="747" t="s">
        <v>1970</v>
      </c>
      <c r="F32" s="789">
        <f>'数据-取费表'!B41</f>
        <v>5.6000000000000001E-2</v>
      </c>
      <c r="G32" s="737"/>
      <c r="H32" s="816"/>
      <c r="I32" s="892"/>
      <c r="J32" s="893"/>
      <c r="K32" s="894"/>
      <c r="L32" s="895"/>
      <c r="M32" s="896"/>
    </row>
    <row r="33" spans="1:18" ht="18" customHeight="1">
      <c r="A33" s="780" t="s">
        <v>857</v>
      </c>
      <c r="B33" s="747" t="s">
        <v>1983</v>
      </c>
      <c r="C33" s="121">
        <f ca="1">IF(D33="按租金收入计税",ROUND(C6*F33/(1+'数据-取费表'!C42),1),IF(D33="按房产原值计税",ROUND(C29*F33*0.7,1),INDIRECT("'数据-取费表'!Aj"&amp;$G$1)))</f>
        <v>0</v>
      </c>
      <c r="D33" s="817" t="s">
        <v>2033</v>
      </c>
      <c r="E33" s="747" t="s">
        <v>1970</v>
      </c>
      <c r="F33" s="789">
        <f>IF(D33="按租金收入计税",'数据-取费表'!B51,'数据-取费表'!B50)</f>
        <v>1.2E-2</v>
      </c>
      <c r="G33" s="737"/>
      <c r="H33" s="818"/>
      <c r="I33" s="818"/>
      <c r="J33" s="818"/>
      <c r="K33" s="897"/>
      <c r="L33" s="818"/>
      <c r="M33" s="818"/>
    </row>
    <row r="34" spans="1:18" ht="18" customHeight="1">
      <c r="A34" s="793" t="s">
        <v>860</v>
      </c>
      <c r="B34" s="819" t="s">
        <v>1988</v>
      </c>
      <c r="C34" s="820">
        <f ca="1">ROUND(F34*F35/10000,1)</f>
        <v>0</v>
      </c>
      <c r="D34" s="821" t="s">
        <v>1989</v>
      </c>
      <c r="E34" s="747" t="s">
        <v>1990</v>
      </c>
      <c r="F34" s="797">
        <f>'数据-取费表'!B52</f>
        <v>1.5</v>
      </c>
      <c r="G34" s="737"/>
      <c r="H34" s="811"/>
      <c r="I34" s="898" t="s">
        <v>2136</v>
      </c>
      <c r="J34" s="899"/>
      <c r="K34" s="900"/>
      <c r="L34" s="901"/>
      <c r="M34" s="901"/>
    </row>
    <row r="35" spans="1:18" ht="18" customHeight="1">
      <c r="A35" s="822"/>
      <c r="B35" s="823"/>
      <c r="C35" s="824"/>
      <c r="D35" s="825"/>
      <c r="E35" s="747" t="s">
        <v>1995</v>
      </c>
      <c r="F35" s="748">
        <f ca="1">INDIRECT("'数据-取费表'!r"&amp;$G$1)</f>
        <v>0</v>
      </c>
      <c r="G35" s="737"/>
      <c r="H35" s="811"/>
      <c r="I35" s="902" t="s">
        <v>2137</v>
      </c>
      <c r="J35" s="903">
        <f ca="1">ROUND(C13*J36,0)</f>
        <v>0</v>
      </c>
      <c r="K35" s="897"/>
      <c r="L35" s="818"/>
      <c r="M35" s="818"/>
    </row>
    <row r="36" spans="1:18" ht="18" customHeight="1">
      <c r="A36" s="785" t="s">
        <v>831</v>
      </c>
      <c r="B36" s="747" t="s">
        <v>1998</v>
      </c>
      <c r="C36" s="121">
        <f ca="1">ROUND(C29*F36,1)</f>
        <v>0</v>
      </c>
      <c r="D36" s="813" t="s">
        <v>2034</v>
      </c>
      <c r="E36" s="747" t="s">
        <v>1970</v>
      </c>
      <c r="F36" s="826">
        <f ca="1">INDIRECT("'数据-取费表'!Ak"&amp;$G$1)</f>
        <v>0</v>
      </c>
      <c r="G36" s="737"/>
      <c r="H36" s="818"/>
      <c r="I36" s="904" t="s">
        <v>2138</v>
      </c>
      <c r="J36" s="905">
        <f ca="1">INDIRECT("'数据-取费表'!j"&amp;$G$1)</f>
        <v>0</v>
      </c>
      <c r="K36" s="906"/>
      <c r="L36" s="818"/>
      <c r="M36" s="818"/>
    </row>
    <row r="37" spans="1:18" ht="18" customHeight="1">
      <c r="A37" s="785" t="s">
        <v>983</v>
      </c>
      <c r="B37" s="747" t="s">
        <v>2002</v>
      </c>
      <c r="C37" s="121">
        <f ca="1">ROUND(C13*F37,1)</f>
        <v>0</v>
      </c>
      <c r="D37" s="813" t="s">
        <v>2003</v>
      </c>
      <c r="E37" s="747" t="s">
        <v>1970</v>
      </c>
      <c r="F37" s="827">
        <f ca="1">INDIRECT("'数据-取费表'!Al"&amp;$G$1)</f>
        <v>0</v>
      </c>
      <c r="G37" s="737"/>
      <c r="H37" s="818"/>
      <c r="I37" s="907" t="s">
        <v>2139</v>
      </c>
      <c r="J37" s="908"/>
      <c r="K37" s="906"/>
      <c r="L37" s="818"/>
      <c r="M37" s="818"/>
    </row>
    <row r="38" spans="1:18" ht="18" customHeight="1">
      <c r="A38" s="774" t="s">
        <v>2128</v>
      </c>
      <c r="B38" s="806" t="s">
        <v>1986</v>
      </c>
      <c r="C38" s="804">
        <f ca="1">ROUND(C5*F38,1)</f>
        <v>0</v>
      </c>
      <c r="D38" s="805" t="s">
        <v>2006</v>
      </c>
      <c r="E38" s="806" t="s">
        <v>1970</v>
      </c>
      <c r="F38" s="773">
        <f ca="1">INDIRECT("'数据-取费表'!Am"&amp;$G$1)</f>
        <v>0</v>
      </c>
      <c r="G38" s="737"/>
      <c r="H38" s="818"/>
      <c r="I38" s="909" t="s">
        <v>2140</v>
      </c>
      <c r="J38" s="910"/>
      <c r="K38" s="911"/>
      <c r="L38" s="818"/>
      <c r="M38" s="818"/>
    </row>
    <row r="39" spans="1:18" ht="24.6" customHeight="1">
      <c r="A39" s="775" t="s">
        <v>2129</v>
      </c>
      <c r="B39" s="828" t="s">
        <v>2010</v>
      </c>
      <c r="C39" s="777">
        <f ca="1">C5-C30</f>
        <v>0</v>
      </c>
      <c r="D39" s="829" t="s">
        <v>2011</v>
      </c>
      <c r="E39" s="830"/>
      <c r="F39" s="831"/>
      <c r="G39" s="737"/>
      <c r="H39" s="818"/>
      <c r="I39" s="902" t="s">
        <v>2141</v>
      </c>
      <c r="J39" s="912" t="e">
        <f ca="1">ROUND(J35/C39,3)</f>
        <v>#DIV/0!</v>
      </c>
      <c r="K39" s="911"/>
      <c r="L39" s="818"/>
      <c r="M39" s="818"/>
    </row>
    <row r="40" spans="1:18" ht="18" customHeight="1">
      <c r="A40" s="738" t="s">
        <v>2130</v>
      </c>
      <c r="B40" s="832" t="s">
        <v>2142</v>
      </c>
      <c r="C40" s="745" t="e">
        <f ca="1">ROUND(C39*(1-((1+F42)/(1+F40))^F41)/(F40-F42),0)</f>
        <v>#DIV/0!</v>
      </c>
      <c r="D40" s="821" t="s">
        <v>2016</v>
      </c>
      <c r="E40" s="747" t="s">
        <v>2132</v>
      </c>
      <c r="F40" s="756">
        <f ca="1">INDIRECT("'数据-取费表'!I"&amp;$G$1)</f>
        <v>0</v>
      </c>
      <c r="G40" s="737"/>
      <c r="H40" s="737"/>
      <c r="I40" s="902" t="s">
        <v>2143</v>
      </c>
      <c r="J40" s="912" t="e">
        <f ca="1">1-J39</f>
        <v>#DIV/0!</v>
      </c>
      <c r="K40" s="911"/>
      <c r="L40" s="737"/>
      <c r="M40" s="737"/>
    </row>
    <row r="41" spans="1:18" ht="18" customHeight="1">
      <c r="A41" s="755"/>
      <c r="B41" s="833"/>
      <c r="C41" s="751"/>
      <c r="D41" s="834" t="s">
        <v>2020</v>
      </c>
      <c r="E41" s="747" t="s">
        <v>2021</v>
      </c>
      <c r="F41" s="835">
        <f ca="1">IF(INDIRECT("'数据-取费表'!af"&amp;$G$1)=0,INDIRECT("'数据-取费表'!ae"&amp;$G$1),INDIRECT("'数据-取费表'!af"&amp;$G$1))</f>
        <v>0</v>
      </c>
      <c r="G41" s="737"/>
      <c r="H41" s="836"/>
      <c r="I41" s="909" t="s">
        <v>2144</v>
      </c>
      <c r="J41" s="913"/>
      <c r="K41" s="906"/>
      <c r="L41" s="836"/>
      <c r="M41" s="836"/>
    </row>
    <row r="42" spans="1:18" ht="18" customHeight="1">
      <c r="A42" s="763"/>
      <c r="B42" s="837"/>
      <c r="C42" s="777"/>
      <c r="D42" s="825"/>
      <c r="E42" s="747" t="s">
        <v>2025</v>
      </c>
      <c r="F42" s="756">
        <f ca="1">INDIRECT("'数据-取费表'!v"&amp;$G$1)</f>
        <v>0</v>
      </c>
      <c r="G42" s="737"/>
      <c r="H42" s="836"/>
      <c r="I42" s="914" t="s">
        <v>2145</v>
      </c>
      <c r="J42" s="912" t="e">
        <f ca="1">ROUND(C13/C40,3)</f>
        <v>#DIV/0!</v>
      </c>
      <c r="K42" s="906"/>
      <c r="L42" s="836"/>
      <c r="M42" s="836"/>
    </row>
    <row r="43" spans="1:18" ht="18" customHeight="1">
      <c r="A43" s="808" t="s">
        <v>2134</v>
      </c>
      <c r="B43" s="838" t="s">
        <v>2146</v>
      </c>
      <c r="C43" s="839" t="e">
        <f ca="1">ROUND(C40*10000/F43,0)</f>
        <v>#DIV/0!</v>
      </c>
      <c r="D43" s="840" t="s">
        <v>2147</v>
      </c>
      <c r="E43" s="841" t="s">
        <v>2148</v>
      </c>
      <c r="F43" s="842">
        <f ca="1">INDIRECT("'数据-取费表'!k"&amp;$G$1)</f>
        <v>0</v>
      </c>
      <c r="G43" s="737"/>
      <c r="H43" s="836"/>
      <c r="I43" s="914" t="s">
        <v>2149</v>
      </c>
      <c r="J43" s="915" t="e">
        <f ca="1">1-J42</f>
        <v>#DIV/0!</v>
      </c>
      <c r="K43" s="906"/>
      <c r="L43" s="836"/>
      <c r="M43" s="836"/>
    </row>
    <row r="44" spans="1:18" s="615" customFormat="1" ht="18" customHeight="1">
      <c r="A44" s="843"/>
      <c r="B44" s="843"/>
      <c r="C44" s="844"/>
      <c r="D44" s="843"/>
      <c r="E44" s="843"/>
      <c r="F44" s="843"/>
      <c r="K44" s="916"/>
      <c r="Q44" s="716"/>
    </row>
    <row r="45" spans="1:18" s="615" customFormat="1" ht="18" customHeight="1">
      <c r="A45" s="843"/>
      <c r="B45" s="843"/>
      <c r="C45" s="844"/>
      <c r="D45" s="843"/>
      <c r="E45" s="843"/>
      <c r="F45" s="843"/>
      <c r="K45" s="916"/>
      <c r="Q45" s="716"/>
    </row>
    <row r="46" spans="1:18" s="615" customFormat="1" ht="18" customHeight="1">
      <c r="A46" s="845" t="s">
        <v>2150</v>
      </c>
      <c r="B46" s="843"/>
      <c r="C46" s="846" t="e">
        <f ca="1">C67-C40</f>
        <v>#DIV/0!</v>
      </c>
      <c r="D46" s="847"/>
      <c r="E46" s="847"/>
      <c r="F46" s="847"/>
      <c r="I46" s="917" t="s">
        <v>2047</v>
      </c>
      <c r="J46" s="918"/>
      <c r="K46" s="919"/>
      <c r="L46" s="920" t="e">
        <f ca="1">IF(OR(M47="住宅",D1="土地（套用方法）"),0,IF(L48&gt;J51,L60,J60))</f>
        <v>#DIV/0!</v>
      </c>
      <c r="M46" s="921"/>
      <c r="O46" s="922" t="s">
        <v>2048</v>
      </c>
      <c r="P46" s="923"/>
      <c r="Q46" s="928"/>
      <c r="R46" s="923"/>
    </row>
    <row r="47" spans="1:18" s="615" customFormat="1" ht="18" customHeight="1">
      <c r="A47" s="848">
        <v>1</v>
      </c>
      <c r="B47" s="849" t="s">
        <v>2151</v>
      </c>
      <c r="C47" s="846">
        <f ca="1">C48+C52+C54</f>
        <v>0</v>
      </c>
      <c r="D47" s="847"/>
      <c r="E47" s="847"/>
      <c r="F47" s="847"/>
      <c r="I47" s="924" t="s">
        <v>2049</v>
      </c>
      <c r="J47" s="925"/>
      <c r="K47" s="926" t="s">
        <v>2050</v>
      </c>
      <c r="L47" s="927">
        <f ca="1">INDIRECT("'数据-取费表'!d"&amp;$G$1)</f>
        <v>0</v>
      </c>
      <c r="M47" s="928" t="str">
        <f>IF(ISNUMBER(FIND("住宅",C1)),"住宅","非住宅")</f>
        <v>非住宅</v>
      </c>
      <c r="O47" s="929" t="s">
        <v>1354</v>
      </c>
      <c r="P47" s="930" t="s">
        <v>2051</v>
      </c>
      <c r="Q47" s="968" t="s">
        <v>2052</v>
      </c>
      <c r="R47" s="930" t="s">
        <v>2053</v>
      </c>
    </row>
    <row r="48" spans="1:18" s="615" customFormat="1" ht="18" customHeight="1">
      <c r="A48" s="850" t="s">
        <v>1153</v>
      </c>
      <c r="B48" s="851" t="s">
        <v>2152</v>
      </c>
      <c r="C48" s="852">
        <f ca="1">ROUND(F48*F50*F49*(1-F51)/10000,0)</f>
        <v>0</v>
      </c>
      <c r="D48" s="853" t="s">
        <v>2123</v>
      </c>
      <c r="E48" s="854" t="s">
        <v>2153</v>
      </c>
      <c r="F48" s="855"/>
      <c r="G48" s="856"/>
      <c r="I48" s="931" t="s">
        <v>2054</v>
      </c>
      <c r="J48" s="932"/>
      <c r="K48" s="933" t="s">
        <v>2055</v>
      </c>
      <c r="L48" s="934">
        <f ca="1">INDIRECT("'数据-取费表'!f"&amp;$G$1)</f>
        <v>0</v>
      </c>
      <c r="M48" s="921"/>
      <c r="O48" s="935" t="s">
        <v>2056</v>
      </c>
      <c r="P48" s="936" t="s">
        <v>2057</v>
      </c>
      <c r="Q48" s="969" t="e">
        <f ca="1">C40+J29</f>
        <v>#DIV/0!</v>
      </c>
      <c r="R48" s="936" t="s">
        <v>2058</v>
      </c>
    </row>
    <row r="49" spans="1:18" s="615" customFormat="1" ht="18" customHeight="1">
      <c r="A49" s="755"/>
      <c r="B49" s="833"/>
      <c r="C49" s="751"/>
      <c r="D49" s="752"/>
      <c r="E49" s="747" t="s">
        <v>1955</v>
      </c>
      <c r="F49" s="748">
        <f ca="1">F7</f>
        <v>0</v>
      </c>
      <c r="G49" s="856"/>
      <c r="H49" s="857"/>
      <c r="I49" s="931" t="s">
        <v>2059</v>
      </c>
      <c r="J49" s="937"/>
      <c r="K49" s="938" t="s">
        <v>2060</v>
      </c>
      <c r="L49" s="939"/>
      <c r="M49" s="921"/>
      <c r="O49" s="935" t="s">
        <v>2061</v>
      </c>
      <c r="P49" s="936" t="s">
        <v>2062</v>
      </c>
      <c r="Q49" s="969" t="e">
        <f ca="1">J60</f>
        <v>#DIV/0!</v>
      </c>
      <c r="R49" s="936" t="s">
        <v>2063</v>
      </c>
    </row>
    <row r="50" spans="1:18" s="615" customFormat="1" ht="18" customHeight="1">
      <c r="A50" s="755"/>
      <c r="B50" s="833"/>
      <c r="C50" s="751"/>
      <c r="D50" s="752"/>
      <c r="E50" s="747" t="s">
        <v>1956</v>
      </c>
      <c r="F50" s="748">
        <f ca="1">F8</f>
        <v>0</v>
      </c>
      <c r="G50" s="858"/>
      <c r="H50" s="857"/>
      <c r="I50" s="931" t="s">
        <v>2064</v>
      </c>
      <c r="J50" s="940">
        <f>SUMPRODUCT((I63:I65=J47)*(J62:L62=J48)*(J63:L65))</f>
        <v>0</v>
      </c>
      <c r="K50" s="938" t="s">
        <v>2065</v>
      </c>
      <c r="L50" s="939"/>
      <c r="M50" s="921"/>
      <c r="O50" s="941" t="s">
        <v>2066</v>
      </c>
      <c r="P50" s="936" t="s">
        <v>2067</v>
      </c>
      <c r="Q50" s="969">
        <f ca="1">C29</f>
        <v>0</v>
      </c>
      <c r="R50" s="936" t="s">
        <v>2058</v>
      </c>
    </row>
    <row r="51" spans="1:18" s="615" customFormat="1" ht="18" customHeight="1">
      <c r="A51" s="755"/>
      <c r="B51" s="833"/>
      <c r="C51" s="751"/>
      <c r="D51" s="752"/>
      <c r="E51" s="747" t="s">
        <v>1957</v>
      </c>
      <c r="F51" s="859"/>
      <c r="H51" s="857"/>
      <c r="I51" s="942" t="s">
        <v>2068</v>
      </c>
      <c r="J51" s="943">
        <f>IF(J49="",J50,J49+J50-YEAR('数据-取费表'!B2))</f>
        <v>0</v>
      </c>
      <c r="K51" s="931" t="s">
        <v>2069</v>
      </c>
      <c r="L51" s="944">
        <f ca="1">ROUND(-PV(INDIRECT("'数据-取费表'!h"&amp;$G$1),J51,(C39-C13*J36),0),0)</f>
        <v>0</v>
      </c>
      <c r="M51" s="921"/>
      <c r="O51" s="941" t="s">
        <v>2070</v>
      </c>
      <c r="P51" s="936" t="s">
        <v>2071</v>
      </c>
      <c r="Q51" s="970" t="e">
        <f ca="1">J58</f>
        <v>#DIV/0!</v>
      </c>
      <c r="R51" s="971"/>
    </row>
    <row r="52" spans="1:18" s="615" customFormat="1" ht="18" customHeight="1">
      <c r="A52" s="738" t="s">
        <v>2154</v>
      </c>
      <c r="B52" s="758" t="s">
        <v>1958</v>
      </c>
      <c r="C52" s="120">
        <f ca="1">ROUND(IF(F52="押一",C48/12*F11,IF(F52="押二",C48/12*2*F11,IF(F52="押三",C48/12*3*F11,C53*F11))),0)</f>
        <v>0</v>
      </c>
      <c r="D52" s="759" t="s">
        <v>1959</v>
      </c>
      <c r="E52" s="760" t="s">
        <v>1960</v>
      </c>
      <c r="F52" s="761"/>
      <c r="I52" s="945" t="s">
        <v>2072</v>
      </c>
      <c r="J52" s="946"/>
      <c r="K52" s="945" t="s">
        <v>1221</v>
      </c>
      <c r="L52" s="946"/>
      <c r="M52" s="921"/>
      <c r="O52" s="941" t="s">
        <v>2073</v>
      </c>
      <c r="P52" s="936" t="s">
        <v>2074</v>
      </c>
      <c r="Q52" s="970">
        <f>J52</f>
        <v>0</v>
      </c>
      <c r="R52" s="971"/>
    </row>
    <row r="53" spans="1:18" s="615" customFormat="1" ht="39.75" customHeight="1">
      <c r="A53" s="755"/>
      <c r="B53" s="764" t="s">
        <v>1961</v>
      </c>
      <c r="C53" s="765"/>
      <c r="D53" s="759"/>
      <c r="E53" s="760"/>
      <c r="F53" s="860"/>
      <c r="I53" s="947" t="s">
        <v>2075</v>
      </c>
      <c r="J53" s="948">
        <f ca="1">IF(M47="住宅",IF(D1="——",MAX(J51,L48),MAX(J51,L48-'数据-取费表'!B20)),IF(D1="——",MIN(J51,L48),MIN(J51,L48-'数据-取费表'!B20)))</f>
        <v>0</v>
      </c>
      <c r="K53" s="3835" t="s">
        <v>2155</v>
      </c>
      <c r="L53" s="3836"/>
      <c r="M53" s="921"/>
      <c r="O53" s="941" t="s">
        <v>2076</v>
      </c>
      <c r="P53" s="936" t="s">
        <v>2077</v>
      </c>
      <c r="Q53" s="969">
        <f ca="1">J53</f>
        <v>0</v>
      </c>
      <c r="R53" s="936" t="s">
        <v>2078</v>
      </c>
    </row>
    <row r="54" spans="1:18" s="615" customFormat="1" ht="18" customHeight="1">
      <c r="A54" s="768" t="s">
        <v>983</v>
      </c>
      <c r="B54" s="769" t="s">
        <v>1962</v>
      </c>
      <c r="C54" s="770"/>
      <c r="D54" s="759"/>
      <c r="E54" s="760"/>
      <c r="F54" s="860"/>
      <c r="I54" s="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916"/>
      <c r="M54" s="921"/>
      <c r="O54" s="935" t="s">
        <v>2079</v>
      </c>
      <c r="P54" s="936" t="s">
        <v>2080</v>
      </c>
      <c r="Q54" s="969" t="e">
        <f ca="1">Q48+Q49</f>
        <v>#DIV/0!</v>
      </c>
      <c r="R54" s="971" t="s">
        <v>2081</v>
      </c>
    </row>
    <row r="55" spans="1:18" s="615" customFormat="1" ht="18" customHeight="1">
      <c r="A55" s="861">
        <v>2</v>
      </c>
      <c r="B55" s="862" t="s">
        <v>1966</v>
      </c>
      <c r="C55" s="120">
        <f ca="1">C13</f>
        <v>0</v>
      </c>
      <c r="D55" s="800"/>
      <c r="E55" s="800"/>
      <c r="F55" s="860"/>
      <c r="I55" s="949" t="s">
        <v>2082</v>
      </c>
      <c r="J55" s="950" t="e">
        <f ca="1">ROUND(IF(J47="钢混",J57/J50,1-(1-2%)*(J50-J57)/J50),3)</f>
        <v>#DIV/0!</v>
      </c>
      <c r="K55" s="951" t="s">
        <v>2083</v>
      </c>
      <c r="L55" s="952"/>
      <c r="M55" s="921"/>
      <c r="O55" s="953" t="s">
        <v>2084</v>
      </c>
      <c r="P55" s="923"/>
      <c r="Q55" s="928"/>
      <c r="R55" s="923"/>
    </row>
    <row r="56" spans="1:18" s="615" customFormat="1" ht="42.75" customHeight="1">
      <c r="A56" s="799"/>
      <c r="B56" s="863" t="s">
        <v>2027</v>
      </c>
      <c r="C56" s="121">
        <f ca="1">C29</f>
        <v>0</v>
      </c>
      <c r="D56" s="813"/>
      <c r="E56" s="747"/>
      <c r="F56" s="789"/>
      <c r="I56" s="954" t="s">
        <v>2085</v>
      </c>
      <c r="J56" s="955"/>
      <c r="K56" s="931" t="s">
        <v>2086</v>
      </c>
      <c r="L56" s="934">
        <f ca="1">IF(L48&lt;J51,"——",L48-J51)</f>
        <v>0</v>
      </c>
      <c r="M56" s="921"/>
      <c r="O56" s="929" t="s">
        <v>1354</v>
      </c>
      <c r="P56" s="930" t="s">
        <v>2051</v>
      </c>
      <c r="Q56" s="968" t="s">
        <v>2052</v>
      </c>
      <c r="R56" s="930" t="s">
        <v>2053</v>
      </c>
    </row>
    <row r="57" spans="1:18" s="615" customFormat="1" ht="28.5" customHeight="1">
      <c r="A57" s="861" t="s">
        <v>2030</v>
      </c>
      <c r="B57" s="862" t="s">
        <v>1971</v>
      </c>
      <c r="C57" s="120">
        <f ca="1">ROUND(C58+C63+C64+C65,0)</f>
        <v>0</v>
      </c>
      <c r="D57" s="864" t="s">
        <v>1972</v>
      </c>
      <c r="E57" s="123"/>
      <c r="F57" s="790"/>
      <c r="I57" s="956" t="s">
        <v>2087</v>
      </c>
      <c r="J57" s="957">
        <f ca="1">IF(OR(M47="住宅",J51&lt;L48,J56="是"),"——",J51-L48)</f>
        <v>0</v>
      </c>
      <c r="K57" s="931" t="s">
        <v>2088</v>
      </c>
      <c r="L57" s="934">
        <f ca="1">IF(L48&lt;J51,"——",IF(L55="比较法",L49,IF(L55="基准地价",L50,L51)))</f>
        <v>0</v>
      </c>
      <c r="M57" s="921"/>
      <c r="O57" s="935" t="s">
        <v>2056</v>
      </c>
      <c r="P57" s="936" t="s">
        <v>2057</v>
      </c>
      <c r="Q57" s="969" t="e">
        <f ca="1">C40+J29</f>
        <v>#DIV/0!</v>
      </c>
      <c r="R57" s="936" t="s">
        <v>2058</v>
      </c>
    </row>
    <row r="58" spans="1:18" s="615" customFormat="1" ht="28.5" customHeight="1">
      <c r="A58" s="785" t="s">
        <v>829</v>
      </c>
      <c r="B58" s="747" t="s">
        <v>1976</v>
      </c>
      <c r="C58" s="812">
        <f ca="1">ROUND(IF(AND(项目基本情况!B11="自然人",项目基本情况!B10="北京市"),C48*F58/(1+'数据-取费表'!C42),C59+C60+C61),0)</f>
        <v>0</v>
      </c>
      <c r="D58" s="782" t="s">
        <v>1977</v>
      </c>
      <c r="E58" s="813" t="s">
        <v>1978</v>
      </c>
      <c r="F58" s="814">
        <f ca="1">IF(项目基本情况!B11="企业","——",IF('数据-取费表'!B10="住宅",IF(F48*F49*F50/12/(1+'数据-取费表'!F30)&gt;100000,4%,2.5%),IF(F48*F49*F50/12/(1+'数据-取费表'!F30)&gt;100000,12%,7%)))</f>
        <v>7.0000000000000007E-2</v>
      </c>
      <c r="I58" s="956" t="s">
        <v>2089</v>
      </c>
      <c r="J58" s="958" t="e">
        <f ca="1">IF(J55&lt;0.4,0.4,J55)</f>
        <v>#DIV/0!</v>
      </c>
      <c r="K58" s="931" t="s">
        <v>2090</v>
      </c>
      <c r="L58" s="934" t="e">
        <f ca="1">ROUND(POWER(1+L52,L47-L48)*(POWER(1+L52,L48)-1)/(POWER(1+L52,L47)-1),4)</f>
        <v>#DIV/0!</v>
      </c>
      <c r="M58" s="921"/>
      <c r="O58" s="935" t="s">
        <v>2061</v>
      </c>
      <c r="P58" s="936" t="s">
        <v>2091</v>
      </c>
      <c r="Q58" s="969" t="e">
        <f ca="1">L60</f>
        <v>#DIV/0!</v>
      </c>
      <c r="R58" s="971" t="s">
        <v>2092</v>
      </c>
    </row>
    <row r="59" spans="1:18" s="615" customFormat="1" ht="28.5" customHeight="1">
      <c r="A59" s="780" t="s">
        <v>853</v>
      </c>
      <c r="B59" s="747" t="s">
        <v>1979</v>
      </c>
      <c r="C59" s="121">
        <f ca="1">ROUND(C47*F59/1.05,1)</f>
        <v>0</v>
      </c>
      <c r="D59" s="813" t="s">
        <v>1980</v>
      </c>
      <c r="E59" s="747" t="s">
        <v>1970</v>
      </c>
      <c r="F59" s="789">
        <f t="shared" ref="F59:F65" si="0">F32</f>
        <v>5.6000000000000001E-2</v>
      </c>
      <c r="I59" s="956" t="s">
        <v>2093</v>
      </c>
      <c r="J59" s="957" t="e">
        <f ca="1">IF(OR(M47="住宅",J51&lt;L48,J56="是"),"——",ROUND(C29*J58,0))</f>
        <v>#DIV/0!</v>
      </c>
      <c r="K59" s="931" t="str">
        <f>IF(D1="——","建筑物剩余耐用年限下的土地年期修正系数Kn","建设期及建筑物耐用年限下的土地年期修正系数Kn")</f>
        <v>建筑物剩余耐用年限下的土地年期修正系数Kn</v>
      </c>
      <c r="L59" s="934" t="e">
        <f ca="1">ROUND(IF(D1="土地（套用方法）",POWER(1+L52,L47-(J51+'数据-取费表'!B20))*(POWER(1+L52,(J51+'数据-取费表'!B20))-1)/(POWER(1+L52,L47)-1),POWER(1+L52,L47-J51)*(POWER(1+L52,J51)-1)/(POWER(1+L52,L47)-1)),4)</f>
        <v>#DIV/0!</v>
      </c>
      <c r="M59" s="921"/>
      <c r="O59" s="941" t="s">
        <v>2066</v>
      </c>
      <c r="P59" s="936" t="s">
        <v>2095</v>
      </c>
      <c r="Q59" s="969">
        <f>IF(L55="比较法",L49,IF(L55="基准地价",L50,0))</f>
        <v>0</v>
      </c>
      <c r="R59" s="936" t="s">
        <v>2058</v>
      </c>
    </row>
    <row r="60" spans="1:18" s="615" customFormat="1" ht="18" customHeight="1">
      <c r="A60" s="780" t="s">
        <v>857</v>
      </c>
      <c r="B60" s="747" t="s">
        <v>1983</v>
      </c>
      <c r="C60" s="121">
        <f ca="1">IF(D60="按租金收入计税",ROUND(C48*F60/(1+'数据-取费表'!C42),1),IF(D60="按房产原值计税",ROUND(C56*F60*0.7,1),INDIRECT("'数据-取费表'!Aj"&amp;$G$1)))</f>
        <v>0</v>
      </c>
      <c r="D60" s="813" t="str">
        <f>D33</f>
        <v>按房产原值计税</v>
      </c>
      <c r="E60" s="747" t="s">
        <v>1970</v>
      </c>
      <c r="F60" s="789">
        <f t="shared" si="0"/>
        <v>1.2E-2</v>
      </c>
      <c r="I60" s="959" t="s">
        <v>2096</v>
      </c>
      <c r="J60" s="960" t="e">
        <f ca="1">IF(OR(M47="住宅",J51&lt;L48,J56="是"),"0",ROUND(J59/(1+J52)^J53,0))</f>
        <v>#DIV/0!</v>
      </c>
      <c r="K60" s="961" t="s">
        <v>2097</v>
      </c>
      <c r="L60" s="960" t="e">
        <f ca="1">IF(OR(M47="住宅",L48&lt;J51),0,ROUND(L57*(L58/L59-1),0))</f>
        <v>#DIV/0!</v>
      </c>
      <c r="M60" s="921"/>
      <c r="O60" s="941" t="s">
        <v>2070</v>
      </c>
      <c r="P60" s="936" t="s">
        <v>2098</v>
      </c>
      <c r="Q60" s="970">
        <f>L52</f>
        <v>0</v>
      </c>
      <c r="R60" s="971"/>
    </row>
    <row r="61" spans="1:18" s="615" customFormat="1" ht="18" customHeight="1">
      <c r="A61" s="793" t="s">
        <v>860</v>
      </c>
      <c r="B61" s="819" t="s">
        <v>1988</v>
      </c>
      <c r="C61" s="820">
        <f ca="1">ROUND(F61*F62/10000,1)</f>
        <v>0</v>
      </c>
      <c r="D61" s="821" t="s">
        <v>1989</v>
      </c>
      <c r="E61" s="747" t="s">
        <v>1990</v>
      </c>
      <c r="F61" s="797">
        <f t="shared" si="0"/>
        <v>1.5</v>
      </c>
      <c r="K61" s="916"/>
      <c r="O61" s="941" t="s">
        <v>2073</v>
      </c>
      <c r="P61" s="936" t="s">
        <v>2099</v>
      </c>
      <c r="Q61" s="969" t="e">
        <f ca="1">L58</f>
        <v>#DIV/0!</v>
      </c>
      <c r="R61" s="971" t="s">
        <v>2100</v>
      </c>
    </row>
    <row r="62" spans="1:18" s="615" customFormat="1">
      <c r="A62" s="822"/>
      <c r="B62" s="823"/>
      <c r="C62" s="824"/>
      <c r="D62" s="825"/>
      <c r="E62" s="747" t="s">
        <v>1995</v>
      </c>
      <c r="F62" s="748">
        <f t="shared" ca="1" si="0"/>
        <v>0</v>
      </c>
      <c r="I62" s="962" t="s">
        <v>2101</v>
      </c>
      <c r="J62" s="963" t="s">
        <v>2102</v>
      </c>
      <c r="K62" s="963" t="s">
        <v>2103</v>
      </c>
      <c r="L62" s="963" t="s">
        <v>2104</v>
      </c>
      <c r="M62" s="964" t="s">
        <v>2105</v>
      </c>
      <c r="O62" s="941" t="s">
        <v>2076</v>
      </c>
      <c r="P62" s="936" t="str">
        <f>K59</f>
        <v>建筑物剩余耐用年限下的土地年期修正系数Kn</v>
      </c>
      <c r="Q62" s="969" t="e">
        <f ca="1">L59</f>
        <v>#DIV/0!</v>
      </c>
      <c r="R62" s="971" t="s">
        <v>2107</v>
      </c>
    </row>
    <row r="63" spans="1:18" s="615" customFormat="1">
      <c r="A63" s="785" t="s">
        <v>831</v>
      </c>
      <c r="B63" s="747" t="s">
        <v>1998</v>
      </c>
      <c r="C63" s="121">
        <f ca="1">ROUND(C56*F63,1)</f>
        <v>0</v>
      </c>
      <c r="D63" s="813" t="s">
        <v>2034</v>
      </c>
      <c r="E63" s="747" t="s">
        <v>1970</v>
      </c>
      <c r="F63" s="826">
        <f t="shared" ca="1" si="0"/>
        <v>0</v>
      </c>
      <c r="I63" s="962" t="s">
        <v>2108</v>
      </c>
      <c r="J63" s="963">
        <v>70</v>
      </c>
      <c r="K63" s="963">
        <v>50</v>
      </c>
      <c r="L63" s="963">
        <v>80</v>
      </c>
      <c r="M63" s="965">
        <v>0.02</v>
      </c>
      <c r="O63" s="935" t="s">
        <v>2079</v>
      </c>
      <c r="P63" s="936" t="s">
        <v>2080</v>
      </c>
      <c r="Q63" s="969" t="e">
        <f ca="1">Q57+Q58</f>
        <v>#DIV/0!</v>
      </c>
      <c r="R63" s="971" t="s">
        <v>2081</v>
      </c>
    </row>
    <row r="64" spans="1:18" s="615" customFormat="1" ht="15.75">
      <c r="A64" s="785" t="s">
        <v>983</v>
      </c>
      <c r="B64" s="747" t="s">
        <v>2002</v>
      </c>
      <c r="C64" s="121">
        <f ca="1">ROUND(C55*F64,1)</f>
        <v>0</v>
      </c>
      <c r="D64" s="813" t="s">
        <v>2003</v>
      </c>
      <c r="E64" s="747" t="s">
        <v>1970</v>
      </c>
      <c r="F64" s="827">
        <f t="shared" ca="1" si="0"/>
        <v>0</v>
      </c>
      <c r="I64" s="962" t="s">
        <v>2109</v>
      </c>
      <c r="J64" s="963">
        <v>50</v>
      </c>
      <c r="K64" s="963">
        <v>35</v>
      </c>
      <c r="L64" s="963">
        <v>60</v>
      </c>
      <c r="M64" s="913">
        <v>0</v>
      </c>
      <c r="O64" s="953" t="s">
        <v>2110</v>
      </c>
      <c r="P64" s="923"/>
      <c r="Q64" s="928"/>
      <c r="R64" s="923"/>
    </row>
    <row r="65" spans="1:18" s="615" customFormat="1">
      <c r="A65" s="785" t="s">
        <v>2128</v>
      </c>
      <c r="B65" s="747" t="s">
        <v>1986</v>
      </c>
      <c r="C65" s="121">
        <f ca="1">ROUND(C47*F65,1)</f>
        <v>0</v>
      </c>
      <c r="D65" s="813" t="s">
        <v>2006</v>
      </c>
      <c r="E65" s="747" t="s">
        <v>1970</v>
      </c>
      <c r="F65" s="756">
        <f t="shared" ca="1" si="0"/>
        <v>0</v>
      </c>
      <c r="I65" s="962" t="s">
        <v>2111</v>
      </c>
      <c r="J65" s="963">
        <v>40</v>
      </c>
      <c r="K65" s="963">
        <v>30</v>
      </c>
      <c r="L65" s="963">
        <v>50</v>
      </c>
      <c r="M65" s="965">
        <v>0.02</v>
      </c>
      <c r="O65" s="929" t="s">
        <v>1354</v>
      </c>
      <c r="P65" s="930" t="s">
        <v>2051</v>
      </c>
      <c r="Q65" s="968" t="s">
        <v>2052</v>
      </c>
      <c r="R65" s="930" t="s">
        <v>2053</v>
      </c>
    </row>
    <row r="66" spans="1:18" s="615" customFormat="1" ht="24">
      <c r="A66" s="861" t="s">
        <v>2129</v>
      </c>
      <c r="B66" s="972" t="s">
        <v>2010</v>
      </c>
      <c r="C66" s="120">
        <f ca="1">C47-C57</f>
        <v>0</v>
      </c>
      <c r="D66" s="782" t="s">
        <v>2011</v>
      </c>
      <c r="E66" s="973"/>
      <c r="F66" s="974"/>
      <c r="K66" s="916"/>
      <c r="O66" s="935" t="s">
        <v>2056</v>
      </c>
      <c r="P66" s="936" t="s">
        <v>2057</v>
      </c>
      <c r="Q66" s="969" t="e">
        <f ca="1">C40+J29</f>
        <v>#DIV/0!</v>
      </c>
      <c r="R66" s="936" t="s">
        <v>2058</v>
      </c>
    </row>
    <row r="67" spans="1:18" s="615" customFormat="1" ht="19.5">
      <c r="A67" s="738" t="s">
        <v>2130</v>
      </c>
      <c r="B67" s="832" t="s">
        <v>2142</v>
      </c>
      <c r="C67" s="745" t="e">
        <f ca="1">ROUND(C66*(1-((1+F69)/(1+F67))^F68)/(F67-F69),0)</f>
        <v>#DIV/0!</v>
      </c>
      <c r="D67" s="821" t="s">
        <v>2016</v>
      </c>
      <c r="E67" s="747" t="s">
        <v>2017</v>
      </c>
      <c r="F67" s="756">
        <f ca="1">F40</f>
        <v>0</v>
      </c>
      <c r="K67" s="916"/>
      <c r="O67" s="935" t="s">
        <v>2061</v>
      </c>
      <c r="P67" s="936" t="s">
        <v>2091</v>
      </c>
      <c r="Q67" s="969" t="e">
        <f ca="1">L60</f>
        <v>#DIV/0!</v>
      </c>
      <c r="R67" s="971" t="s">
        <v>2092</v>
      </c>
    </row>
    <row r="68" spans="1:18" ht="21">
      <c r="A68" s="755"/>
      <c r="B68" s="833"/>
      <c r="C68" s="751"/>
      <c r="D68" s="834" t="s">
        <v>2020</v>
      </c>
      <c r="E68" s="747" t="s">
        <v>2021</v>
      </c>
      <c r="F68" s="835">
        <f ca="1">F41</f>
        <v>0</v>
      </c>
      <c r="O68" s="941" t="s">
        <v>2066</v>
      </c>
      <c r="P68" s="936" t="s">
        <v>2095</v>
      </c>
      <c r="Q68" s="976">
        <f ca="1">L51</f>
        <v>0</v>
      </c>
      <c r="R68" s="977" t="s">
        <v>2112</v>
      </c>
    </row>
    <row r="69" spans="1:18" ht="19.5">
      <c r="A69" s="763"/>
      <c r="B69" s="837"/>
      <c r="C69" s="777"/>
      <c r="D69" s="825"/>
      <c r="E69" s="747" t="s">
        <v>2025</v>
      </c>
      <c r="F69" s="859"/>
      <c r="O69" s="941" t="s">
        <v>2070</v>
      </c>
      <c r="P69" s="975" t="s">
        <v>2113</v>
      </c>
      <c r="Q69" s="969">
        <f ca="1">ROUND(Q70-Q71*Q72,0)</f>
        <v>0</v>
      </c>
      <c r="R69" s="971"/>
    </row>
    <row r="70" spans="1:18">
      <c r="A70" s="808" t="s">
        <v>2134</v>
      </c>
      <c r="B70" s="838" t="s">
        <v>2146</v>
      </c>
      <c r="C70" s="839" t="e">
        <f ca="1">ROUND(C67*10000/F70,0)</f>
        <v>#DIV/0!</v>
      </c>
      <c r="D70" s="840" t="s">
        <v>2147</v>
      </c>
      <c r="E70" s="841" t="s">
        <v>2148</v>
      </c>
      <c r="F70" s="842">
        <f ca="1">F43</f>
        <v>0</v>
      </c>
      <c r="O70" s="941" t="s">
        <v>2114</v>
      </c>
      <c r="P70" s="975" t="s">
        <v>2115</v>
      </c>
      <c r="Q70" s="969">
        <f ca="1">C39</f>
        <v>0</v>
      </c>
      <c r="R70" s="936" t="s">
        <v>2058</v>
      </c>
    </row>
    <row r="71" spans="1:18">
      <c r="O71" s="941" t="s">
        <v>2116</v>
      </c>
      <c r="P71" s="975" t="s">
        <v>2117</v>
      </c>
      <c r="Q71" s="969">
        <f ca="1">C13</f>
        <v>0</v>
      </c>
      <c r="R71" s="936" t="s">
        <v>2058</v>
      </c>
    </row>
    <row r="72" spans="1:18">
      <c r="O72" s="941" t="s">
        <v>2118</v>
      </c>
      <c r="P72" s="975" t="s">
        <v>2119</v>
      </c>
      <c r="Q72" s="970">
        <f ca="1">J36</f>
        <v>0</v>
      </c>
      <c r="R72" s="971"/>
    </row>
    <row r="73" spans="1:18">
      <c r="O73" s="941" t="s">
        <v>2073</v>
      </c>
      <c r="P73" s="936" t="s">
        <v>2098</v>
      </c>
      <c r="Q73" s="970">
        <f>L52</f>
        <v>0</v>
      </c>
      <c r="R73" s="971"/>
    </row>
    <row r="74" spans="1:18" ht="19.5">
      <c r="O74" s="941" t="s">
        <v>2076</v>
      </c>
      <c r="P74" s="936" t="s">
        <v>2099</v>
      </c>
      <c r="Q74" s="969" t="e">
        <f ca="1">L58</f>
        <v>#DIV/0!</v>
      </c>
      <c r="R74" s="971" t="s">
        <v>2100</v>
      </c>
    </row>
    <row r="75" spans="1:18">
      <c r="O75" s="941" t="s">
        <v>2120</v>
      </c>
      <c r="P75" s="936" t="str">
        <f>K59</f>
        <v>建筑物剩余耐用年限下的土地年期修正系数Kn</v>
      </c>
      <c r="Q75" s="969" t="e">
        <f ca="1">L59</f>
        <v>#DIV/0!</v>
      </c>
      <c r="R75" s="971" t="s">
        <v>2107</v>
      </c>
    </row>
    <row r="76" spans="1:18">
      <c r="O76" s="935" t="s">
        <v>2079</v>
      </c>
      <c r="P76" s="936" t="s">
        <v>2080</v>
      </c>
      <c r="Q76" s="969" t="e">
        <f ca="1">Q66+Q67</f>
        <v>#DIV/0!</v>
      </c>
      <c r="R76" s="971" t="s">
        <v>2081</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conditionalFormatting sqref="I55">
    <cfRule type="expression" dxfId="99" priority="8">
      <formula>$J$51&gt;$L$48</formula>
    </cfRule>
  </conditionalFormatting>
  <conditionalFormatting sqref="K55">
    <cfRule type="expression" dxfId="98" priority="7">
      <formula>$L$48&gt;$J$51</formula>
    </cfRule>
  </conditionalFormatting>
  <conditionalFormatting sqref="I60">
    <cfRule type="expression" dxfId="97" priority="6">
      <formula>$J$51&gt;$L$48</formula>
    </cfRule>
  </conditionalFormatting>
  <conditionalFormatting sqref="K60">
    <cfRule type="expression" dxfId="96" priority="5">
      <formula>$L$48&gt;$J$51</formula>
    </cfRule>
  </conditionalFormatting>
  <dataValidations count="8">
    <dataValidation type="list" allowBlank="1" showInputMessage="1" showErrorMessage="1" sqref="D1" xr:uid="{00000000-0002-0000-1F00-000000000000}">
      <formula1>"土地（套用方法）,——"</formula1>
    </dataValidation>
    <dataValidation type="list" allowBlank="1" showInputMessage="1" showErrorMessage="1" sqref="J56" xr:uid="{00000000-0002-0000-1F00-000001000000}">
      <formula1>判定</formula1>
    </dataValidation>
    <dataValidation type="list" allowBlank="1" showInputMessage="1" showErrorMessage="1" sqref="F10 M10 F52" xr:uid="{00000000-0002-0000-1F00-000002000000}">
      <formula1>"押一,押二,押三,自定义"</formula1>
    </dataValidation>
    <dataValidation type="list" allowBlank="1" showInputMessage="1" showErrorMessage="1" sqref="K19" xr:uid="{00000000-0002-0000-1F00-000003000000}">
      <formula1>"按租金收入计税,按房产原值计税"</formula1>
    </dataValidation>
    <dataValidation type="list" allowBlank="1" showInputMessage="1" showErrorMessage="1" sqref="D33" xr:uid="{00000000-0002-0000-1F00-000004000000}">
      <formula1>"按租金收入计税,按房产原值计税,按票据"</formula1>
    </dataValidation>
    <dataValidation type="list" allowBlank="1" showInputMessage="1" showErrorMessage="1" sqref="J47" xr:uid="{00000000-0002-0000-1F00-000005000000}">
      <formula1>"钢,钢混,砖混"</formula1>
    </dataValidation>
    <dataValidation type="list" allowBlank="1" showInputMessage="1" showErrorMessage="1" sqref="J48" xr:uid="{00000000-0002-0000-1F00-000006000000}">
      <formula1>"非生产用房,生产用房,受腐蚀的生产用房"</formula1>
    </dataValidation>
    <dataValidation type="list" allowBlank="1" showInputMessage="1" showErrorMessage="1" sqref="C1:C3" xr:uid="{00000000-0002-0000-1F00-000007000000}">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I38"/>
  <sheetViews>
    <sheetView zoomScale="80" zoomScaleNormal="80" workbookViewId="0">
      <selection activeCell="K37" sqref="K37"/>
    </sheetView>
  </sheetViews>
  <sheetFormatPr defaultColWidth="9" defaultRowHeight="13.5"/>
  <cols>
    <col min="1" max="1" width="10.5" customWidth="1"/>
    <col min="2" max="2" width="12.875" customWidth="1"/>
    <col min="3" max="3" width="8.75" customWidth="1"/>
  </cols>
  <sheetData>
    <row r="1" spans="1:9" ht="14.25">
      <c r="A1" s="3853" t="s">
        <v>2156</v>
      </c>
      <c r="B1" s="3854"/>
      <c r="C1" s="3855"/>
      <c r="D1" s="3856">
        <f>SUM(I10,I15,I20,I21,I23)</f>
        <v>0</v>
      </c>
      <c r="E1" s="3856"/>
      <c r="F1" s="3856"/>
      <c r="G1" s="3856"/>
      <c r="H1" s="3856"/>
      <c r="I1" s="3857"/>
    </row>
    <row r="2" spans="1:9">
      <c r="A2" s="3842" t="s">
        <v>2157</v>
      </c>
      <c r="B2" s="3852" t="s">
        <v>2158</v>
      </c>
      <c r="C2" s="3852"/>
      <c r="D2" s="681" t="s">
        <v>2159</v>
      </c>
      <c r="E2" s="681" t="s">
        <v>2160</v>
      </c>
      <c r="F2" s="681" t="s">
        <v>2161</v>
      </c>
      <c r="G2" s="681" t="s">
        <v>2162</v>
      </c>
      <c r="H2" s="681" t="s">
        <v>2163</v>
      </c>
      <c r="I2" s="705" t="s">
        <v>2164</v>
      </c>
    </row>
    <row r="3" spans="1:9">
      <c r="A3" s="3842"/>
      <c r="B3" s="3852" t="s">
        <v>2165</v>
      </c>
      <c r="C3" s="3852"/>
      <c r="D3" s="682"/>
      <c r="E3" s="681"/>
      <c r="F3" s="683"/>
      <c r="G3" s="683"/>
      <c r="H3" s="684"/>
      <c r="I3" s="706">
        <f>ROUND(D3*E3*F3*G3*H3/10000,0)</f>
        <v>0</v>
      </c>
    </row>
    <row r="4" spans="1:9">
      <c r="A4" s="3842"/>
      <c r="B4" s="3852" t="s">
        <v>2166</v>
      </c>
      <c r="C4" s="3852"/>
      <c r="D4" s="682"/>
      <c r="E4" s="681"/>
      <c r="F4" s="683"/>
      <c r="G4" s="683"/>
      <c r="H4" s="684"/>
      <c r="I4" s="706">
        <f t="shared" ref="I4:I9" si="0">ROUND(D4*E4*F4*G4*H4/10000,0)</f>
        <v>0</v>
      </c>
    </row>
    <row r="5" spans="1:9">
      <c r="A5" s="3842"/>
      <c r="B5" s="3852" t="s">
        <v>2167</v>
      </c>
      <c r="C5" s="3852"/>
      <c r="D5" s="682"/>
      <c r="E5" s="681"/>
      <c r="F5" s="683"/>
      <c r="G5" s="683"/>
      <c r="H5" s="684"/>
      <c r="I5" s="706">
        <f t="shared" si="0"/>
        <v>0</v>
      </c>
    </row>
    <row r="6" spans="1:9">
      <c r="A6" s="3842"/>
      <c r="B6" s="3852" t="s">
        <v>2168</v>
      </c>
      <c r="C6" s="3852"/>
      <c r="D6" s="682"/>
      <c r="E6" s="681"/>
      <c r="F6" s="683"/>
      <c r="G6" s="683"/>
      <c r="H6" s="684"/>
      <c r="I6" s="706">
        <f t="shared" si="0"/>
        <v>0</v>
      </c>
    </row>
    <row r="7" spans="1:9">
      <c r="A7" s="3842"/>
      <c r="B7" s="3852" t="s">
        <v>2169</v>
      </c>
      <c r="C7" s="3852"/>
      <c r="D7" s="682"/>
      <c r="E7" s="681"/>
      <c r="F7" s="683"/>
      <c r="G7" s="683"/>
      <c r="H7" s="684"/>
      <c r="I7" s="706">
        <f t="shared" si="0"/>
        <v>0</v>
      </c>
    </row>
    <row r="8" spans="1:9">
      <c r="A8" s="3842"/>
      <c r="B8" s="3852" t="s">
        <v>2170</v>
      </c>
      <c r="C8" s="3852"/>
      <c r="D8" s="682"/>
      <c r="E8" s="681"/>
      <c r="F8" s="683"/>
      <c r="G8" s="683"/>
      <c r="H8" s="684"/>
      <c r="I8" s="706">
        <f t="shared" si="0"/>
        <v>0</v>
      </c>
    </row>
    <row r="9" spans="1:9">
      <c r="A9" s="3842"/>
      <c r="B9" s="3852" t="s">
        <v>2171</v>
      </c>
      <c r="C9" s="3852"/>
      <c r="D9" s="682"/>
      <c r="E9" s="681"/>
      <c r="F9" s="683"/>
      <c r="G9" s="683"/>
      <c r="H9" s="684"/>
      <c r="I9" s="706">
        <f t="shared" si="0"/>
        <v>0</v>
      </c>
    </row>
    <row r="10" spans="1:9">
      <c r="A10" s="3842"/>
      <c r="B10" s="3850" t="s">
        <v>482</v>
      </c>
      <c r="C10" s="3850"/>
      <c r="D10" s="685">
        <v>527</v>
      </c>
      <c r="E10" s="685" t="e">
        <f>ROUND(D1*10000/D10/H9,0)</f>
        <v>#DIV/0!</v>
      </c>
      <c r="F10" s="686"/>
      <c r="G10" s="686"/>
      <c r="H10" s="687"/>
      <c r="I10" s="707">
        <f>SUM(I3:I9)</f>
        <v>0</v>
      </c>
    </row>
    <row r="11" spans="1:9" ht="14.25">
      <c r="A11" s="3842" t="s">
        <v>2172</v>
      </c>
      <c r="B11" s="3852" t="s">
        <v>2173</v>
      </c>
      <c r="C11" s="3852"/>
      <c r="D11" s="682" t="s">
        <v>2174</v>
      </c>
      <c r="E11" s="682" t="s">
        <v>2175</v>
      </c>
      <c r="F11" s="683" t="s">
        <v>2176</v>
      </c>
      <c r="G11" s="683" t="s">
        <v>2163</v>
      </c>
      <c r="H11" s="688" t="s">
        <v>138</v>
      </c>
      <c r="I11" s="705" t="s">
        <v>2164</v>
      </c>
    </row>
    <row r="12" spans="1:9">
      <c r="A12" s="3842"/>
      <c r="B12" s="3852" t="s">
        <v>2177</v>
      </c>
      <c r="C12" s="3852"/>
      <c r="D12" s="682"/>
      <c r="E12" s="682"/>
      <c r="F12" s="683"/>
      <c r="G12" s="684"/>
      <c r="H12" s="689"/>
      <c r="I12" s="705">
        <f>ROUND(D12*E12*F12*G12/10000,0)</f>
        <v>0</v>
      </c>
    </row>
    <row r="13" spans="1:9">
      <c r="A13" s="3842"/>
      <c r="B13" s="3852" t="s">
        <v>2178</v>
      </c>
      <c r="C13" s="3852"/>
      <c r="D13" s="682"/>
      <c r="E13" s="682"/>
      <c r="F13" s="683"/>
      <c r="G13" s="684"/>
      <c r="H13" s="689"/>
      <c r="I13" s="705">
        <f>ROUND(D13*E13*F13*G13/10000,0)</f>
        <v>0</v>
      </c>
    </row>
    <row r="14" spans="1:9">
      <c r="A14" s="3842"/>
      <c r="B14" s="3852" t="s">
        <v>2179</v>
      </c>
      <c r="C14" s="3852"/>
      <c r="D14" s="682"/>
      <c r="E14" s="682"/>
      <c r="F14" s="683"/>
      <c r="G14" s="684"/>
      <c r="H14" s="689"/>
      <c r="I14" s="705">
        <f>ROUND(D14*E14*F14*G14/10000,0)</f>
        <v>0</v>
      </c>
    </row>
    <row r="15" spans="1:9">
      <c r="A15" s="3842"/>
      <c r="B15" s="3850" t="s">
        <v>482</v>
      </c>
      <c r="C15" s="3850"/>
      <c r="D15" s="685"/>
      <c r="E15" s="685">
        <f>SUM(E12:E14)</f>
        <v>0</v>
      </c>
      <c r="F15" s="686"/>
      <c r="G15" s="684"/>
      <c r="H15" s="689"/>
      <c r="I15" s="708">
        <f>SUM(I12:I14)</f>
        <v>0</v>
      </c>
    </row>
    <row r="16" spans="1:9" ht="24">
      <c r="A16" s="3842" t="s">
        <v>2180</v>
      </c>
      <c r="B16" s="3852" t="s">
        <v>2181</v>
      </c>
      <c r="C16" s="3852"/>
      <c r="D16" s="682" t="s">
        <v>2159</v>
      </c>
      <c r="E16" s="690" t="s">
        <v>2182</v>
      </c>
      <c r="F16" s="683" t="s">
        <v>2183</v>
      </c>
      <c r="G16" s="684" t="s">
        <v>2163</v>
      </c>
      <c r="H16" s="688" t="s">
        <v>138</v>
      </c>
      <c r="I16" s="705" t="s">
        <v>2164</v>
      </c>
    </row>
    <row r="17" spans="1:9" ht="14.25">
      <c r="A17" s="3842"/>
      <c r="B17" s="3852" t="s">
        <v>2184</v>
      </c>
      <c r="C17" s="3852"/>
      <c r="D17" s="682"/>
      <c r="E17" s="682"/>
      <c r="F17" s="683"/>
      <c r="G17" s="684"/>
      <c r="H17" s="691"/>
      <c r="I17" s="709">
        <f>ROUND(D17*E17*F17*G17/10000,0)</f>
        <v>0</v>
      </c>
    </row>
    <row r="18" spans="1:9" ht="14.25">
      <c r="A18" s="3842"/>
      <c r="B18" s="3852" t="s">
        <v>2185</v>
      </c>
      <c r="C18" s="3852"/>
      <c r="D18" s="682"/>
      <c r="E18" s="682"/>
      <c r="F18" s="683"/>
      <c r="G18" s="684"/>
      <c r="H18" s="691"/>
      <c r="I18" s="709">
        <f>ROUND(D18*E18*F18*G18/10000,0)</f>
        <v>0</v>
      </c>
    </row>
    <row r="19" spans="1:9" ht="14.25">
      <c r="A19" s="3842"/>
      <c r="B19" s="3852" t="s">
        <v>2186</v>
      </c>
      <c r="C19" s="3852"/>
      <c r="D19" s="682"/>
      <c r="E19" s="682"/>
      <c r="F19" s="683"/>
      <c r="G19" s="684"/>
      <c r="H19" s="691"/>
      <c r="I19" s="709">
        <f>ROUND(D19*E19*F19*G19/10000,0)</f>
        <v>0</v>
      </c>
    </row>
    <row r="20" spans="1:9">
      <c r="A20" s="3842"/>
      <c r="B20" s="3850" t="s">
        <v>482</v>
      </c>
      <c r="C20" s="3850"/>
      <c r="D20" s="685">
        <f>SUM(D17:D19)</f>
        <v>0</v>
      </c>
      <c r="E20" s="685"/>
      <c r="F20" s="686"/>
      <c r="G20" s="684"/>
      <c r="H20" s="689"/>
      <c r="I20" s="708">
        <f>SUM(I17:I19)</f>
        <v>0</v>
      </c>
    </row>
    <row r="21" spans="1:9">
      <c r="A21" s="3842" t="s">
        <v>2187</v>
      </c>
      <c r="B21" s="3851"/>
      <c r="C21" s="3851"/>
      <c r="D21" s="3851"/>
      <c r="E21" s="3851"/>
      <c r="F21" s="3851"/>
      <c r="G21" s="3851"/>
      <c r="H21" s="692">
        <v>0.1</v>
      </c>
      <c r="I21" s="707">
        <f>ROUND(I10*H21,0)</f>
        <v>0</v>
      </c>
    </row>
    <row r="22" spans="1:9" ht="14.25">
      <c r="A22" s="3843" t="s">
        <v>2188</v>
      </c>
      <c r="B22" s="3844"/>
      <c r="C22" s="3845"/>
      <c r="D22" s="693" t="s">
        <v>380</v>
      </c>
      <c r="E22" s="693" t="s">
        <v>2189</v>
      </c>
      <c r="F22" s="694" t="s">
        <v>2163</v>
      </c>
      <c r="G22" s="694" t="s">
        <v>2190</v>
      </c>
      <c r="H22" s="688" t="s">
        <v>138</v>
      </c>
      <c r="I22" s="705" t="s">
        <v>2164</v>
      </c>
    </row>
    <row r="23" spans="1:9">
      <c r="A23" s="3846"/>
      <c r="B23" s="3847"/>
      <c r="C23" s="3848"/>
      <c r="D23" s="695"/>
      <c r="E23" s="695"/>
      <c r="F23" s="695"/>
      <c r="G23" s="696"/>
      <c r="H23" s="697"/>
      <c r="I23" s="710">
        <f>ROUND(E23*D23*F23*(1-G23)/10000,0)</f>
        <v>0</v>
      </c>
    </row>
    <row r="26" spans="1:9">
      <c r="A26" s="698" t="s">
        <v>2191</v>
      </c>
      <c r="B26" s="698"/>
      <c r="C26" s="698"/>
      <c r="D26" s="698"/>
      <c r="E26" s="3841">
        <f>C27-C30-C31-C32</f>
        <v>0</v>
      </c>
      <c r="F26" s="3841"/>
      <c r="G26" s="3841"/>
      <c r="H26" s="699" t="s">
        <v>2192</v>
      </c>
    </row>
    <row r="27" spans="1:9">
      <c r="A27" s="700">
        <v>1</v>
      </c>
      <c r="B27" s="701" t="s">
        <v>2193</v>
      </c>
      <c r="C27" s="701"/>
      <c r="D27" s="701"/>
      <c r="E27" s="3837"/>
      <c r="F27" s="3837"/>
      <c r="G27" s="3837"/>
    </row>
    <row r="28" spans="1:9">
      <c r="A28" s="702" t="s">
        <v>1153</v>
      </c>
      <c r="B28" s="701" t="s">
        <v>2194</v>
      </c>
      <c r="C28" s="701"/>
      <c r="D28" s="701"/>
      <c r="E28" s="3837"/>
      <c r="F28" s="3837"/>
      <c r="G28" s="3837"/>
    </row>
    <row r="29" spans="1:9">
      <c r="A29" s="702" t="s">
        <v>1194</v>
      </c>
      <c r="B29" s="701" t="s">
        <v>1962</v>
      </c>
      <c r="C29" s="701"/>
      <c r="D29" s="701"/>
      <c r="E29" s="701" t="s">
        <v>2195</v>
      </c>
      <c r="F29" s="701"/>
      <c r="G29" s="701"/>
    </row>
    <row r="30" spans="1:9">
      <c r="A30" s="700">
        <v>2</v>
      </c>
      <c r="B30" s="701" t="s">
        <v>2196</v>
      </c>
      <c r="C30" s="701">
        <f>C27*D30</f>
        <v>0</v>
      </c>
      <c r="D30" s="703">
        <v>0.2</v>
      </c>
      <c r="E30" s="701" t="s">
        <v>2197</v>
      </c>
      <c r="F30" s="701"/>
      <c r="G30" s="701"/>
    </row>
    <row r="31" spans="1:9">
      <c r="A31" s="700">
        <v>3</v>
      </c>
      <c r="B31" s="701" t="s">
        <v>2198</v>
      </c>
      <c r="C31" s="701">
        <f>C25*D31</f>
        <v>0</v>
      </c>
      <c r="D31" s="703">
        <v>0.15</v>
      </c>
      <c r="E31" s="701" t="s">
        <v>2199</v>
      </c>
      <c r="F31" s="701"/>
      <c r="G31" s="701"/>
    </row>
    <row r="32" spans="1:9">
      <c r="A32" s="700">
        <v>4</v>
      </c>
      <c r="B32" s="701" t="s">
        <v>2200</v>
      </c>
      <c r="C32" s="701">
        <f>C27*D32</f>
        <v>0</v>
      </c>
      <c r="D32" s="703">
        <v>0.05</v>
      </c>
      <c r="E32" s="3849"/>
      <c r="F32" s="3849"/>
      <c r="G32" s="3849"/>
    </row>
    <row r="33" spans="1:7" hidden="1">
      <c r="A33" s="3838" t="s">
        <v>2201</v>
      </c>
      <c r="B33" s="3839"/>
      <c r="C33" s="3839"/>
      <c r="D33" s="3840"/>
      <c r="E33" s="3841"/>
      <c r="F33" s="3841"/>
      <c r="G33" s="3841"/>
    </row>
    <row r="34" spans="1:7" hidden="1">
      <c r="A34" s="704">
        <v>1</v>
      </c>
      <c r="B34" s="701" t="s">
        <v>2202</v>
      </c>
      <c r="C34" s="701"/>
      <c r="D34" s="701"/>
      <c r="E34" s="3837"/>
      <c r="F34" s="3837"/>
      <c r="G34" s="3837"/>
    </row>
    <row r="35" spans="1:7" hidden="1">
      <c r="A35" s="704">
        <v>2</v>
      </c>
      <c r="B35" s="701" t="s">
        <v>2203</v>
      </c>
      <c r="C35" s="701"/>
      <c r="D35" s="701"/>
      <c r="E35" s="3837"/>
      <c r="F35" s="3837"/>
      <c r="G35" s="3837"/>
    </row>
    <row r="36" spans="1:7" hidden="1">
      <c r="A36" s="704">
        <v>3</v>
      </c>
      <c r="B36" s="701" t="s">
        <v>2204</v>
      </c>
      <c r="C36" s="701"/>
      <c r="D36" s="701"/>
      <c r="E36" s="3837"/>
      <c r="F36" s="3837"/>
      <c r="G36" s="3837"/>
    </row>
    <row r="37" spans="1:7" hidden="1">
      <c r="A37" s="704">
        <v>4</v>
      </c>
      <c r="B37" s="701" t="s">
        <v>2205</v>
      </c>
      <c r="C37" s="701"/>
      <c r="D37" s="701"/>
      <c r="E37" s="3837"/>
      <c r="F37" s="3837"/>
      <c r="G37" s="3837"/>
    </row>
    <row r="38" spans="1:7" hidden="1">
      <c r="A38" s="3838" t="s">
        <v>2206</v>
      </c>
      <c r="B38" s="3839"/>
      <c r="C38" s="3839"/>
      <c r="D38" s="3840"/>
      <c r="E38" s="3841"/>
      <c r="F38" s="3841"/>
      <c r="G38" s="384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workbookViewId="0">
      <selection activeCell="K37" sqref="K37"/>
    </sheetView>
  </sheetViews>
  <sheetFormatPr defaultColWidth="8.375" defaultRowHeight="12.75"/>
  <cols>
    <col min="1" max="1" width="9.375" style="619" customWidth="1"/>
    <col min="2" max="2" width="26.625" style="620" customWidth="1"/>
    <col min="3" max="3" width="11.125" style="620" customWidth="1"/>
    <col min="4" max="5" width="11.125" style="621" customWidth="1"/>
    <col min="6" max="6" width="9.5" style="620" customWidth="1"/>
    <col min="7" max="7" width="31.875" style="620" customWidth="1"/>
    <col min="8" max="25" width="9" style="622" customWidth="1"/>
    <col min="26" max="254" width="9" style="620" customWidth="1"/>
    <col min="255" max="16384" width="8.375" style="620"/>
  </cols>
  <sheetData>
    <row r="1" spans="1:25" s="615" customFormat="1" ht="20.25">
      <c r="A1" s="623" t="s">
        <v>2207</v>
      </c>
      <c r="B1" s="624"/>
      <c r="C1" s="625"/>
      <c r="D1" s="625"/>
      <c r="E1" s="625"/>
      <c r="F1" s="625"/>
      <c r="G1" s="626"/>
    </row>
    <row r="2" spans="1:25" s="615" customFormat="1" ht="18" customHeight="1">
      <c r="A2" s="208" t="s">
        <v>893</v>
      </c>
      <c r="B2" s="627">
        <f ca="1">C23</f>
        <v>0</v>
      </c>
      <c r="C2" s="628"/>
      <c r="D2" s="628"/>
      <c r="E2" s="628"/>
      <c r="F2" s="628"/>
      <c r="G2" s="628"/>
    </row>
    <row r="3" spans="1:25" s="615" customFormat="1" ht="18" customHeight="1">
      <c r="A3" s="629" t="s">
        <v>894</v>
      </c>
      <c r="B3" s="627">
        <f ca="1">ROUND(B2*10000/'数据-汇总表'!E3,0)</f>
        <v>0</v>
      </c>
      <c r="C3" s="628"/>
      <c r="D3" s="628"/>
      <c r="E3" s="628"/>
      <c r="F3" s="628"/>
      <c r="G3" s="628"/>
    </row>
    <row r="4" spans="1:25" s="615" customFormat="1" ht="18" customHeight="1">
      <c r="A4" s="630" t="s">
        <v>978</v>
      </c>
      <c r="B4" s="631">
        <f ca="1">ROUND(B2*10000/'数据-汇总表'!D3,0)</f>
        <v>0</v>
      </c>
      <c r="C4" s="632"/>
      <c r="D4" s="628"/>
      <c r="E4" s="628"/>
      <c r="F4" s="628"/>
      <c r="G4" s="628"/>
    </row>
    <row r="5" spans="1:25" s="615" customFormat="1" ht="18" customHeight="1">
      <c r="A5" s="633"/>
      <c r="B5" s="634">
        <f ca="1">ROUND(B2/('数据-汇总表'!D3/666.67),0)</f>
        <v>0</v>
      </c>
      <c r="C5" s="635" t="s">
        <v>896</v>
      </c>
      <c r="D5" s="628"/>
      <c r="E5" s="628"/>
      <c r="F5" s="628"/>
      <c r="G5" s="628"/>
    </row>
    <row r="6" spans="1:25" s="616" customFormat="1" ht="13.5" customHeight="1">
      <c r="A6" s="636"/>
      <c r="B6" s="637" t="s">
        <v>824</v>
      </c>
      <c r="C6" s="638" t="s">
        <v>2208</v>
      </c>
      <c r="D6" s="638" t="s">
        <v>2209</v>
      </c>
      <c r="E6" s="639" t="s">
        <v>2210</v>
      </c>
      <c r="F6" s="639" t="s">
        <v>825</v>
      </c>
      <c r="G6" s="640" t="s">
        <v>2211</v>
      </c>
    </row>
    <row r="7" spans="1:25" s="616" customFormat="1" ht="13.5" customHeight="1">
      <c r="A7" s="641">
        <v>1</v>
      </c>
      <c r="B7" s="642" t="s">
        <v>2212</v>
      </c>
      <c r="C7" s="643">
        <f>C8+C9</f>
        <v>0</v>
      </c>
      <c r="D7" s="643"/>
      <c r="E7" s="644"/>
      <c r="F7" s="644"/>
      <c r="G7" s="645"/>
    </row>
    <row r="8" spans="1:25" s="616" customFormat="1" ht="13.5" customHeight="1">
      <c r="A8" s="641" t="s">
        <v>2213</v>
      </c>
      <c r="B8" s="646" t="s">
        <v>2214</v>
      </c>
      <c r="C8" s="647">
        <f t="shared" ref="C8:C9" si="0">ROUND(D8*E8/10000,0)</f>
        <v>0</v>
      </c>
      <c r="D8" s="647">
        <v>0</v>
      </c>
      <c r="E8" s="648">
        <v>0</v>
      </c>
      <c r="F8" s="644"/>
      <c r="G8" s="649"/>
    </row>
    <row r="9" spans="1:25" s="616" customFormat="1" ht="13.5" customHeight="1">
      <c r="A9" s="641" t="s">
        <v>2215</v>
      </c>
      <c r="B9" s="646" t="s">
        <v>2216</v>
      </c>
      <c r="C9" s="647">
        <f t="shared" si="0"/>
        <v>0</v>
      </c>
      <c r="D9" s="647">
        <v>0</v>
      </c>
      <c r="E9" s="648">
        <v>0</v>
      </c>
      <c r="F9" s="644"/>
      <c r="G9" s="649"/>
    </row>
    <row r="10" spans="1:25" s="616" customFormat="1" ht="36">
      <c r="A10" s="641">
        <v>2</v>
      </c>
      <c r="B10" s="642" t="s">
        <v>2217</v>
      </c>
      <c r="C10" s="643">
        <f>C11+C14+C15</f>
        <v>0</v>
      </c>
      <c r="D10" s="650"/>
      <c r="E10" s="643"/>
      <c r="F10" s="651"/>
      <c r="G10" s="652" t="s">
        <v>2218</v>
      </c>
    </row>
    <row r="11" spans="1:25" s="616" customFormat="1" ht="13.5" customHeight="1">
      <c r="A11" s="641" t="s">
        <v>2213</v>
      </c>
      <c r="B11" s="653" t="s">
        <v>2219</v>
      </c>
      <c r="C11" s="654">
        <f>'数据-取费表'!B29</f>
        <v>0</v>
      </c>
      <c r="D11" s="655"/>
      <c r="E11" s="654"/>
      <c r="F11" s="656"/>
      <c r="G11" s="657" t="s">
        <v>2220</v>
      </c>
    </row>
    <row r="12" spans="1:25" s="616" customFormat="1" ht="13.5" customHeight="1">
      <c r="A12" s="658" t="s">
        <v>2221</v>
      </c>
      <c r="B12" s="659" t="s">
        <v>2222</v>
      </c>
      <c r="C12" s="660">
        <f>ROUND(D12*E12/10000,0)</f>
        <v>1016</v>
      </c>
      <c r="D12" s="647">
        <f>'数据-汇总表'!E5</f>
        <v>63500</v>
      </c>
      <c r="E12" s="647">
        <f>'数据-取费表'!B27</f>
        <v>160</v>
      </c>
      <c r="F12" s="656"/>
      <c r="G12" s="652"/>
    </row>
    <row r="13" spans="1:25" s="616" customFormat="1" ht="13.5" customHeight="1">
      <c r="A13" s="658" t="s">
        <v>2223</v>
      </c>
      <c r="B13" s="659" t="s">
        <v>2224</v>
      </c>
      <c r="C13" s="660">
        <f>ROUND(D13*E13/10000,0)</f>
        <v>0</v>
      </c>
      <c r="D13" s="647">
        <f>'数据-汇总表'!E6</f>
        <v>0</v>
      </c>
      <c r="E13" s="647">
        <f>'数据-取费表'!B28</f>
        <v>200</v>
      </c>
      <c r="F13" s="656"/>
      <c r="G13" s="652"/>
    </row>
    <row r="14" spans="1:25" s="616" customFormat="1" ht="13.5" customHeight="1">
      <c r="A14" s="641" t="s">
        <v>2215</v>
      </c>
      <c r="B14" s="661" t="s">
        <v>2225</v>
      </c>
      <c r="C14" s="662">
        <f t="shared" ref="C14:C15" si="1">ROUND(D14*E14/10000,0)</f>
        <v>0</v>
      </c>
      <c r="D14" s="647">
        <v>0</v>
      </c>
      <c r="E14" s="648">
        <v>0</v>
      </c>
      <c r="F14" s="663"/>
      <c r="G14" s="664" t="s">
        <v>2226</v>
      </c>
    </row>
    <row r="15" spans="1:25" s="616" customFormat="1" ht="13.5" customHeight="1">
      <c r="A15" s="641" t="s">
        <v>2227</v>
      </c>
      <c r="B15" s="661" t="s">
        <v>2228</v>
      </c>
      <c r="C15" s="662">
        <f t="shared" si="1"/>
        <v>0</v>
      </c>
      <c r="D15" s="647">
        <v>0</v>
      </c>
      <c r="E15" s="648">
        <v>0</v>
      </c>
      <c r="F15" s="663"/>
      <c r="G15" s="664" t="s">
        <v>2229</v>
      </c>
    </row>
    <row r="16" spans="1:25" s="617" customFormat="1" ht="48">
      <c r="A16" s="641">
        <v>3</v>
      </c>
      <c r="B16" s="642" t="s">
        <v>2230</v>
      </c>
      <c r="C16" s="662">
        <f t="shared" ref="C16" si="2">ROUND(D16*E16/10000,0)</f>
        <v>0</v>
      </c>
      <c r="D16" s="647">
        <v>0</v>
      </c>
      <c r="E16" s="648">
        <v>0</v>
      </c>
      <c r="F16" s="651"/>
      <c r="G16" s="652" t="s">
        <v>2231</v>
      </c>
      <c r="H16" s="616"/>
      <c r="I16" s="616"/>
      <c r="J16" s="616"/>
      <c r="K16" s="616"/>
      <c r="L16" s="616"/>
      <c r="M16" s="616"/>
      <c r="N16" s="616"/>
      <c r="O16" s="616"/>
      <c r="P16" s="616"/>
      <c r="Q16" s="616"/>
      <c r="R16" s="616"/>
      <c r="S16" s="616"/>
      <c r="T16" s="616"/>
      <c r="U16" s="616"/>
      <c r="V16" s="616"/>
      <c r="W16" s="616"/>
      <c r="X16" s="616"/>
      <c r="Y16" s="616"/>
    </row>
    <row r="17" spans="1:25" s="617" customFormat="1" ht="25.5">
      <c r="A17" s="665">
        <v>4</v>
      </c>
      <c r="B17" s="642" t="s">
        <v>2232</v>
      </c>
      <c r="C17" s="666">
        <f ca="1">ROUND(IF('数据-取费表'!B19&lt;=1,((C7+C16)*'数据-取费表'!B19+C10*'数据-取费表'!B19/2)*F17,((C7+C16)*(POWER((1+F17),'数据-取费表'!B19)-1)+C10*(POWER((1+F17),'数据-取费表'!B19/2)-1))),0)</f>
        <v>0</v>
      </c>
      <c r="D17" s="667"/>
      <c r="E17" s="668"/>
      <c r="F17" s="669">
        <f ca="1">存贷款利率!E3</f>
        <v>0</v>
      </c>
      <c r="G17" s="670" t="str">
        <f>IF('数据-取费表'!B19&lt;=1,"((１＋３)×土地开发期+２×(土地开发期÷２))×利率","((１＋３)×((1+利率)^土地开发期-1)+２×((1+利率)^(土地开发期÷２)-1)")</f>
        <v>((１＋３)×土地开发期+２×(土地开发期÷２))×利率</v>
      </c>
      <c r="H17" s="671"/>
      <c r="I17" s="616"/>
      <c r="J17" s="616"/>
      <c r="K17" s="616"/>
      <c r="L17" s="616"/>
      <c r="M17" s="616"/>
      <c r="N17" s="616"/>
      <c r="O17" s="616"/>
      <c r="P17" s="616"/>
      <c r="Q17" s="616"/>
      <c r="R17" s="616"/>
      <c r="S17" s="616"/>
      <c r="T17" s="616"/>
      <c r="U17" s="616"/>
      <c r="V17" s="616"/>
      <c r="W17" s="616"/>
      <c r="X17" s="616"/>
      <c r="Y17" s="616"/>
    </row>
    <row r="18" spans="1:25" s="617" customFormat="1" ht="13.5" customHeight="1">
      <c r="A18" s="665">
        <v>5</v>
      </c>
      <c r="B18" s="642" t="s">
        <v>2233</v>
      </c>
      <c r="C18" s="643">
        <f>ROUND((C7+C10+C16)*F18,0)</f>
        <v>0</v>
      </c>
      <c r="D18" s="667"/>
      <c r="E18" s="668"/>
      <c r="F18" s="672">
        <v>0.05</v>
      </c>
      <c r="G18" s="670" t="s">
        <v>2234</v>
      </c>
      <c r="H18" s="616"/>
      <c r="I18" s="616"/>
      <c r="J18" s="616"/>
      <c r="K18" s="616"/>
      <c r="L18" s="616"/>
      <c r="M18" s="616"/>
      <c r="N18" s="616"/>
      <c r="O18" s="616"/>
      <c r="P18" s="616"/>
      <c r="Q18" s="616"/>
      <c r="R18" s="616"/>
      <c r="S18" s="616"/>
      <c r="T18" s="616"/>
      <c r="U18" s="616"/>
      <c r="V18" s="616"/>
      <c r="W18" s="616"/>
      <c r="X18" s="616"/>
      <c r="Y18" s="616"/>
    </row>
    <row r="19" spans="1:25" s="617" customFormat="1" ht="13.5" customHeight="1">
      <c r="A19" s="641">
        <v>6</v>
      </c>
      <c r="B19" s="642" t="s">
        <v>2235</v>
      </c>
      <c r="C19" s="643">
        <f ca="1">C7+C10+C16+C17+C18</f>
        <v>0</v>
      </c>
      <c r="D19" s="650"/>
      <c r="E19" s="643"/>
      <c r="F19" s="651"/>
      <c r="G19" s="670" t="s">
        <v>2236</v>
      </c>
      <c r="H19" s="616"/>
      <c r="I19" s="616"/>
      <c r="J19" s="616"/>
      <c r="K19" s="616"/>
      <c r="L19" s="616"/>
      <c r="M19" s="616"/>
      <c r="N19" s="616"/>
      <c r="O19" s="616"/>
      <c r="P19" s="616"/>
      <c r="Q19" s="616"/>
      <c r="R19" s="616"/>
      <c r="S19" s="616"/>
      <c r="T19" s="616"/>
      <c r="U19" s="616"/>
      <c r="V19" s="616"/>
      <c r="W19" s="616"/>
      <c r="X19" s="616"/>
      <c r="Y19" s="616"/>
    </row>
    <row r="20" spans="1:25" s="617" customFormat="1" ht="24.75">
      <c r="A20" s="641">
        <v>7</v>
      </c>
      <c r="B20" s="642" t="s">
        <v>2237</v>
      </c>
      <c r="C20" s="643">
        <f ca="1">ROUND(C19*F20,0)</f>
        <v>0</v>
      </c>
      <c r="D20" s="650"/>
      <c r="E20" s="643"/>
      <c r="F20" s="672">
        <v>0.1</v>
      </c>
      <c r="G20" s="670" t="s">
        <v>2238</v>
      </c>
      <c r="H20" s="616"/>
      <c r="I20" s="616"/>
      <c r="J20" s="616"/>
      <c r="K20" s="616"/>
      <c r="L20" s="616"/>
      <c r="M20" s="616"/>
      <c r="N20" s="616"/>
      <c r="O20" s="616"/>
      <c r="P20" s="616"/>
      <c r="Q20" s="616"/>
      <c r="R20" s="616"/>
      <c r="S20" s="616"/>
      <c r="T20" s="616"/>
      <c r="U20" s="616"/>
      <c r="V20" s="616"/>
      <c r="W20" s="616"/>
      <c r="X20" s="616"/>
      <c r="Y20" s="616"/>
    </row>
    <row r="21" spans="1:25" s="617" customFormat="1">
      <c r="A21" s="641">
        <v>8</v>
      </c>
      <c r="B21" s="642" t="s">
        <v>2239</v>
      </c>
      <c r="C21" s="643">
        <f ca="1">C19+C20</f>
        <v>0</v>
      </c>
      <c r="D21" s="650"/>
      <c r="E21" s="643"/>
      <c r="F21" s="651"/>
      <c r="G21" s="670" t="s">
        <v>2240</v>
      </c>
      <c r="H21" s="616"/>
      <c r="I21" s="616"/>
      <c r="J21" s="616"/>
      <c r="K21" s="616"/>
      <c r="L21" s="616"/>
      <c r="M21" s="616"/>
      <c r="N21" s="616"/>
      <c r="O21" s="616"/>
      <c r="P21" s="616"/>
      <c r="Q21" s="616"/>
      <c r="R21" s="616"/>
      <c r="S21" s="616"/>
      <c r="T21" s="616"/>
      <c r="U21" s="616"/>
      <c r="V21" s="616"/>
      <c r="W21" s="616"/>
      <c r="X21" s="616"/>
      <c r="Y21" s="616"/>
    </row>
    <row r="22" spans="1:25" s="617" customFormat="1" ht="13.5" customHeight="1">
      <c r="A22" s="641">
        <v>9</v>
      </c>
      <c r="B22" s="642" t="s">
        <v>2241</v>
      </c>
      <c r="C22" s="643">
        <f ca="1">ROUND(C21*F22,0)</f>
        <v>0</v>
      </c>
      <c r="D22" s="650"/>
      <c r="E22" s="643"/>
      <c r="F22" s="673">
        <f ca="1">'数据-取费表'!AP16</f>
        <v>0.96699999999999997</v>
      </c>
      <c r="G22" s="670" t="s">
        <v>2242</v>
      </c>
      <c r="H22" s="616"/>
      <c r="I22" s="616"/>
      <c r="J22" s="616"/>
      <c r="K22" s="616"/>
      <c r="L22" s="616"/>
      <c r="M22" s="616"/>
      <c r="N22" s="616"/>
      <c r="O22" s="616"/>
      <c r="P22" s="616"/>
      <c r="Q22" s="616"/>
      <c r="R22" s="616"/>
      <c r="S22" s="616"/>
      <c r="T22" s="616"/>
      <c r="U22" s="616"/>
      <c r="V22" s="616"/>
      <c r="W22" s="616"/>
      <c r="X22" s="616"/>
      <c r="Y22" s="616"/>
    </row>
    <row r="23" spans="1:25" s="617" customFormat="1" ht="13.15" customHeight="1">
      <c r="A23" s="674">
        <v>10</v>
      </c>
      <c r="B23" s="675" t="s">
        <v>2243</v>
      </c>
      <c r="C23" s="676">
        <f ca="1">C22</f>
        <v>0</v>
      </c>
      <c r="D23" s="677"/>
      <c r="E23" s="676"/>
      <c r="F23" s="678"/>
      <c r="G23" s="679"/>
      <c r="H23" s="616"/>
      <c r="I23" s="616"/>
      <c r="J23" s="616"/>
      <c r="K23" s="616"/>
      <c r="L23" s="616"/>
      <c r="M23" s="616"/>
      <c r="N23" s="616"/>
      <c r="O23" s="616"/>
      <c r="P23" s="616"/>
      <c r="Q23" s="616"/>
      <c r="R23" s="616"/>
      <c r="S23" s="616"/>
      <c r="T23" s="616"/>
      <c r="U23" s="616"/>
      <c r="V23" s="616"/>
      <c r="W23" s="616"/>
      <c r="X23" s="616"/>
      <c r="Y23" s="616"/>
    </row>
    <row r="24" spans="1:25" s="618" customFormat="1">
      <c r="A24" s="680"/>
      <c r="D24" s="70"/>
      <c r="E24" s="70"/>
    </row>
    <row r="25" spans="1:25" s="618" customFormat="1">
      <c r="A25" s="680"/>
      <c r="D25" s="70"/>
      <c r="E25" s="70"/>
    </row>
    <row r="26" spans="1:25" s="618" customFormat="1">
      <c r="A26" s="680"/>
      <c r="D26" s="70"/>
      <c r="E26" s="70"/>
    </row>
    <row r="27" spans="1:25" s="618" customFormat="1">
      <c r="A27" s="680"/>
      <c r="D27" s="70"/>
      <c r="E27" s="70"/>
    </row>
    <row r="28" spans="1:25" s="618" customFormat="1">
      <c r="A28" s="680"/>
      <c r="D28" s="70"/>
      <c r="E28" s="70"/>
    </row>
    <row r="29" spans="1:25" s="618" customFormat="1">
      <c r="A29" s="680"/>
      <c r="D29" s="70"/>
      <c r="E29" s="70"/>
    </row>
    <row r="30" spans="1:25" s="618" customFormat="1">
      <c r="A30" s="680"/>
      <c r="D30" s="70"/>
      <c r="E30" s="70"/>
    </row>
    <row r="31" spans="1:25" s="618" customFormat="1">
      <c r="A31" s="680"/>
      <c r="D31" s="70"/>
      <c r="E31" s="70"/>
    </row>
    <row r="32" spans="1:25" s="618" customFormat="1">
      <c r="A32" s="680"/>
      <c r="D32" s="70"/>
      <c r="E32" s="70"/>
    </row>
    <row r="33" spans="1:5" s="618" customFormat="1">
      <c r="A33" s="680"/>
      <c r="D33" s="70"/>
      <c r="E33" s="70"/>
    </row>
    <row r="34" spans="1:5" s="618" customFormat="1">
      <c r="A34" s="680"/>
      <c r="D34" s="70"/>
      <c r="E34" s="70"/>
    </row>
    <row r="35" spans="1:5" s="618" customFormat="1">
      <c r="A35" s="680"/>
      <c r="D35" s="70"/>
      <c r="E35" s="70"/>
    </row>
    <row r="36" spans="1:5" s="618" customFormat="1">
      <c r="A36" s="680"/>
      <c r="D36" s="70"/>
      <c r="E36" s="70"/>
    </row>
    <row r="37" spans="1:5" s="618" customFormat="1">
      <c r="A37" s="680"/>
      <c r="D37" s="70"/>
      <c r="E37" s="70"/>
    </row>
    <row r="38" spans="1:5" s="618" customFormat="1">
      <c r="A38" s="680"/>
      <c r="D38" s="70"/>
      <c r="E38" s="70"/>
    </row>
    <row r="39" spans="1:5" s="618" customFormat="1">
      <c r="A39" s="680"/>
      <c r="D39" s="70"/>
      <c r="E39" s="70"/>
    </row>
    <row r="40" spans="1:5" s="618" customFormat="1">
      <c r="A40" s="680"/>
      <c r="D40" s="70"/>
      <c r="E40" s="70"/>
    </row>
    <row r="41" spans="1:5" s="618" customFormat="1">
      <c r="A41" s="680"/>
      <c r="D41" s="70"/>
      <c r="E41" s="70"/>
    </row>
    <row r="42" spans="1:5" s="618" customFormat="1">
      <c r="A42" s="680"/>
      <c r="D42" s="70"/>
      <c r="E42" s="70"/>
    </row>
    <row r="43" spans="1:5" s="618" customFormat="1">
      <c r="A43" s="680"/>
      <c r="D43" s="70"/>
      <c r="E43" s="70"/>
    </row>
    <row r="44" spans="1:5" s="618" customFormat="1">
      <c r="A44" s="680"/>
      <c r="D44" s="70"/>
      <c r="E44" s="70"/>
    </row>
    <row r="45" spans="1:5" s="618" customFormat="1">
      <c r="A45" s="680"/>
      <c r="D45" s="70"/>
      <c r="E45" s="70"/>
    </row>
    <row r="46" spans="1:5" s="618" customFormat="1">
      <c r="A46" s="680"/>
      <c r="D46" s="70"/>
      <c r="E46" s="70"/>
    </row>
    <row r="47" spans="1:5" s="618" customFormat="1">
      <c r="A47" s="680"/>
      <c r="D47" s="70"/>
      <c r="E47" s="70"/>
    </row>
    <row r="48" spans="1:5" s="618" customFormat="1">
      <c r="A48" s="680"/>
      <c r="D48" s="70"/>
      <c r="E48" s="70"/>
    </row>
    <row r="49" spans="1:5" s="618" customFormat="1">
      <c r="A49" s="680"/>
      <c r="D49" s="70"/>
      <c r="E49" s="70"/>
    </row>
    <row r="50" spans="1:5" s="618" customFormat="1">
      <c r="A50" s="680"/>
      <c r="D50" s="70"/>
      <c r="E50" s="70"/>
    </row>
    <row r="51" spans="1:5" s="618" customFormat="1">
      <c r="A51" s="680"/>
      <c r="D51" s="70"/>
      <c r="E51" s="70"/>
    </row>
    <row r="52" spans="1:5" s="618" customFormat="1">
      <c r="A52" s="680"/>
      <c r="D52" s="70"/>
      <c r="E52" s="70"/>
    </row>
    <row r="53" spans="1:5" s="618" customFormat="1">
      <c r="A53" s="680"/>
      <c r="D53" s="70"/>
      <c r="E53" s="70"/>
    </row>
    <row r="54" spans="1:5" s="618" customFormat="1">
      <c r="A54" s="680"/>
      <c r="D54" s="70"/>
      <c r="E54" s="70"/>
    </row>
    <row r="55" spans="1:5" s="618" customFormat="1">
      <c r="A55" s="680"/>
      <c r="D55" s="70"/>
      <c r="E55" s="70"/>
    </row>
    <row r="56" spans="1:5" s="618" customFormat="1">
      <c r="A56" s="680"/>
      <c r="D56" s="70"/>
      <c r="E56" s="70"/>
    </row>
    <row r="57" spans="1:5" s="618" customFormat="1">
      <c r="A57" s="680"/>
      <c r="D57" s="70"/>
      <c r="E57" s="70"/>
    </row>
    <row r="58" spans="1:5" s="618" customFormat="1">
      <c r="A58" s="680"/>
      <c r="D58" s="70"/>
      <c r="E58" s="70"/>
    </row>
    <row r="59" spans="1:5" s="618" customFormat="1">
      <c r="A59" s="680"/>
      <c r="D59" s="70"/>
      <c r="E59" s="70"/>
    </row>
    <row r="60" spans="1:5" s="618" customFormat="1">
      <c r="A60" s="680"/>
      <c r="D60" s="70"/>
      <c r="E60" s="70"/>
    </row>
    <row r="61" spans="1:5" s="618" customFormat="1">
      <c r="A61" s="680"/>
      <c r="D61" s="70"/>
      <c r="E61" s="70"/>
    </row>
    <row r="62" spans="1:5" s="618" customFormat="1">
      <c r="A62" s="680"/>
      <c r="D62" s="70"/>
      <c r="E62" s="70"/>
    </row>
    <row r="63" spans="1:5" s="618" customFormat="1">
      <c r="A63" s="680"/>
      <c r="D63" s="70"/>
      <c r="E63" s="70"/>
    </row>
  </sheetData>
  <sheetProtection password="CEE9" sheet="1" objects="1" scenarios="1" formatCells="0" formatColumns="0" formatRows="0"/>
  <phoneticPr fontId="231"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2244</v>
      </c>
      <c r="C1" s="203" t="s">
        <v>1042</v>
      </c>
      <c r="D1" s="603"/>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C49</f>
        <v>#DIV/0!</v>
      </c>
      <c r="C3" s="215" t="s">
        <v>1046</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64"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64"/>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64"/>
      <c r="AC6" s="3651"/>
    </row>
    <row r="7" spans="1:29" s="193" customFormat="1" ht="15">
      <c r="A7" s="223"/>
      <c r="B7" s="224" t="s">
        <v>910</v>
      </c>
      <c r="C7" s="225">
        <f>'数据-取费表'!B2</f>
        <v>44484</v>
      </c>
      <c r="D7" s="226">
        <v>100</v>
      </c>
      <c r="E7" s="227"/>
      <c r="F7" s="228">
        <f>SUMIF(58:58,YEAR(E7)&amp;"-"&amp;MONTH(E7),59:59)</f>
        <v>0</v>
      </c>
      <c r="G7" s="227"/>
      <c r="H7" s="226">
        <f>SUMIF(58:58,YEAR(G7)&amp;"-"&amp;MONTH(G7),59:59)</f>
        <v>0</v>
      </c>
      <c r="I7" s="227"/>
      <c r="J7" s="226">
        <f>SUMIF(58:58,YEAR(I7)&amp;"-"&amp;MONTH(I7),59:59)</f>
        <v>0</v>
      </c>
      <c r="K7" s="384"/>
      <c r="L7" s="385"/>
      <c r="M7" s="386"/>
      <c r="N7" s="386"/>
      <c r="O7" s="386"/>
      <c r="P7" s="3679"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SUMIF(61:61,E8,62:62)-SUMIF(61:61,C8,62:62)+100</f>
        <v>0</v>
      </c>
      <c r="G8" s="232"/>
      <c r="H8" s="226">
        <f>SUMIF(61:61,G8,62:62)-SUMIF(61:61,C8,62:62)+100</f>
        <v>0</v>
      </c>
      <c r="I8" s="232"/>
      <c r="J8" s="226">
        <f>SUMIF(61:61,I8,62:62)-SUMIF(61:61,C8,62:62)+100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46" si="3">D8/F8</f>
        <v>#DIV/0!</v>
      </c>
      <c r="AB8" s="470" t="e">
        <f t="shared" ref="AB8:AB46" si="4">D8/H8</f>
        <v>#DIV/0!</v>
      </c>
      <c r="AC8" s="470" t="e">
        <f t="shared" ref="AC8:AC46" si="5">D8/J8</f>
        <v>#DIV/0!</v>
      </c>
    </row>
    <row r="9" spans="1:29" s="193" customFormat="1" ht="15">
      <c r="A9" s="233"/>
      <c r="B9" s="234" t="s">
        <v>916</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71.25">
      <c r="A15" s="251" t="s">
        <v>922</v>
      </c>
      <c r="B15" s="252" t="s">
        <v>226</v>
      </c>
      <c r="C15" s="604"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667" t="s">
        <v>923</v>
      </c>
      <c r="Q15" s="388" t="str">
        <f t="shared" si="6"/>
        <v>商业繁华度</v>
      </c>
      <c r="R15" s="455" t="s">
        <v>912</v>
      </c>
      <c r="S15" s="456">
        <f t="shared" si="0"/>
        <v>100</v>
      </c>
      <c r="T15" s="455" t="s">
        <v>912</v>
      </c>
      <c r="U15" s="456">
        <f t="shared" si="1"/>
        <v>100</v>
      </c>
      <c r="V15" s="455" t="s">
        <v>912</v>
      </c>
      <c r="W15" s="456">
        <f t="shared" si="2"/>
        <v>100</v>
      </c>
      <c r="X15" s="450"/>
      <c r="Y15" s="3667" t="s">
        <v>923</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8"/>
      <c r="Q16" s="388"/>
      <c r="R16" s="455"/>
      <c r="S16" s="456"/>
      <c r="T16" s="455"/>
      <c r="U16" s="456"/>
      <c r="V16" s="455"/>
      <c r="W16" s="456"/>
      <c r="X16" s="450"/>
      <c r="Y16" s="3668"/>
      <c r="Z16" s="449"/>
      <c r="AA16" s="461">
        <v>1</v>
      </c>
      <c r="AB16" s="461">
        <v>1</v>
      </c>
      <c r="AC16" s="461">
        <v>1</v>
      </c>
    </row>
    <row r="17" spans="1:29" ht="256.5">
      <c r="A17" s="258"/>
      <c r="B17" s="277" t="s">
        <v>229</v>
      </c>
      <c r="C17" s="265"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8"/>
      <c r="Q18" s="388"/>
      <c r="R18" s="455"/>
      <c r="S18" s="456"/>
      <c r="T18" s="455"/>
      <c r="U18" s="456"/>
      <c r="V18" s="455"/>
      <c r="W18" s="456"/>
      <c r="X18" s="450"/>
      <c r="Y18" s="3668"/>
      <c r="Z18" s="449"/>
      <c r="AA18" s="461">
        <v>1</v>
      </c>
      <c r="AB18" s="461">
        <v>1</v>
      </c>
      <c r="AC18" s="461">
        <v>1</v>
      </c>
    </row>
    <row r="19" spans="1:29" ht="270.75">
      <c r="A19" s="258"/>
      <c r="B19" s="605" t="s">
        <v>231</v>
      </c>
      <c r="C19" s="265"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668"/>
      <c r="Q20" s="388"/>
      <c r="R20" s="455"/>
      <c r="S20" s="456"/>
      <c r="T20" s="455"/>
      <c r="U20" s="456"/>
      <c r="V20" s="455"/>
      <c r="W20" s="456"/>
      <c r="X20" s="450"/>
      <c r="Y20" s="3668"/>
      <c r="Z20" s="449"/>
      <c r="AA20" s="461">
        <v>1</v>
      </c>
      <c r="AB20" s="461">
        <v>1</v>
      </c>
      <c r="AC20" s="461">
        <v>1</v>
      </c>
    </row>
    <row r="21" spans="1:29" ht="42.75">
      <c r="A21" s="258"/>
      <c r="B21" s="606" t="s">
        <v>232</v>
      </c>
      <c r="C21" s="265" t="str">
        <f>估价对象房地状况!C8</f>
        <v>估价对象所在区域基础设施水平-七通</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668"/>
      <c r="Q22" s="388"/>
      <c r="R22" s="455"/>
      <c r="S22" s="456"/>
      <c r="T22" s="455"/>
      <c r="U22" s="456"/>
      <c r="V22" s="455"/>
      <c r="W22" s="456"/>
      <c r="X22" s="450"/>
      <c r="Y22" s="3668"/>
      <c r="Z22" s="449"/>
      <c r="AA22" s="461">
        <v>1</v>
      </c>
      <c r="AB22" s="461">
        <v>1</v>
      </c>
      <c r="AC22" s="461">
        <v>1</v>
      </c>
    </row>
    <row r="23" spans="1:29" ht="185.25">
      <c r="A23" s="258"/>
      <c r="B23" s="277" t="s">
        <v>1049</v>
      </c>
      <c r="C23" s="607"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668"/>
      <c r="Q23" s="388" t="str">
        <f>B23</f>
        <v>自然及人文环境</v>
      </c>
      <c r="R23" s="455" t="s">
        <v>912</v>
      </c>
      <c r="S23" s="456">
        <f>F23</f>
        <v>100</v>
      </c>
      <c r="T23" s="455" t="s">
        <v>912</v>
      </c>
      <c r="U23" s="456">
        <f>H23</f>
        <v>100</v>
      </c>
      <c r="V23" s="455" t="s">
        <v>912</v>
      </c>
      <c r="W23" s="456">
        <f>J23</f>
        <v>100</v>
      </c>
      <c r="X23" s="450"/>
      <c r="Y23" s="3668"/>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668"/>
      <c r="Q24" s="388"/>
      <c r="R24" s="455"/>
      <c r="S24" s="456"/>
      <c r="T24" s="455"/>
      <c r="U24" s="456"/>
      <c r="V24" s="455"/>
      <c r="W24" s="456"/>
      <c r="X24" s="450"/>
      <c r="Y24" s="3668"/>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668"/>
      <c r="Q25" s="388" t="str">
        <f t="shared" ref="Q25:Q46" si="11">B25</f>
        <v>临街状况</v>
      </c>
      <c r="R25" s="455" t="s">
        <v>912</v>
      </c>
      <c r="S25" s="456">
        <f>F25</f>
        <v>100</v>
      </c>
      <c r="T25" s="455" t="s">
        <v>912</v>
      </c>
      <c r="U25" s="456">
        <f>H25</f>
        <v>100</v>
      </c>
      <c r="V25" s="455" t="s">
        <v>912</v>
      </c>
      <c r="W25" s="456">
        <f>J25</f>
        <v>100</v>
      </c>
      <c r="X25" s="450"/>
      <c r="Y25" s="3668"/>
      <c r="Z25" s="449" t="str">
        <f>Q25</f>
        <v>临街状况</v>
      </c>
      <c r="AA25" s="461">
        <f t="shared" si="3"/>
        <v>1</v>
      </c>
      <c r="AB25" s="461">
        <f t="shared" si="4"/>
        <v>1</v>
      </c>
      <c r="AC25" s="461">
        <f t="shared" si="5"/>
        <v>1</v>
      </c>
    </row>
    <row r="26" spans="1:29" ht="15">
      <c r="A26" s="258"/>
      <c r="B26" s="546" t="s">
        <v>2245</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668"/>
      <c r="Q26" s="388" t="str">
        <f t="shared" si="11"/>
        <v>平面位置/可视性</v>
      </c>
      <c r="R26" s="455" t="s">
        <v>912</v>
      </c>
      <c r="S26" s="456">
        <f>F26</f>
        <v>100</v>
      </c>
      <c r="T26" s="455" t="s">
        <v>912</v>
      </c>
      <c r="U26" s="456">
        <f>H26</f>
        <v>100</v>
      </c>
      <c r="V26" s="455" t="s">
        <v>912</v>
      </c>
      <c r="W26" s="456">
        <f>J26</f>
        <v>100</v>
      </c>
      <c r="X26" s="450"/>
      <c r="Y26" s="3668"/>
      <c r="Z26" s="449" t="str">
        <f>Q26</f>
        <v>平面位置/可视性</v>
      </c>
      <c r="AA26" s="461">
        <f t="shared" si="3"/>
        <v>1</v>
      </c>
      <c r="AB26" s="461">
        <f t="shared" si="4"/>
        <v>1</v>
      </c>
      <c r="AC26" s="461">
        <f t="shared" si="5"/>
        <v>1</v>
      </c>
    </row>
    <row r="27" spans="1:29" s="193" customFormat="1" ht="15">
      <c r="A27" s="282"/>
      <c r="B27" s="277" t="s">
        <v>2246</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668"/>
      <c r="Q27" s="454" t="str">
        <f t="shared" si="11"/>
        <v>人流量</v>
      </c>
      <c r="R27" s="451" t="s">
        <v>912</v>
      </c>
      <c r="S27" s="452">
        <f>F27</f>
        <v>100</v>
      </c>
      <c r="T27" s="451" t="s">
        <v>912</v>
      </c>
      <c r="U27" s="452">
        <f>H27</f>
        <v>100</v>
      </c>
      <c r="V27" s="451" t="s">
        <v>912</v>
      </c>
      <c r="W27" s="452">
        <f>J27</f>
        <v>100</v>
      </c>
      <c r="X27" s="453"/>
      <c r="Y27" s="3668"/>
      <c r="Z27" s="471" t="str">
        <f>Q27</f>
        <v>人流量</v>
      </c>
      <c r="AA27" s="461">
        <f t="shared" si="3"/>
        <v>1</v>
      </c>
      <c r="AB27" s="461">
        <f t="shared" si="4"/>
        <v>1</v>
      </c>
      <c r="AC27" s="461">
        <f t="shared" si="5"/>
        <v>1</v>
      </c>
    </row>
    <row r="28" spans="1:29" ht="15">
      <c r="A28" s="258"/>
      <c r="B28" s="292" t="s">
        <v>2247</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668"/>
      <c r="Q28" s="388" t="str">
        <f t="shared" si="11"/>
        <v>楼层</v>
      </c>
      <c r="R28" s="455" t="s">
        <v>912</v>
      </c>
      <c r="S28" s="456">
        <f t="shared" ref="S28:S46" si="12">F28</f>
        <v>100</v>
      </c>
      <c r="T28" s="455" t="s">
        <v>912</v>
      </c>
      <c r="U28" s="456">
        <f t="shared" ref="U28:U46" si="13">H28</f>
        <v>100</v>
      </c>
      <c r="V28" s="455" t="s">
        <v>912</v>
      </c>
      <c r="W28" s="456">
        <f t="shared" ref="W28:W46" si="14">J28</f>
        <v>100</v>
      </c>
      <c r="X28" s="450"/>
      <c r="Y28" s="3668"/>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668"/>
      <c r="Q29" s="388">
        <f t="shared" si="11"/>
        <v>111</v>
      </c>
      <c r="R29" s="455" t="s">
        <v>912</v>
      </c>
      <c r="S29" s="456">
        <f t="shared" si="12"/>
        <v>100</v>
      </c>
      <c r="T29" s="455" t="s">
        <v>912</v>
      </c>
      <c r="U29" s="456">
        <f t="shared" si="13"/>
        <v>100</v>
      </c>
      <c r="V29" s="455" t="s">
        <v>912</v>
      </c>
      <c r="W29" s="456">
        <f t="shared" si="14"/>
        <v>100</v>
      </c>
      <c r="X29" s="450"/>
      <c r="Y29" s="3668"/>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286" t="s">
        <v>928</v>
      </c>
      <c r="B32" s="287" t="s">
        <v>2248</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669" t="s">
        <v>927</v>
      </c>
      <c r="Q32" s="388" t="str">
        <f t="shared" si="11"/>
        <v>商业类型</v>
      </c>
      <c r="R32" s="455" t="s">
        <v>912</v>
      </c>
      <c r="S32" s="456">
        <f t="shared" si="12"/>
        <v>100</v>
      </c>
      <c r="T32" s="455" t="s">
        <v>912</v>
      </c>
      <c r="U32" s="456">
        <f t="shared" si="13"/>
        <v>100</v>
      </c>
      <c r="V32" s="455" t="s">
        <v>912</v>
      </c>
      <c r="W32" s="456">
        <f t="shared" si="14"/>
        <v>100</v>
      </c>
      <c r="X32" s="450"/>
      <c r="Y32" s="3670" t="s">
        <v>927</v>
      </c>
      <c r="Z32" s="449" t="str">
        <f t="shared" si="15"/>
        <v>商业类型</v>
      </c>
      <c r="AA32" s="461">
        <f t="shared" si="3"/>
        <v>1</v>
      </c>
      <c r="AB32" s="461">
        <f t="shared" si="4"/>
        <v>1</v>
      </c>
      <c r="AC32" s="461">
        <f t="shared" si="5"/>
        <v>1</v>
      </c>
    </row>
    <row r="33" spans="1:29" s="195" customFormat="1" ht="15">
      <c r="A33" s="291"/>
      <c r="B33" s="292" t="s">
        <v>1054</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670"/>
      <c r="Q33" s="457" t="str">
        <f t="shared" si="11"/>
        <v>项目建筑规模</v>
      </c>
      <c r="R33" s="458" t="s">
        <v>912</v>
      </c>
      <c r="S33" s="459" t="e">
        <f t="shared" si="12"/>
        <v>#N/A</v>
      </c>
      <c r="T33" s="458" t="s">
        <v>912</v>
      </c>
      <c r="U33" s="459" t="e">
        <f t="shared" si="13"/>
        <v>#N/A</v>
      </c>
      <c r="V33" s="458" t="s">
        <v>912</v>
      </c>
      <c r="W33" s="459" t="e">
        <f t="shared" si="14"/>
        <v>#N/A</v>
      </c>
      <c r="X33" s="460"/>
      <c r="Y33" s="3670"/>
      <c r="Z33" s="472" t="str">
        <f t="shared" si="15"/>
        <v>项目建筑规模</v>
      </c>
      <c r="AA33" s="461" t="e">
        <f t="shared" si="3"/>
        <v>#N/A</v>
      </c>
      <c r="AB33" s="461" t="e">
        <f t="shared" si="4"/>
        <v>#N/A</v>
      </c>
      <c r="AC33" s="461" t="e">
        <f t="shared" si="5"/>
        <v>#N/A</v>
      </c>
    </row>
    <row r="34" spans="1:29" ht="15">
      <c r="A34" s="296"/>
      <c r="B34" s="292" t="s">
        <v>1055</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670"/>
      <c r="Q34" s="388" t="str">
        <f t="shared" si="11"/>
        <v>建筑结构</v>
      </c>
      <c r="R34" s="455" t="s">
        <v>912</v>
      </c>
      <c r="S34" s="456">
        <f t="shared" si="12"/>
        <v>100</v>
      </c>
      <c r="T34" s="455" t="s">
        <v>912</v>
      </c>
      <c r="U34" s="456">
        <f t="shared" si="13"/>
        <v>100</v>
      </c>
      <c r="V34" s="455" t="s">
        <v>912</v>
      </c>
      <c r="W34" s="456">
        <f t="shared" si="14"/>
        <v>100</v>
      </c>
      <c r="X34" s="450"/>
      <c r="Y34" s="3670"/>
      <c r="Z34" s="449" t="str">
        <f t="shared" si="15"/>
        <v>建筑结构</v>
      </c>
      <c r="AA34" s="461">
        <f t="shared" si="3"/>
        <v>1</v>
      </c>
      <c r="AB34" s="461">
        <f t="shared" si="4"/>
        <v>1</v>
      </c>
      <c r="AC34" s="461">
        <f t="shared" si="5"/>
        <v>1</v>
      </c>
    </row>
    <row r="35" spans="1:29" ht="15">
      <c r="A35" s="296"/>
      <c r="B35" s="292" t="s">
        <v>1057</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670"/>
      <c r="Q35" s="388" t="str">
        <f t="shared" si="11"/>
        <v>公共部分装修</v>
      </c>
      <c r="R35" s="455" t="s">
        <v>912</v>
      </c>
      <c r="S35" s="456">
        <f t="shared" si="12"/>
        <v>100</v>
      </c>
      <c r="T35" s="455" t="s">
        <v>912</v>
      </c>
      <c r="U35" s="456">
        <f t="shared" si="13"/>
        <v>100</v>
      </c>
      <c r="V35" s="455" t="s">
        <v>912</v>
      </c>
      <c r="W35" s="456">
        <f t="shared" si="14"/>
        <v>100</v>
      </c>
      <c r="X35" s="450"/>
      <c r="Y35" s="3670"/>
      <c r="Z35" s="449" t="str">
        <f t="shared" si="15"/>
        <v>公共部分装修</v>
      </c>
      <c r="AA35" s="461">
        <f t="shared" si="3"/>
        <v>1</v>
      </c>
      <c r="AB35" s="461">
        <f t="shared" si="4"/>
        <v>1</v>
      </c>
      <c r="AC35" s="461">
        <f t="shared" si="5"/>
        <v>1</v>
      </c>
    </row>
    <row r="36" spans="1:29" ht="15">
      <c r="A36" s="296"/>
      <c r="B36" s="292" t="s">
        <v>1058</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670"/>
      <c r="Q36" s="388" t="str">
        <f t="shared" si="11"/>
        <v>成新度</v>
      </c>
      <c r="R36" s="455" t="s">
        <v>912</v>
      </c>
      <c r="S36" s="456" t="e">
        <f t="shared" si="12"/>
        <v>#N/A</v>
      </c>
      <c r="T36" s="455" t="s">
        <v>912</v>
      </c>
      <c r="U36" s="456" t="e">
        <f t="shared" si="13"/>
        <v>#N/A</v>
      </c>
      <c r="V36" s="455" t="s">
        <v>912</v>
      </c>
      <c r="W36" s="456" t="e">
        <f t="shared" si="14"/>
        <v>#N/A</v>
      </c>
      <c r="X36" s="450"/>
      <c r="Y36" s="3670"/>
      <c r="Z36" s="449" t="str">
        <f t="shared" si="15"/>
        <v>成新度</v>
      </c>
      <c r="AA36" s="461" t="e">
        <f t="shared" si="3"/>
        <v>#N/A</v>
      </c>
      <c r="AB36" s="461" t="e">
        <f t="shared" si="4"/>
        <v>#N/A</v>
      </c>
      <c r="AC36" s="461" t="e">
        <f t="shared" si="5"/>
        <v>#N/A</v>
      </c>
    </row>
    <row r="37" spans="1:29" s="193" customFormat="1" ht="15">
      <c r="A37" s="299"/>
      <c r="B37" s="551" t="s">
        <v>1060</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670"/>
      <c r="Q37" s="454" t="str">
        <f t="shared" si="11"/>
        <v>市政基础设施</v>
      </c>
      <c r="R37" s="451" t="s">
        <v>912</v>
      </c>
      <c r="S37" s="452">
        <f t="shared" si="12"/>
        <v>100</v>
      </c>
      <c r="T37" s="451" t="s">
        <v>912</v>
      </c>
      <c r="U37" s="452">
        <f t="shared" si="13"/>
        <v>100</v>
      </c>
      <c r="V37" s="451" t="s">
        <v>912</v>
      </c>
      <c r="W37" s="452">
        <f t="shared" si="14"/>
        <v>100</v>
      </c>
      <c r="X37" s="453"/>
      <c r="Y37" s="3670"/>
      <c r="Z37" s="471" t="str">
        <f t="shared" si="15"/>
        <v>市政基础设施</v>
      </c>
      <c r="AA37" s="470">
        <f t="shared" si="3"/>
        <v>1</v>
      </c>
      <c r="AB37" s="470">
        <f t="shared" si="4"/>
        <v>1</v>
      </c>
      <c r="AC37" s="470">
        <f t="shared" si="5"/>
        <v>1</v>
      </c>
    </row>
    <row r="38" spans="1:29" ht="15">
      <c r="A38" s="296"/>
      <c r="B38" s="292" t="s">
        <v>2249</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670" t="s">
        <v>927</v>
      </c>
      <c r="Q38" s="388" t="str">
        <f t="shared" si="11"/>
        <v>业态</v>
      </c>
      <c r="R38" s="455" t="s">
        <v>912</v>
      </c>
      <c r="S38" s="456">
        <f t="shared" si="12"/>
        <v>100</v>
      </c>
      <c r="T38" s="455" t="s">
        <v>912</v>
      </c>
      <c r="U38" s="456">
        <f t="shared" si="13"/>
        <v>100</v>
      </c>
      <c r="V38" s="455" t="s">
        <v>912</v>
      </c>
      <c r="W38" s="456">
        <f t="shared" si="14"/>
        <v>100</v>
      </c>
      <c r="X38" s="450"/>
      <c r="Y38" s="3670" t="s">
        <v>927</v>
      </c>
      <c r="Z38" s="449" t="str">
        <f t="shared" si="15"/>
        <v>业态</v>
      </c>
      <c r="AA38" s="461">
        <f t="shared" si="3"/>
        <v>1</v>
      </c>
      <c r="AB38" s="461">
        <f t="shared" si="4"/>
        <v>1</v>
      </c>
      <c r="AC38" s="461">
        <f t="shared" si="5"/>
        <v>1</v>
      </c>
    </row>
    <row r="39" spans="1:29" ht="15">
      <c r="A39" s="296"/>
      <c r="B39" s="292" t="s">
        <v>2250</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0"/>
      <c r="Q39" s="388" t="str">
        <f t="shared" si="11"/>
        <v>层高</v>
      </c>
      <c r="R39" s="455" t="s">
        <v>912</v>
      </c>
      <c r="S39" s="456">
        <f t="shared" si="12"/>
        <v>100</v>
      </c>
      <c r="T39" s="455" t="s">
        <v>912</v>
      </c>
      <c r="U39" s="456">
        <f t="shared" si="13"/>
        <v>100</v>
      </c>
      <c r="V39" s="455" t="s">
        <v>912</v>
      </c>
      <c r="W39" s="456">
        <f t="shared" si="14"/>
        <v>100</v>
      </c>
      <c r="X39" s="450"/>
      <c r="Y39" s="3670"/>
      <c r="Z39" s="449" t="str">
        <f t="shared" si="15"/>
        <v>层高</v>
      </c>
      <c r="AA39" s="461">
        <f t="shared" si="3"/>
        <v>1</v>
      </c>
      <c r="AB39" s="461">
        <f t="shared" si="4"/>
        <v>1</v>
      </c>
      <c r="AC39" s="461">
        <f t="shared" si="5"/>
        <v>1</v>
      </c>
    </row>
    <row r="40" spans="1:29" ht="15">
      <c r="A40" s="296"/>
      <c r="B40" s="292" t="s">
        <v>2251</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670"/>
      <c r="Q40" s="388" t="str">
        <f t="shared" si="11"/>
        <v>单套建筑面积</v>
      </c>
      <c r="R40" s="455" t="s">
        <v>912</v>
      </c>
      <c r="S40" s="456">
        <f t="shared" si="12"/>
        <v>100</v>
      </c>
      <c r="T40" s="455" t="s">
        <v>912</v>
      </c>
      <c r="U40" s="456">
        <f t="shared" si="13"/>
        <v>100</v>
      </c>
      <c r="V40" s="455" t="s">
        <v>912</v>
      </c>
      <c r="W40" s="456">
        <f t="shared" si="14"/>
        <v>100</v>
      </c>
      <c r="X40" s="450"/>
      <c r="Y40" s="3670"/>
      <c r="Z40" s="449" t="str">
        <f t="shared" si="15"/>
        <v>单套建筑面积</v>
      </c>
      <c r="AA40" s="461">
        <f t="shared" si="3"/>
        <v>1</v>
      </c>
      <c r="AB40" s="461">
        <f t="shared" si="4"/>
        <v>1</v>
      </c>
      <c r="AC40" s="461">
        <f t="shared" si="5"/>
        <v>1</v>
      </c>
    </row>
    <row r="41" spans="1:29" s="195" customFormat="1" ht="15">
      <c r="A41" s="291"/>
      <c r="B41" s="406" t="s">
        <v>2252</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670"/>
      <c r="Q41" s="457" t="str">
        <f t="shared" si="11"/>
        <v>进深比</v>
      </c>
      <c r="R41" s="458" t="s">
        <v>912</v>
      </c>
      <c r="S41" s="459">
        <f t="shared" si="12"/>
        <v>100</v>
      </c>
      <c r="T41" s="458" t="s">
        <v>912</v>
      </c>
      <c r="U41" s="459">
        <f t="shared" si="13"/>
        <v>100</v>
      </c>
      <c r="V41" s="458" t="s">
        <v>912</v>
      </c>
      <c r="W41" s="459">
        <f t="shared" si="14"/>
        <v>100</v>
      </c>
      <c r="X41" s="460"/>
      <c r="Y41" s="3670"/>
      <c r="Z41" s="472" t="str">
        <f t="shared" si="15"/>
        <v>进深比</v>
      </c>
      <c r="AA41" s="461">
        <f t="shared" si="3"/>
        <v>1</v>
      </c>
      <c r="AB41" s="461">
        <f t="shared" si="4"/>
        <v>1</v>
      </c>
      <c r="AC41" s="461">
        <f t="shared" si="5"/>
        <v>1</v>
      </c>
    </row>
    <row r="42" spans="1:29" ht="15">
      <c r="A42" s="296"/>
      <c r="B42" s="292" t="s">
        <v>1063</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670"/>
      <c r="Q42" s="388" t="str">
        <f t="shared" si="11"/>
        <v>内部装修</v>
      </c>
      <c r="R42" s="455" t="s">
        <v>912</v>
      </c>
      <c r="S42" s="456">
        <f t="shared" si="12"/>
        <v>100</v>
      </c>
      <c r="T42" s="455" t="s">
        <v>912</v>
      </c>
      <c r="U42" s="456">
        <f t="shared" si="13"/>
        <v>100</v>
      </c>
      <c r="V42" s="455" t="s">
        <v>912</v>
      </c>
      <c r="W42" s="456">
        <f t="shared" si="14"/>
        <v>100</v>
      </c>
      <c r="X42" s="450"/>
      <c r="Y42" s="3670"/>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670"/>
      <c r="Q43" s="388" t="str">
        <f t="shared" si="11"/>
        <v>内部装修维护情况</v>
      </c>
      <c r="R43" s="455" t="s">
        <v>912</v>
      </c>
      <c r="S43" s="456">
        <f t="shared" si="12"/>
        <v>100</v>
      </c>
      <c r="T43" s="455" t="s">
        <v>912</v>
      </c>
      <c r="U43" s="456">
        <f t="shared" si="13"/>
        <v>100</v>
      </c>
      <c r="V43" s="455" t="s">
        <v>912</v>
      </c>
      <c r="W43" s="456">
        <f t="shared" si="14"/>
        <v>100</v>
      </c>
      <c r="X43" s="450"/>
      <c r="Y43" s="3670"/>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670"/>
      <c r="Q44" s="454">
        <f t="shared" si="11"/>
        <v>111</v>
      </c>
      <c r="R44" s="451" t="s">
        <v>912</v>
      </c>
      <c r="S44" s="452">
        <f t="shared" si="12"/>
        <v>100</v>
      </c>
      <c r="T44" s="451" t="s">
        <v>912</v>
      </c>
      <c r="U44" s="452">
        <f t="shared" si="13"/>
        <v>100</v>
      </c>
      <c r="V44" s="451" t="s">
        <v>912</v>
      </c>
      <c r="W44" s="452">
        <f t="shared" si="14"/>
        <v>100</v>
      </c>
      <c r="X44" s="453"/>
      <c r="Y44" s="3670"/>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670"/>
      <c r="Q45" s="388">
        <f t="shared" si="11"/>
        <v>111</v>
      </c>
      <c r="R45" s="455" t="s">
        <v>912</v>
      </c>
      <c r="S45" s="456">
        <f t="shared" si="12"/>
        <v>100</v>
      </c>
      <c r="T45" s="455" t="s">
        <v>912</v>
      </c>
      <c r="U45" s="456">
        <f t="shared" si="13"/>
        <v>100</v>
      </c>
      <c r="V45" s="455" t="s">
        <v>912</v>
      </c>
      <c r="W45" s="456">
        <f t="shared" si="14"/>
        <v>100</v>
      </c>
      <c r="X45" s="450"/>
      <c r="Y45" s="3670"/>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774"/>
      <c r="Q46" s="388">
        <f t="shared" si="11"/>
        <v>111</v>
      </c>
      <c r="R46" s="455" t="s">
        <v>912</v>
      </c>
      <c r="S46" s="456">
        <f t="shared" si="12"/>
        <v>100</v>
      </c>
      <c r="T46" s="455" t="s">
        <v>912</v>
      </c>
      <c r="U46" s="456">
        <f t="shared" si="13"/>
        <v>100</v>
      </c>
      <c r="V46" s="455" t="s">
        <v>912</v>
      </c>
      <c r="W46" s="456">
        <f t="shared" si="14"/>
        <v>100</v>
      </c>
      <c r="X46" s="450"/>
      <c r="Y46" s="3774"/>
      <c r="Z46" s="449">
        <f t="shared" si="15"/>
        <v>111</v>
      </c>
      <c r="AA46" s="461">
        <f t="shared" si="3"/>
        <v>1</v>
      </c>
      <c r="AB46" s="461">
        <f t="shared" si="4"/>
        <v>1</v>
      </c>
      <c r="AC46" s="461">
        <f t="shared" si="5"/>
        <v>1</v>
      </c>
    </row>
    <row r="47" spans="1:29" ht="15">
      <c r="A47" s="306" t="s">
        <v>1064</v>
      </c>
      <c r="B47" s="307"/>
      <c r="C47" s="308" t="s">
        <v>138</v>
      </c>
      <c r="D47" s="309"/>
      <c r="E47" s="310"/>
      <c r="F47" s="311"/>
      <c r="G47" s="312"/>
      <c r="H47" s="313"/>
      <c r="I47" s="310"/>
      <c r="J47" s="313"/>
      <c r="K47" s="402"/>
      <c r="L47" s="403"/>
      <c r="M47" s="334"/>
      <c r="N47" s="383"/>
      <c r="O47" s="334"/>
      <c r="P47" s="3666" t="str">
        <f>A47</f>
        <v>成交单价（元/平方米）</v>
      </c>
      <c r="Q47" s="3666"/>
      <c r="R47" s="3772">
        <f>E47</f>
        <v>0</v>
      </c>
      <c r="S47" s="3772"/>
      <c r="T47" s="3772">
        <f>G47</f>
        <v>0</v>
      </c>
      <c r="U47" s="3772"/>
      <c r="V47" s="3772">
        <f>I47</f>
        <v>0</v>
      </c>
      <c r="W47" s="3772"/>
      <c r="X47" s="336"/>
      <c r="Y47" s="473"/>
      <c r="Z47" s="336"/>
      <c r="AA47" s="336"/>
      <c r="AB47" s="336"/>
      <c r="AC47" s="336"/>
    </row>
    <row r="48" spans="1:29" ht="15">
      <c r="A48" s="314" t="s">
        <v>936</v>
      </c>
      <c r="B48" s="315"/>
      <c r="C48" s="316" t="e">
        <f>R49</f>
        <v>#DIV/0!</v>
      </c>
      <c r="D48" s="317" t="s">
        <v>937</v>
      </c>
      <c r="E48" s="318" t="e">
        <f>R48</f>
        <v>#DIV/0!</v>
      </c>
      <c r="F48" s="319"/>
      <c r="G48" s="316" t="e">
        <f>T48</f>
        <v>#DIV/0!</v>
      </c>
      <c r="H48" s="319"/>
      <c r="I48" s="318" t="e">
        <f>V48</f>
        <v>#DIV/0!</v>
      </c>
      <c r="J48" s="319"/>
      <c r="K48" s="404">
        <f>F48+H48+J48</f>
        <v>0</v>
      </c>
      <c r="L48" s="403"/>
      <c r="M48" s="334"/>
      <c r="N48" s="383"/>
      <c r="O48" s="334"/>
      <c r="P48" s="3666" t="str">
        <f>A48</f>
        <v>比较价格（元/平方米）</v>
      </c>
      <c r="Q48" s="3666"/>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336"/>
      <c r="Y48" s="336"/>
      <c r="Z48" s="336"/>
      <c r="AA48" s="336"/>
      <c r="AB48" s="336"/>
      <c r="AC48" s="336"/>
    </row>
    <row r="49" spans="1:29" ht="15">
      <c r="A49" s="320" t="s">
        <v>938</v>
      </c>
      <c r="B49" s="321"/>
      <c r="C49" s="322" t="e">
        <f>R49</f>
        <v>#DIV/0!</v>
      </c>
      <c r="D49" s="322"/>
      <c r="E49" s="322"/>
      <c r="F49" s="322"/>
      <c r="G49" s="322"/>
      <c r="H49" s="322"/>
      <c r="I49" s="322"/>
      <c r="J49" s="322"/>
      <c r="K49" s="405"/>
      <c r="L49" s="403"/>
      <c r="M49" s="334"/>
      <c r="N49" s="383"/>
      <c r="O49" s="334"/>
      <c r="P49" s="3676" t="str">
        <f>A49</f>
        <v>估价对象XX用房的比较价格（楼面单价，元/平方米）</v>
      </c>
      <c r="Q49" s="3677"/>
      <c r="R49" s="3773" t="e">
        <f>IF(F1="售价",ROUND(IF(D48="简单平均",AVERAGE(R48:V48),R48*F48+T48*H48+V48*J48),0),ROUND(IF(D48="简单平均",AVERAGE(R48:V48),R48*F48+T48*H48+V48*J48),1))</f>
        <v>#DIV/0!</v>
      </c>
      <c r="S49" s="3773"/>
      <c r="T49" s="3773"/>
      <c r="U49" s="3773"/>
      <c r="V49" s="3773"/>
      <c r="W49" s="3773"/>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939</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940</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941</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963</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910</v>
      </c>
      <c r="B58" s="340"/>
      <c r="C58" s="341" t="str">
        <f>YEAR(C7)&amp;"-"&amp;MONTH(C7)</f>
        <v>2021-10</v>
      </c>
      <c r="D58" s="342">
        <f>EDATE(C58,-1)</f>
        <v>44440</v>
      </c>
      <c r="E58" s="342">
        <f t="shared" ref="E58:O58" si="16">EDATE(D58,-1)</f>
        <v>44409</v>
      </c>
      <c r="F58" s="342">
        <f t="shared" si="16"/>
        <v>44378</v>
      </c>
      <c r="G58" s="342">
        <f t="shared" si="16"/>
        <v>44348</v>
      </c>
      <c r="H58" s="342">
        <f t="shared" si="16"/>
        <v>44317</v>
      </c>
      <c r="I58" s="342">
        <f t="shared" si="16"/>
        <v>44287</v>
      </c>
      <c r="J58" s="342">
        <f t="shared" si="16"/>
        <v>44256</v>
      </c>
      <c r="K58" s="342">
        <f t="shared" si="16"/>
        <v>44228</v>
      </c>
      <c r="L58" s="342">
        <f t="shared" si="16"/>
        <v>44197</v>
      </c>
      <c r="M58" s="342">
        <f t="shared" si="16"/>
        <v>44166</v>
      </c>
      <c r="N58" s="342">
        <f t="shared" si="16"/>
        <v>44136</v>
      </c>
      <c r="O58" s="342">
        <f t="shared" si="16"/>
        <v>44105</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1065</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913</v>
      </c>
      <c r="B61" s="344"/>
      <c r="C61" s="352" t="s">
        <v>914</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967</v>
      </c>
      <c r="B63" s="355" t="s">
        <v>968</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969</v>
      </c>
      <c r="C65" s="362" t="s">
        <v>1066</v>
      </c>
      <c r="D65" s="362" t="s">
        <v>1067</v>
      </c>
      <c r="E65" s="362" t="s">
        <v>1068</v>
      </c>
      <c r="F65" s="362" t="s">
        <v>1069</v>
      </c>
      <c r="G65" s="362" t="s">
        <v>1070</v>
      </c>
      <c r="H65" s="362" t="s">
        <v>1071</v>
      </c>
      <c r="I65" s="362" t="s">
        <v>1072</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962</v>
      </c>
      <c r="D66" s="364" t="s">
        <v>962</v>
      </c>
      <c r="E66" s="364" t="s">
        <v>962</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970</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971</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1049</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976</v>
      </c>
      <c r="B100" s="355" t="s">
        <v>2248</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1054</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1055</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1057</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1058</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1060</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2249</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2250</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2251</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2253</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1063</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E52">
    <cfRule type="expression" dxfId="92" priority="16" stopIfTrue="1">
      <formula>$F$52="超过30%"</formula>
    </cfRule>
  </conditionalFormatting>
  <conditionalFormatting sqref="G52">
    <cfRule type="expression" dxfId="91" priority="12" stopIfTrue="1">
      <formula>$H$52="超过30%"</formula>
    </cfRule>
  </conditionalFormatting>
  <conditionalFormatting sqref="I52">
    <cfRule type="expression" dxfId="90" priority="7" stopIfTrue="1">
      <formula>$J$52="超过30%"</formula>
    </cfRule>
  </conditionalFormatting>
  <conditionalFormatting sqref="J52">
    <cfRule type="containsText" dxfId="89" priority="10" stopIfTrue="1" operator="containsText" text="超过">
      <formula>NOT(ISERROR(SEARCH("超过",J52)))</formula>
    </cfRule>
  </conditionalFormatting>
  <conditionalFormatting sqref="E53">
    <cfRule type="expression" dxfId="88" priority="15" stopIfTrue="1">
      <formula>$F$53="超过20%"</formula>
    </cfRule>
  </conditionalFormatting>
  <conditionalFormatting sqref="G53">
    <cfRule type="expression" dxfId="87" priority="11" stopIfTrue="1">
      <formula>$H$53="超过20%"</formula>
    </cfRule>
  </conditionalFormatting>
  <conditionalFormatting sqref="I53">
    <cfRule type="expression" dxfId="86" priority="6" stopIfTrue="1">
      <formula>$J$53="超过20%"</formula>
    </cfRule>
  </conditionalFormatting>
  <conditionalFormatting sqref="J53">
    <cfRule type="containsText" dxfId="85" priority="8" stopIfTrue="1" operator="containsText" text="超过">
      <formula>NOT(ISERROR(SEARCH("超过",J53)))</formula>
    </cfRule>
  </conditionalFormatting>
  <conditionalFormatting sqref="E54">
    <cfRule type="expression" dxfId="84" priority="14" stopIfTrue="1">
      <formula>$F$54="超过30%"</formula>
    </cfRule>
  </conditionalFormatting>
  <conditionalFormatting sqref="F54">
    <cfRule type="containsText" dxfId="83" priority="18" stopIfTrue="1" operator="containsText" text="超过">
      <formula>NOT(ISERROR(SEARCH("超过",F54)))</formula>
    </cfRule>
  </conditionalFormatting>
  <conditionalFormatting sqref="G54">
    <cfRule type="expression" dxfId="82" priority="13" stopIfTrue="1">
      <formula>$H$54="超过30%"</formula>
    </cfRule>
  </conditionalFormatting>
  <conditionalFormatting sqref="H54">
    <cfRule type="containsText" dxfId="81" priority="19" stopIfTrue="1" operator="containsText" text="超过">
      <formula>NOT(ISERROR(SEARCH("超过",H54)))</formula>
    </cfRule>
  </conditionalFormatting>
  <conditionalFormatting sqref="I54">
    <cfRule type="expression" dxfId="80" priority="5" stopIfTrue="1">
      <formula>$J$54="超过30%"</formula>
    </cfRule>
  </conditionalFormatting>
  <conditionalFormatting sqref="J54">
    <cfRule type="containsText" dxfId="79" priority="9" stopIfTrue="1" operator="containsText" text="超过">
      <formula>NOT(ISERROR(SEARCH("超过",J54)))</formula>
    </cfRule>
  </conditionalFormatting>
  <conditionalFormatting sqref="F7:F46 H7:H46 J7:J46">
    <cfRule type="cellIs" dxfId="78" priority="1" operator="notEqual">
      <formula>100</formula>
    </cfRule>
  </conditionalFormatting>
  <conditionalFormatting sqref="F52 H52">
    <cfRule type="containsText" dxfId="77" priority="21" stopIfTrue="1" operator="containsText" text="超过">
      <formula>NOT(ISERROR(SEARCH("超过",F52)))</formula>
    </cfRule>
  </conditionalFormatting>
  <conditionalFormatting sqref="F53 H53">
    <cfRule type="containsText" dxfId="76" priority="17" stopIfTrue="1" operator="containsText" text="超过">
      <formula>NOT(ISERROR(SEARCH("超过",F53)))</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E9 G9 I9" xr:uid="{00000000-0002-0000-2200-000001000000}">
      <formula1>商业用途</formula1>
    </dataValidation>
    <dataValidation type="list" allowBlank="1" showInputMessage="1" showErrorMessage="1" sqref="D1" xr:uid="{00000000-0002-0000-2200-000002000000}">
      <formula1>项目类型</formula1>
    </dataValidation>
    <dataValidation type="list" allowBlank="1" showInputMessage="1" showErrorMessage="1" sqref="D48" xr:uid="{00000000-0002-0000-2200-000003000000}">
      <formula1>"简单平均,加权平均"</formula1>
    </dataValidation>
    <dataValidation type="list" allowBlank="1" showInputMessage="1" showErrorMessage="1" sqref="C16 E16 G16 I16" xr:uid="{00000000-0002-0000-2200-000004000000}">
      <formula1>商业繁华度</formula1>
    </dataValidation>
    <dataValidation type="list" allowBlank="1" showInputMessage="1" showErrorMessage="1" sqref="C38 E38 G38 I38" xr:uid="{00000000-0002-0000-2200-000005000000}">
      <formula1>商业业态</formula1>
    </dataValidation>
    <dataValidation type="list" allowBlank="1" showInputMessage="1" showErrorMessage="1" sqref="C27 E27 G27 I27" xr:uid="{00000000-0002-0000-2200-000006000000}">
      <formula1>商业人流量</formula1>
    </dataValidation>
    <dataValidation type="list" allowBlank="1" showInputMessage="1" showErrorMessage="1" sqref="F1" xr:uid="{00000000-0002-0000-2200-000007000000}">
      <formula1>"售价,租金"</formula1>
    </dataValidation>
    <dataValidation type="list" allowBlank="1" showInputMessage="1" showErrorMessage="1" sqref="C8 E8 G8 I8" xr:uid="{00000000-0002-0000-2200-000008000000}">
      <formula1>商业交易情况</formula1>
    </dataValidation>
    <dataValidation type="list" allowBlank="1" showInputMessage="1" showErrorMessage="1" sqref="C18 E18 G18 I18" xr:uid="{00000000-0002-0000-2200-000009000000}">
      <formula1>交通便捷度</formula1>
    </dataValidation>
    <dataValidation type="list" allowBlank="1" showInputMessage="1" showErrorMessage="1" sqref="C20 E20 G20 I20" xr:uid="{00000000-0002-0000-2200-00000A000000}">
      <formula1>公共配套设施</formula1>
    </dataValidation>
    <dataValidation type="list" allowBlank="1" showInputMessage="1" showErrorMessage="1" sqref="C22 E22 G22 I22" xr:uid="{00000000-0002-0000-2200-00000B000000}">
      <formula1>基础设施水平</formula1>
    </dataValidation>
    <dataValidation type="list" allowBlank="1" showInputMessage="1" showErrorMessage="1" sqref="C24 E24 G24 I24" xr:uid="{00000000-0002-0000-2200-00000C000000}">
      <formula1>环境</formula1>
    </dataValidation>
    <dataValidation type="list" allowBlank="1" showInputMessage="1" showErrorMessage="1" sqref="C25 E25 G25 I25" xr:uid="{00000000-0002-0000-2200-00000D000000}">
      <formula1>商业临街状况</formula1>
    </dataValidation>
    <dataValidation type="list" allowBlank="1" showInputMessage="1" showErrorMessage="1" sqref="C28 E28 G28 I28" xr:uid="{00000000-0002-0000-2200-00000E000000}">
      <formula1>商业楼层</formula1>
    </dataValidation>
    <dataValidation type="list" allowBlank="1" showInputMessage="1" showErrorMessage="1" sqref="C32 E32 G32 I32" xr:uid="{00000000-0002-0000-2200-00000F000000}">
      <formula1>商业类型</formula1>
    </dataValidation>
    <dataValidation type="list" allowBlank="1" showInputMessage="1" showErrorMessage="1" sqref="C34" xr:uid="{00000000-0002-0000-2200-000010000000}">
      <formula1>商业建筑结构</formula1>
    </dataValidation>
    <dataValidation type="list" allowBlank="1" showInputMessage="1" showErrorMessage="1" sqref="E34 G34 I34" xr:uid="{00000000-0002-0000-2200-000011000000}">
      <formula1>住宅建筑结构</formula1>
    </dataValidation>
    <dataValidation type="list" allowBlank="1" showInputMessage="1" showErrorMessage="1" sqref="C35 E35 G35 I35" xr:uid="{00000000-0002-0000-2200-000012000000}">
      <formula1>商业公共部分装修</formula1>
    </dataValidation>
    <dataValidation type="list" allowBlank="1" showInputMessage="1" showErrorMessage="1" sqref="C39 E39 G39 I39" xr:uid="{00000000-0002-0000-2200-000013000000}">
      <formula1>商业层高</formula1>
    </dataValidation>
    <dataValidation type="list" allowBlank="1" showInputMessage="1" showErrorMessage="1" sqref="C37 E37 G37 I37" xr:uid="{00000000-0002-0000-2200-000014000000}">
      <formula1>商业基础设施水平</formula1>
    </dataValidation>
    <dataValidation type="list" allowBlank="1" showInputMessage="1" showErrorMessage="1" sqref="C41 E41 G41 I41" xr:uid="{00000000-0002-0000-2200-000015000000}">
      <formula1>商业进深比</formula1>
    </dataValidation>
    <dataValidation type="list" allowBlank="1" showInputMessage="1" showErrorMessage="1" sqref="C42 E42 G42 I42" xr:uid="{00000000-0002-0000-2200-000016000000}">
      <formula1>商业内部装修</formula1>
    </dataValidation>
    <dataValidation type="list" allowBlank="1" showInputMessage="1" showErrorMessage="1" sqref="C43 E43 G43 I43" xr:uid="{00000000-0002-0000-22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2254</v>
      </c>
      <c r="C1" s="203" t="s">
        <v>1042</v>
      </c>
      <c r="D1" s="204"/>
      <c r="E1" s="205"/>
      <c r="F1" s="206"/>
      <c r="G1" s="207" t="s">
        <v>1044</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1045</v>
      </c>
      <c r="B3" s="214" t="e">
        <f>C50</f>
        <v>#DIV/0!</v>
      </c>
      <c r="C3" s="215" t="s">
        <v>1046</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897</v>
      </c>
      <c r="B4" s="218"/>
      <c r="C4" s="3686" t="s">
        <v>898</v>
      </c>
      <c r="D4" s="3687"/>
      <c r="E4" s="3777" t="s">
        <v>899</v>
      </c>
      <c r="F4" s="3778"/>
      <c r="G4" s="3686" t="s">
        <v>900</v>
      </c>
      <c r="H4" s="3687"/>
      <c r="I4" s="3686" t="s">
        <v>901</v>
      </c>
      <c r="J4" s="3687"/>
      <c r="K4" s="381" t="s">
        <v>902</v>
      </c>
      <c r="L4" s="382"/>
      <c r="M4" s="383"/>
      <c r="N4" s="383"/>
      <c r="O4" s="383"/>
      <c r="P4" s="3858" t="s">
        <v>903</v>
      </c>
      <c r="Q4" s="3653"/>
      <c r="R4" s="3658" t="s">
        <v>899</v>
      </c>
      <c r="S4" s="3659"/>
      <c r="T4" s="3658" t="s">
        <v>900</v>
      </c>
      <c r="U4" s="3659"/>
      <c r="V4" s="3664" t="s">
        <v>901</v>
      </c>
      <c r="W4" s="3664"/>
      <c r="X4" s="450"/>
      <c r="Y4" s="3658" t="s">
        <v>903</v>
      </c>
      <c r="Z4" s="3659"/>
      <c r="AA4" s="3649" t="s">
        <v>899</v>
      </c>
      <c r="AB4" s="3649"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859"/>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860"/>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SUMIF(59:59,YEAR(E7)&amp;"-"&amp;MONTH(E7),60:60)</f>
        <v>0</v>
      </c>
      <c r="G7" s="227"/>
      <c r="H7" s="226">
        <f>SUMIF(59:59,YEAR(G7)&amp;"-"&amp;MONTH(G7),60:60)</f>
        <v>0</v>
      </c>
      <c r="I7" s="227"/>
      <c r="J7" s="226">
        <f>SUMIF(59:59,YEAR(I7)&amp;"-"&amp;MONTH(I7),60:60)</f>
        <v>0</v>
      </c>
      <c r="K7" s="384"/>
      <c r="L7" s="385"/>
      <c r="M7" s="386"/>
      <c r="N7" s="386"/>
      <c r="O7" s="386"/>
      <c r="P7" s="3685"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SUMIF(62:62,E8,63:63)-SUMIF(62:62,C8,63:63)+100</f>
        <v>0</v>
      </c>
      <c r="G8" s="232"/>
      <c r="H8" s="226">
        <f>SUMIF(62:62,G8,63:63)-SUMIF(62:62,C8,63:63)+100</f>
        <v>0</v>
      </c>
      <c r="I8" s="232"/>
      <c r="J8" s="226">
        <f>SUMIF(62:62,I8,63:63)-SUMIF(62:62,C8,63:63)+100</f>
        <v>0</v>
      </c>
      <c r="K8" s="384"/>
      <c r="L8" s="385"/>
      <c r="M8" s="386"/>
      <c r="N8" s="386"/>
      <c r="O8" s="386"/>
      <c r="P8" s="3685" t="s">
        <v>915</v>
      </c>
      <c r="Q8" s="3680"/>
      <c r="R8" s="451" t="s">
        <v>912</v>
      </c>
      <c r="S8" s="452">
        <f t="shared" si="0"/>
        <v>0</v>
      </c>
      <c r="T8" s="451" t="s">
        <v>912</v>
      </c>
      <c r="U8" s="452">
        <f t="shared" si="1"/>
        <v>0</v>
      </c>
      <c r="V8" s="451" t="s">
        <v>912</v>
      </c>
      <c r="W8" s="452">
        <f t="shared" si="2"/>
        <v>0</v>
      </c>
      <c r="X8" s="453"/>
      <c r="Y8" s="3679" t="s">
        <v>915</v>
      </c>
      <c r="Z8" s="3680"/>
      <c r="AA8" s="470" t="e">
        <f t="shared" ref="AA8:AA47" si="3">D8/F8</f>
        <v>#DIV/0!</v>
      </c>
      <c r="AB8" s="470" t="e">
        <f t="shared" ref="AB8:AB47" si="4">D8/H8</f>
        <v>#DIV/0!</v>
      </c>
      <c r="AC8" s="470" t="e">
        <f t="shared" ref="AC8:AC47" si="5">D8/J8</f>
        <v>#DIV/0!</v>
      </c>
    </row>
    <row r="9" spans="1:29" s="193" customFormat="1" ht="15">
      <c r="A9" s="233"/>
      <c r="B9" s="234" t="s">
        <v>916</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71.25">
      <c r="A15" s="251" t="s">
        <v>922</v>
      </c>
      <c r="B15" s="505" t="s">
        <v>227</v>
      </c>
      <c r="C15" s="573"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667" t="s">
        <v>923</v>
      </c>
      <c r="Q15" s="388" t="str">
        <f t="shared" si="6"/>
        <v>办公集聚程度</v>
      </c>
      <c r="R15" s="455" t="s">
        <v>912</v>
      </c>
      <c r="S15" s="456">
        <f t="shared" si="0"/>
        <v>100</v>
      </c>
      <c r="T15" s="455" t="s">
        <v>912</v>
      </c>
      <c r="U15" s="456">
        <f t="shared" si="1"/>
        <v>100</v>
      </c>
      <c r="V15" s="455" t="s">
        <v>912</v>
      </c>
      <c r="W15" s="456">
        <f t="shared" si="2"/>
        <v>100</v>
      </c>
      <c r="X15" s="450"/>
      <c r="Y15" s="3667" t="s">
        <v>923</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668"/>
      <c r="Q16" s="388"/>
      <c r="R16" s="455"/>
      <c r="S16" s="456"/>
      <c r="T16" s="455"/>
      <c r="U16" s="456"/>
      <c r="V16" s="455"/>
      <c r="W16" s="456"/>
      <c r="X16" s="450"/>
      <c r="Y16" s="3668"/>
      <c r="Z16" s="449"/>
      <c r="AA16" s="461">
        <v>1</v>
      </c>
      <c r="AB16" s="461">
        <v>1</v>
      </c>
      <c r="AC16" s="461">
        <v>1</v>
      </c>
    </row>
    <row r="17" spans="1:29" ht="256.5">
      <c r="A17" s="258"/>
      <c r="B17" s="507" t="s">
        <v>229</v>
      </c>
      <c r="C17" s="576" t="str">
        <f>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668"/>
      <c r="Q18" s="388"/>
      <c r="R18" s="455"/>
      <c r="S18" s="456"/>
      <c r="T18" s="455"/>
      <c r="U18" s="456"/>
      <c r="V18" s="455"/>
      <c r="W18" s="456"/>
      <c r="X18" s="450"/>
      <c r="Y18" s="3668"/>
      <c r="Z18" s="449"/>
      <c r="AA18" s="461">
        <v>1</v>
      </c>
      <c r="AB18" s="461">
        <v>1</v>
      </c>
      <c r="AC18" s="461">
        <v>1</v>
      </c>
    </row>
    <row r="19" spans="1:29" ht="270.75">
      <c r="A19" s="258"/>
      <c r="B19" s="264" t="s">
        <v>231</v>
      </c>
      <c r="C19" s="576" t="str">
        <f>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668"/>
      <c r="Q20" s="388"/>
      <c r="R20" s="455"/>
      <c r="S20" s="456"/>
      <c r="T20" s="455"/>
      <c r="U20" s="456"/>
      <c r="V20" s="455"/>
      <c r="W20" s="456"/>
      <c r="X20" s="450"/>
      <c r="Y20" s="3668"/>
      <c r="Z20" s="449"/>
      <c r="AA20" s="461">
        <v>1</v>
      </c>
      <c r="AB20" s="461">
        <v>1</v>
      </c>
      <c r="AC20" s="461">
        <v>1</v>
      </c>
    </row>
    <row r="21" spans="1:29" ht="42.75">
      <c r="A21" s="258"/>
      <c r="B21" s="272" t="s">
        <v>232</v>
      </c>
      <c r="C21" s="576" t="str">
        <f>估价对象房地状况!C8</f>
        <v>估价对象所在区域基础设施水平-七通</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668"/>
      <c r="Q22" s="388"/>
      <c r="R22" s="455"/>
      <c r="S22" s="456"/>
      <c r="T22" s="455"/>
      <c r="U22" s="456"/>
      <c r="V22" s="455"/>
      <c r="W22" s="456"/>
      <c r="X22" s="450"/>
      <c r="Y22" s="3668"/>
      <c r="Z22" s="449"/>
      <c r="AA22" s="461">
        <v>1</v>
      </c>
      <c r="AB22" s="461">
        <v>1</v>
      </c>
      <c r="AC22" s="461">
        <v>1</v>
      </c>
    </row>
    <row r="23" spans="1:29" ht="185.25">
      <c r="A23" s="258"/>
      <c r="B23" s="507" t="s">
        <v>233</v>
      </c>
      <c r="C23" s="576" t="str">
        <f>估价对象房地状况!C9</f>
        <v>估价对象所在海淀区温泉镇周边绿化条件较好，周边2公里内有温泉公园、齐物潭、梅花鹿公园、白家疃公园等绿化设施；辛亥滦州革命先烈纪念园等人文设施，综合考虑自然环境与人文环境较好。</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668"/>
      <c r="Q23" s="388" t="str">
        <f>B23</f>
        <v>环境质量</v>
      </c>
      <c r="R23" s="455" t="s">
        <v>912</v>
      </c>
      <c r="S23" s="456">
        <f>F23</f>
        <v>100</v>
      </c>
      <c r="T23" s="455" t="s">
        <v>912</v>
      </c>
      <c r="U23" s="456">
        <f>H23</f>
        <v>100</v>
      </c>
      <c r="V23" s="455" t="s">
        <v>912</v>
      </c>
      <c r="W23" s="456">
        <f>J23</f>
        <v>100</v>
      </c>
      <c r="X23" s="450"/>
      <c r="Y23" s="3668"/>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668"/>
      <c r="Q24" s="388"/>
      <c r="R24" s="455"/>
      <c r="S24" s="456"/>
      <c r="T24" s="455"/>
      <c r="U24" s="456"/>
      <c r="V24" s="455"/>
      <c r="W24" s="456"/>
      <c r="X24" s="450"/>
      <c r="Y24" s="3668"/>
      <c r="Z24" s="449"/>
      <c r="AA24" s="461">
        <v>1</v>
      </c>
      <c r="AB24" s="461">
        <v>1</v>
      </c>
      <c r="AC24" s="461">
        <v>1</v>
      </c>
    </row>
    <row r="25" spans="1:29" ht="27">
      <c r="A25" s="219"/>
      <c r="B25" s="507" t="s">
        <v>925</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668"/>
      <c r="Q25" s="388" t="str">
        <f>B25</f>
        <v>毗邻道路的类型与等级</v>
      </c>
      <c r="R25" s="455" t="s">
        <v>912</v>
      </c>
      <c r="S25" s="456">
        <f>F25</f>
        <v>100</v>
      </c>
      <c r="T25" s="455" t="s">
        <v>912</v>
      </c>
      <c r="U25" s="456">
        <f>H25</f>
        <v>100</v>
      </c>
      <c r="V25" s="455" t="s">
        <v>912</v>
      </c>
      <c r="W25" s="456">
        <f>J25</f>
        <v>100</v>
      </c>
      <c r="X25" s="450"/>
      <c r="Y25" s="3668"/>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668"/>
      <c r="Q26" s="388"/>
      <c r="R26" s="455"/>
      <c r="S26" s="456"/>
      <c r="T26" s="455"/>
      <c r="U26" s="456"/>
      <c r="V26" s="455"/>
      <c r="W26" s="456"/>
      <c r="X26" s="450"/>
      <c r="Y26" s="3668"/>
      <c r="Z26" s="449"/>
      <c r="AA26" s="461">
        <v>1</v>
      </c>
      <c r="AB26" s="461">
        <v>1</v>
      </c>
      <c r="AC26" s="461">
        <v>1</v>
      </c>
    </row>
    <row r="27" spans="1:29" ht="15">
      <c r="A27" s="258"/>
      <c r="B27" s="270" t="s">
        <v>2247</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668"/>
      <c r="Q27" s="388" t="str">
        <f t="shared" ref="Q27:Q47" si="11">B27</f>
        <v>楼层</v>
      </c>
      <c r="R27" s="455" t="s">
        <v>912</v>
      </c>
      <c r="S27" s="456">
        <f>F27</f>
        <v>100</v>
      </c>
      <c r="T27" s="455" t="s">
        <v>912</v>
      </c>
      <c r="U27" s="456">
        <f>H27</f>
        <v>100</v>
      </c>
      <c r="V27" s="455" t="s">
        <v>912</v>
      </c>
      <c r="W27" s="456">
        <f>J27</f>
        <v>100</v>
      </c>
      <c r="X27" s="450"/>
      <c r="Y27" s="3668"/>
      <c r="Z27" s="449" t="str">
        <f>Q27</f>
        <v>楼层</v>
      </c>
      <c r="AA27" s="461">
        <f t="shared" si="3"/>
        <v>1</v>
      </c>
      <c r="AB27" s="461">
        <f t="shared" si="4"/>
        <v>1</v>
      </c>
      <c r="AC27" s="461">
        <f t="shared" si="5"/>
        <v>1</v>
      </c>
    </row>
    <row r="28" spans="1:29" s="193" customFormat="1" ht="15">
      <c r="A28" s="282"/>
      <c r="B28" s="507" t="s">
        <v>1051</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668"/>
      <c r="Q28" s="454" t="str">
        <f t="shared" si="11"/>
        <v>朝向</v>
      </c>
      <c r="R28" s="451" t="s">
        <v>912</v>
      </c>
      <c r="S28" s="452">
        <f>F28</f>
        <v>100</v>
      </c>
      <c r="T28" s="451" t="s">
        <v>912</v>
      </c>
      <c r="U28" s="452">
        <f>H28</f>
        <v>100</v>
      </c>
      <c r="V28" s="451" t="s">
        <v>912</v>
      </c>
      <c r="W28" s="452">
        <f>J28</f>
        <v>100</v>
      </c>
      <c r="X28" s="453"/>
      <c r="Y28" s="3668"/>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668"/>
      <c r="Q29" s="388">
        <f t="shared" si="11"/>
        <v>111</v>
      </c>
      <c r="R29" s="455" t="s">
        <v>912</v>
      </c>
      <c r="S29" s="456">
        <f t="shared" ref="S29:S47" si="12">F29</f>
        <v>100</v>
      </c>
      <c r="T29" s="455" t="s">
        <v>912</v>
      </c>
      <c r="U29" s="456">
        <f t="shared" ref="U29:U47" si="13">H29</f>
        <v>100</v>
      </c>
      <c r="V29" s="455" t="s">
        <v>912</v>
      </c>
      <c r="W29" s="456">
        <f t="shared" ref="W29:W47" si="14">J29</f>
        <v>100</v>
      </c>
      <c r="X29" s="450"/>
      <c r="Y29" s="3668"/>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668"/>
      <c r="Q30" s="388">
        <f t="shared" si="11"/>
        <v>111</v>
      </c>
      <c r="R30" s="455" t="s">
        <v>912</v>
      </c>
      <c r="S30" s="456">
        <f t="shared" si="12"/>
        <v>100</v>
      </c>
      <c r="T30" s="455" t="s">
        <v>912</v>
      </c>
      <c r="U30" s="456">
        <f t="shared" si="13"/>
        <v>100</v>
      </c>
      <c r="V30" s="455" t="s">
        <v>912</v>
      </c>
      <c r="W30" s="456">
        <f t="shared" si="14"/>
        <v>100</v>
      </c>
      <c r="X30" s="450"/>
      <c r="Y30" s="3668"/>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668"/>
      <c r="Q31" s="388">
        <f t="shared" si="11"/>
        <v>111</v>
      </c>
      <c r="R31" s="455" t="s">
        <v>912</v>
      </c>
      <c r="S31" s="456">
        <f t="shared" si="12"/>
        <v>100</v>
      </c>
      <c r="T31" s="455" t="s">
        <v>912</v>
      </c>
      <c r="U31" s="456">
        <f t="shared" si="13"/>
        <v>100</v>
      </c>
      <c r="V31" s="455" t="s">
        <v>912</v>
      </c>
      <c r="W31" s="456">
        <f t="shared" si="14"/>
        <v>100</v>
      </c>
      <c r="X31" s="450"/>
      <c r="Y31" s="3668"/>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668"/>
      <c r="Q32" s="388">
        <f t="shared" si="11"/>
        <v>111</v>
      </c>
      <c r="R32" s="455" t="s">
        <v>912</v>
      </c>
      <c r="S32" s="456">
        <f t="shared" si="12"/>
        <v>100</v>
      </c>
      <c r="T32" s="455" t="s">
        <v>912</v>
      </c>
      <c r="U32" s="456">
        <f t="shared" si="13"/>
        <v>100</v>
      </c>
      <c r="V32" s="455" t="s">
        <v>912</v>
      </c>
      <c r="W32" s="456">
        <f t="shared" si="14"/>
        <v>100</v>
      </c>
      <c r="X32" s="450"/>
      <c r="Y32" s="3668"/>
      <c r="Z32" s="449">
        <f t="shared" si="15"/>
        <v>111</v>
      </c>
      <c r="AA32" s="461">
        <f t="shared" si="3"/>
        <v>1</v>
      </c>
      <c r="AB32" s="461">
        <f t="shared" si="4"/>
        <v>1</v>
      </c>
      <c r="AC32" s="461">
        <f t="shared" si="5"/>
        <v>1</v>
      </c>
    </row>
    <row r="33" spans="1:29" ht="15">
      <c r="A33" s="286" t="s">
        <v>928</v>
      </c>
      <c r="B33" s="287" t="s">
        <v>1053</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669" t="s">
        <v>927</v>
      </c>
      <c r="Q33" s="388" t="str">
        <f t="shared" si="11"/>
        <v>建筑类型</v>
      </c>
      <c r="R33" s="455" t="s">
        <v>912</v>
      </c>
      <c r="S33" s="456">
        <f t="shared" si="12"/>
        <v>100</v>
      </c>
      <c r="T33" s="455" t="s">
        <v>912</v>
      </c>
      <c r="U33" s="456">
        <f t="shared" si="13"/>
        <v>100</v>
      </c>
      <c r="V33" s="455" t="s">
        <v>912</v>
      </c>
      <c r="W33" s="456">
        <f t="shared" si="14"/>
        <v>100</v>
      </c>
      <c r="X33" s="450"/>
      <c r="Y33" s="3670" t="s">
        <v>927</v>
      </c>
      <c r="Z33" s="449" t="str">
        <f t="shared" si="15"/>
        <v>建筑类型</v>
      </c>
      <c r="AA33" s="461">
        <f t="shared" si="3"/>
        <v>1</v>
      </c>
      <c r="AB33" s="461">
        <f t="shared" si="4"/>
        <v>1</v>
      </c>
      <c r="AC33" s="461">
        <f t="shared" si="5"/>
        <v>1</v>
      </c>
    </row>
    <row r="34" spans="1:29" s="195" customFormat="1" ht="15">
      <c r="A34" s="291"/>
      <c r="B34" s="292" t="s">
        <v>1054</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670"/>
      <c r="Q34" s="457" t="str">
        <f t="shared" si="11"/>
        <v>项目建筑规模</v>
      </c>
      <c r="R34" s="458" t="s">
        <v>912</v>
      </c>
      <c r="S34" s="459" t="e">
        <f t="shared" si="12"/>
        <v>#N/A</v>
      </c>
      <c r="T34" s="458" t="s">
        <v>912</v>
      </c>
      <c r="U34" s="459" t="e">
        <f t="shared" si="13"/>
        <v>#N/A</v>
      </c>
      <c r="V34" s="458" t="s">
        <v>912</v>
      </c>
      <c r="W34" s="459" t="e">
        <f t="shared" si="14"/>
        <v>#N/A</v>
      </c>
      <c r="X34" s="460"/>
      <c r="Y34" s="3670"/>
      <c r="Z34" s="472" t="str">
        <f t="shared" si="15"/>
        <v>项目建筑规模</v>
      </c>
      <c r="AA34" s="461" t="e">
        <f t="shared" si="3"/>
        <v>#N/A</v>
      </c>
      <c r="AB34" s="461" t="e">
        <f t="shared" si="4"/>
        <v>#N/A</v>
      </c>
      <c r="AC34" s="461" t="e">
        <f t="shared" si="5"/>
        <v>#N/A</v>
      </c>
    </row>
    <row r="35" spans="1:29" ht="15">
      <c r="A35" s="296"/>
      <c r="B35" s="292" t="s">
        <v>1055</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670"/>
      <c r="Q35" s="388" t="str">
        <f t="shared" si="11"/>
        <v>建筑结构</v>
      </c>
      <c r="R35" s="455" t="s">
        <v>912</v>
      </c>
      <c r="S35" s="456">
        <f t="shared" si="12"/>
        <v>100</v>
      </c>
      <c r="T35" s="455" t="s">
        <v>912</v>
      </c>
      <c r="U35" s="456">
        <f t="shared" si="13"/>
        <v>100</v>
      </c>
      <c r="V35" s="455" t="s">
        <v>912</v>
      </c>
      <c r="W35" s="456">
        <f t="shared" si="14"/>
        <v>100</v>
      </c>
      <c r="X35" s="450"/>
      <c r="Y35" s="3670"/>
      <c r="Z35" s="449" t="str">
        <f t="shared" si="15"/>
        <v>建筑结构</v>
      </c>
      <c r="AA35" s="461">
        <f t="shared" si="3"/>
        <v>1</v>
      </c>
      <c r="AB35" s="461">
        <f t="shared" si="4"/>
        <v>1</v>
      </c>
      <c r="AC35" s="461">
        <f t="shared" si="5"/>
        <v>1</v>
      </c>
    </row>
    <row r="36" spans="1:29" ht="15">
      <c r="A36" s="296"/>
      <c r="B36" s="292" t="s">
        <v>1057</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670"/>
      <c r="Q36" s="388" t="str">
        <f t="shared" si="11"/>
        <v>公共部分装修</v>
      </c>
      <c r="R36" s="455" t="s">
        <v>912</v>
      </c>
      <c r="S36" s="456">
        <f t="shared" si="12"/>
        <v>100</v>
      </c>
      <c r="T36" s="455" t="s">
        <v>912</v>
      </c>
      <c r="U36" s="456">
        <f t="shared" si="13"/>
        <v>100</v>
      </c>
      <c r="V36" s="455" t="s">
        <v>912</v>
      </c>
      <c r="W36" s="456">
        <f t="shared" si="14"/>
        <v>100</v>
      </c>
      <c r="X36" s="450"/>
      <c r="Y36" s="3670"/>
      <c r="Z36" s="449" t="str">
        <f t="shared" si="15"/>
        <v>公共部分装修</v>
      </c>
      <c r="AA36" s="461">
        <f t="shared" si="3"/>
        <v>1</v>
      </c>
      <c r="AB36" s="461">
        <f t="shared" si="4"/>
        <v>1</v>
      </c>
      <c r="AC36" s="461">
        <f t="shared" si="5"/>
        <v>1</v>
      </c>
    </row>
    <row r="37" spans="1:29" ht="15">
      <c r="A37" s="296"/>
      <c r="B37" s="292" t="s">
        <v>1058</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670"/>
      <c r="Q37" s="388" t="str">
        <f t="shared" si="11"/>
        <v>成新度</v>
      </c>
      <c r="R37" s="455" t="s">
        <v>912</v>
      </c>
      <c r="S37" s="456" t="e">
        <f t="shared" si="12"/>
        <v>#N/A</v>
      </c>
      <c r="T37" s="455" t="s">
        <v>912</v>
      </c>
      <c r="U37" s="456" t="e">
        <f t="shared" si="13"/>
        <v>#N/A</v>
      </c>
      <c r="V37" s="455" t="s">
        <v>912</v>
      </c>
      <c r="W37" s="456" t="e">
        <f t="shared" si="14"/>
        <v>#N/A</v>
      </c>
      <c r="X37" s="450"/>
      <c r="Y37" s="3670"/>
      <c r="Z37" s="449" t="str">
        <f t="shared" si="15"/>
        <v>成新度</v>
      </c>
      <c r="AA37" s="461" t="e">
        <f t="shared" si="3"/>
        <v>#N/A</v>
      </c>
      <c r="AB37" s="461" t="e">
        <f t="shared" si="4"/>
        <v>#N/A</v>
      </c>
      <c r="AC37" s="461" t="e">
        <f t="shared" si="5"/>
        <v>#N/A</v>
      </c>
    </row>
    <row r="38" spans="1:29" s="193" customFormat="1" ht="15">
      <c r="A38" s="299"/>
      <c r="B38" s="292" t="s">
        <v>2255</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670"/>
      <c r="Q38" s="454" t="str">
        <f t="shared" si="11"/>
        <v>写字楼等级</v>
      </c>
      <c r="R38" s="451" t="s">
        <v>912</v>
      </c>
      <c r="S38" s="452">
        <f t="shared" si="12"/>
        <v>100</v>
      </c>
      <c r="T38" s="451" t="s">
        <v>912</v>
      </c>
      <c r="U38" s="452">
        <f t="shared" si="13"/>
        <v>100</v>
      </c>
      <c r="V38" s="451" t="s">
        <v>912</v>
      </c>
      <c r="W38" s="452">
        <f t="shared" si="14"/>
        <v>100</v>
      </c>
      <c r="X38" s="453"/>
      <c r="Y38" s="3670"/>
      <c r="Z38" s="471" t="str">
        <f t="shared" si="15"/>
        <v>写字楼等级</v>
      </c>
      <c r="AA38" s="470">
        <f t="shared" si="3"/>
        <v>1</v>
      </c>
      <c r="AB38" s="470">
        <f t="shared" si="4"/>
        <v>1</v>
      </c>
      <c r="AC38" s="470">
        <f t="shared" si="5"/>
        <v>1</v>
      </c>
    </row>
    <row r="39" spans="1:29" ht="15">
      <c r="A39" s="296"/>
      <c r="B39" s="292" t="s">
        <v>1059</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670" t="s">
        <v>927</v>
      </c>
      <c r="Q39" s="388" t="str">
        <f t="shared" si="11"/>
        <v>物业管理</v>
      </c>
      <c r="R39" s="455" t="s">
        <v>912</v>
      </c>
      <c r="S39" s="456">
        <f t="shared" si="12"/>
        <v>100</v>
      </c>
      <c r="T39" s="455" t="s">
        <v>912</v>
      </c>
      <c r="U39" s="456">
        <f t="shared" si="13"/>
        <v>100</v>
      </c>
      <c r="V39" s="455" t="s">
        <v>912</v>
      </c>
      <c r="W39" s="456">
        <f t="shared" si="14"/>
        <v>100</v>
      </c>
      <c r="X39" s="450"/>
      <c r="Y39" s="3670" t="s">
        <v>927</v>
      </c>
      <c r="Z39" s="449" t="str">
        <f t="shared" si="15"/>
        <v>物业管理</v>
      </c>
      <c r="AA39" s="461">
        <f t="shared" si="3"/>
        <v>1</v>
      </c>
      <c r="AB39" s="461">
        <f t="shared" si="4"/>
        <v>1</v>
      </c>
      <c r="AC39" s="461">
        <f t="shared" si="5"/>
        <v>1</v>
      </c>
    </row>
    <row r="40" spans="1:29" ht="15">
      <c r="A40" s="296"/>
      <c r="B40" s="551" t="s">
        <v>1060</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670"/>
      <c r="Q40" s="388" t="str">
        <f t="shared" si="11"/>
        <v>市政基础设施</v>
      </c>
      <c r="R40" s="455" t="s">
        <v>912</v>
      </c>
      <c r="S40" s="456">
        <f t="shared" si="12"/>
        <v>100</v>
      </c>
      <c r="T40" s="455" t="s">
        <v>912</v>
      </c>
      <c r="U40" s="456">
        <f t="shared" si="13"/>
        <v>100</v>
      </c>
      <c r="V40" s="455" t="s">
        <v>912</v>
      </c>
      <c r="W40" s="456">
        <f t="shared" si="14"/>
        <v>100</v>
      </c>
      <c r="X40" s="450"/>
      <c r="Y40" s="3670"/>
      <c r="Z40" s="449" t="str">
        <f t="shared" si="15"/>
        <v>市政基础设施</v>
      </c>
      <c r="AA40" s="461">
        <f t="shared" si="3"/>
        <v>1</v>
      </c>
      <c r="AB40" s="461">
        <f t="shared" si="4"/>
        <v>1</v>
      </c>
      <c r="AC40" s="461">
        <f t="shared" si="5"/>
        <v>1</v>
      </c>
    </row>
    <row r="41" spans="1:29" ht="15">
      <c r="A41" s="296"/>
      <c r="B41" s="292" t="s">
        <v>2250</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670"/>
      <c r="Q41" s="388" t="str">
        <f t="shared" si="11"/>
        <v>层高</v>
      </c>
      <c r="R41" s="455" t="s">
        <v>912</v>
      </c>
      <c r="S41" s="456">
        <f t="shared" si="12"/>
        <v>100</v>
      </c>
      <c r="T41" s="455" t="s">
        <v>912</v>
      </c>
      <c r="U41" s="456">
        <f t="shared" si="13"/>
        <v>100</v>
      </c>
      <c r="V41" s="455" t="s">
        <v>912</v>
      </c>
      <c r="W41" s="456">
        <f t="shared" si="14"/>
        <v>100</v>
      </c>
      <c r="X41" s="450"/>
      <c r="Y41" s="3670"/>
      <c r="Z41" s="449" t="str">
        <f t="shared" si="15"/>
        <v>层高</v>
      </c>
      <c r="AA41" s="461">
        <f t="shared" si="3"/>
        <v>1</v>
      </c>
      <c r="AB41" s="461">
        <f t="shared" si="4"/>
        <v>1</v>
      </c>
      <c r="AC41" s="461">
        <f t="shared" si="5"/>
        <v>1</v>
      </c>
    </row>
    <row r="42" spans="1:29" s="195" customFormat="1" ht="15">
      <c r="A42" s="291"/>
      <c r="B42" s="406" t="s">
        <v>2256</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670"/>
      <c r="Q42" s="457" t="str">
        <f t="shared" si="11"/>
        <v>单套建筑面积</v>
      </c>
      <c r="R42" s="458" t="s">
        <v>912</v>
      </c>
      <c r="S42" s="459">
        <f t="shared" si="12"/>
        <v>100</v>
      </c>
      <c r="T42" s="458" t="s">
        <v>912</v>
      </c>
      <c r="U42" s="459">
        <f t="shared" si="13"/>
        <v>100</v>
      </c>
      <c r="V42" s="458" t="s">
        <v>912</v>
      </c>
      <c r="W42" s="459">
        <f t="shared" si="14"/>
        <v>100</v>
      </c>
      <c r="X42" s="460"/>
      <c r="Y42" s="3670"/>
      <c r="Z42" s="472" t="str">
        <f t="shared" si="15"/>
        <v>单套建筑面积</v>
      </c>
      <c r="AA42" s="461">
        <f t="shared" si="3"/>
        <v>1</v>
      </c>
      <c r="AB42" s="461">
        <f t="shared" si="4"/>
        <v>1</v>
      </c>
      <c r="AC42" s="461">
        <f t="shared" si="5"/>
        <v>1</v>
      </c>
    </row>
    <row r="43" spans="1:29" ht="15">
      <c r="A43" s="296"/>
      <c r="B43" s="292" t="s">
        <v>1063</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670"/>
      <c r="Q43" s="388" t="str">
        <f t="shared" si="11"/>
        <v>内部装修</v>
      </c>
      <c r="R43" s="455" t="s">
        <v>912</v>
      </c>
      <c r="S43" s="456">
        <f t="shared" si="12"/>
        <v>100</v>
      </c>
      <c r="T43" s="455" t="s">
        <v>912</v>
      </c>
      <c r="U43" s="456">
        <f t="shared" si="13"/>
        <v>100</v>
      </c>
      <c r="V43" s="455" t="s">
        <v>912</v>
      </c>
      <c r="W43" s="456">
        <f t="shared" si="14"/>
        <v>100</v>
      </c>
      <c r="X43" s="450"/>
      <c r="Y43" s="3670"/>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670"/>
      <c r="Q44" s="388" t="str">
        <f t="shared" si="11"/>
        <v>内部装修维护情况</v>
      </c>
      <c r="R44" s="455" t="s">
        <v>912</v>
      </c>
      <c r="S44" s="456">
        <f t="shared" si="12"/>
        <v>100</v>
      </c>
      <c r="T44" s="455" t="s">
        <v>912</v>
      </c>
      <c r="U44" s="456">
        <f t="shared" si="13"/>
        <v>100</v>
      </c>
      <c r="V44" s="455" t="s">
        <v>912</v>
      </c>
      <c r="W44" s="456">
        <f t="shared" si="14"/>
        <v>100</v>
      </c>
      <c r="X44" s="450"/>
      <c r="Y44" s="3670"/>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670"/>
      <c r="Q45" s="454">
        <f t="shared" si="11"/>
        <v>111</v>
      </c>
      <c r="R45" s="451" t="s">
        <v>912</v>
      </c>
      <c r="S45" s="452">
        <f t="shared" si="12"/>
        <v>100</v>
      </c>
      <c r="T45" s="451" t="s">
        <v>912</v>
      </c>
      <c r="U45" s="452">
        <f t="shared" si="13"/>
        <v>100</v>
      </c>
      <c r="V45" s="451" t="s">
        <v>912</v>
      </c>
      <c r="W45" s="452">
        <f t="shared" si="14"/>
        <v>100</v>
      </c>
      <c r="X45" s="453"/>
      <c r="Y45" s="3670"/>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670"/>
      <c r="Q46" s="388">
        <f t="shared" si="11"/>
        <v>111</v>
      </c>
      <c r="R46" s="455" t="s">
        <v>912</v>
      </c>
      <c r="S46" s="456">
        <f t="shared" si="12"/>
        <v>100</v>
      </c>
      <c r="T46" s="455" t="s">
        <v>912</v>
      </c>
      <c r="U46" s="456">
        <f t="shared" si="13"/>
        <v>100</v>
      </c>
      <c r="V46" s="455" t="s">
        <v>912</v>
      </c>
      <c r="W46" s="456">
        <f t="shared" si="14"/>
        <v>100</v>
      </c>
      <c r="X46" s="450"/>
      <c r="Y46" s="3670"/>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774"/>
      <c r="Q47" s="388">
        <f t="shared" si="11"/>
        <v>111</v>
      </c>
      <c r="R47" s="455" t="s">
        <v>912</v>
      </c>
      <c r="S47" s="456">
        <f t="shared" si="12"/>
        <v>100</v>
      </c>
      <c r="T47" s="455" t="s">
        <v>912</v>
      </c>
      <c r="U47" s="456">
        <f t="shared" si="13"/>
        <v>100</v>
      </c>
      <c r="V47" s="455" t="s">
        <v>912</v>
      </c>
      <c r="W47" s="456">
        <f t="shared" si="14"/>
        <v>100</v>
      </c>
      <c r="X47" s="450"/>
      <c r="Y47" s="3774"/>
      <c r="Z47" s="449">
        <f t="shared" si="15"/>
        <v>111</v>
      </c>
      <c r="AA47" s="461">
        <f t="shared" si="3"/>
        <v>1</v>
      </c>
      <c r="AB47" s="461">
        <f t="shared" si="4"/>
        <v>1</v>
      </c>
      <c r="AC47" s="461">
        <f t="shared" si="5"/>
        <v>1</v>
      </c>
    </row>
    <row r="48" spans="1:29" ht="15">
      <c r="A48" s="306" t="s">
        <v>1064</v>
      </c>
      <c r="B48" s="307"/>
      <c r="C48" s="308" t="s">
        <v>138</v>
      </c>
      <c r="D48" s="309"/>
      <c r="E48" s="310"/>
      <c r="F48" s="311"/>
      <c r="G48" s="312"/>
      <c r="H48" s="313"/>
      <c r="I48" s="310"/>
      <c r="J48" s="313"/>
      <c r="K48" s="402"/>
      <c r="L48" s="403"/>
      <c r="M48" s="383"/>
      <c r="N48" s="383"/>
      <c r="O48" s="383"/>
      <c r="P48" s="3677" t="str">
        <f>A48</f>
        <v>成交单价（元/平方米）</v>
      </c>
      <c r="Q48" s="3666"/>
      <c r="R48" s="3772">
        <f>E48</f>
        <v>0</v>
      </c>
      <c r="S48" s="3772"/>
      <c r="T48" s="3772">
        <f>G48</f>
        <v>0</v>
      </c>
      <c r="U48" s="3772"/>
      <c r="V48" s="3772">
        <f>I48</f>
        <v>0</v>
      </c>
      <c r="W48" s="3772"/>
      <c r="X48" s="336"/>
      <c r="Y48" s="473"/>
      <c r="Z48" s="336"/>
      <c r="AA48" s="336"/>
      <c r="AB48" s="336"/>
      <c r="AC48" s="336"/>
    </row>
    <row r="49" spans="1:29" ht="15">
      <c r="A49" s="314" t="s">
        <v>936</v>
      </c>
      <c r="B49" s="315"/>
      <c r="C49" s="316" t="e">
        <f>R50</f>
        <v>#DIV/0!</v>
      </c>
      <c r="D49" s="317" t="s">
        <v>937</v>
      </c>
      <c r="E49" s="318" t="e">
        <f>R49</f>
        <v>#DIV/0!</v>
      </c>
      <c r="F49" s="319"/>
      <c r="G49" s="316" t="e">
        <f>T49</f>
        <v>#DIV/0!</v>
      </c>
      <c r="H49" s="319"/>
      <c r="I49" s="318" t="e">
        <f>V49</f>
        <v>#DIV/0!</v>
      </c>
      <c r="J49" s="319"/>
      <c r="K49" s="404">
        <f>F49+H49+J49</f>
        <v>0</v>
      </c>
      <c r="L49" s="403"/>
      <c r="M49" s="383"/>
      <c r="N49" s="383"/>
      <c r="O49" s="383"/>
      <c r="P49" s="3677" t="str">
        <f>A49</f>
        <v>比较价格（元/平方米）</v>
      </c>
      <c r="Q49" s="3666"/>
      <c r="R49" s="3772" t="e">
        <f>IF(F1="售价",ROUND(PRODUCT(R48,AA7:AA47),0),ROUND(PRODUCT(R48,AA7:AA47),1))</f>
        <v>#DIV/0!</v>
      </c>
      <c r="S49" s="3772"/>
      <c r="T49" s="3772" t="e">
        <f>IF(F1="售价",ROUND(PRODUCT(T48,AB7:AB47),0),ROUND(PRODUCT(T48,AB7:AB47),1))</f>
        <v>#DIV/0!</v>
      </c>
      <c r="U49" s="3772"/>
      <c r="V49" s="3772" t="e">
        <f>IF(F1="售价",ROUND(PRODUCT(V48,AC7:AC47),0),ROUND(PRODUCT(V48,AC7:AC47),1))</f>
        <v>#DIV/0!</v>
      </c>
      <c r="W49" s="3772"/>
      <c r="X49" s="336"/>
      <c r="Y49" s="336"/>
      <c r="Z49" s="336"/>
      <c r="AA49" s="336"/>
      <c r="AB49" s="336"/>
      <c r="AC49" s="336"/>
    </row>
    <row r="50" spans="1:29" ht="15">
      <c r="A50" s="320" t="s">
        <v>938</v>
      </c>
      <c r="B50" s="321"/>
      <c r="C50" s="322" t="e">
        <f>R50</f>
        <v>#DIV/0!</v>
      </c>
      <c r="D50" s="322"/>
      <c r="E50" s="322"/>
      <c r="F50" s="322"/>
      <c r="G50" s="322"/>
      <c r="H50" s="322"/>
      <c r="I50" s="322"/>
      <c r="J50" s="322"/>
      <c r="K50" s="405"/>
      <c r="L50" s="403"/>
      <c r="M50" s="383"/>
      <c r="N50" s="383"/>
      <c r="O50" s="383"/>
      <c r="P50" s="3861" t="str">
        <f>A50</f>
        <v>估价对象XX用房的比较价格（楼面单价，元/平方米）</v>
      </c>
      <c r="Q50" s="3677"/>
      <c r="R50" s="3773" t="e">
        <f>IF(F1="售价",ROUND(IF(D49="简单平均",AVERAGE(R49:V49),R49*F49+T49*H49+V49*J49),0),ROUND(IF(D49="简单平均",AVERAGE(R49:V49),R49*F49+T49*H49+V49*J49),1))</f>
        <v>#DIV/0!</v>
      </c>
      <c r="S50" s="3773"/>
      <c r="T50" s="3773"/>
      <c r="U50" s="3773"/>
      <c r="V50" s="3773"/>
      <c r="W50" s="3773"/>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939</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940</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941</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963</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910</v>
      </c>
      <c r="B59" s="340"/>
      <c r="C59" s="341" t="str">
        <f>YEAR(C7)&amp;"-"&amp;MONTH(C7)</f>
        <v>2021-10</v>
      </c>
      <c r="D59" s="342">
        <f>EDATE(C59,-1)</f>
        <v>44440</v>
      </c>
      <c r="E59" s="342">
        <f t="shared" ref="E59:O59" si="16">EDATE(D59,-1)</f>
        <v>44409</v>
      </c>
      <c r="F59" s="342">
        <f t="shared" si="16"/>
        <v>44378</v>
      </c>
      <c r="G59" s="342">
        <f t="shared" si="16"/>
        <v>44348</v>
      </c>
      <c r="H59" s="342">
        <f t="shared" si="16"/>
        <v>44317</v>
      </c>
      <c r="I59" s="342">
        <f t="shared" si="16"/>
        <v>44287</v>
      </c>
      <c r="J59" s="342">
        <f t="shared" si="16"/>
        <v>44256</v>
      </c>
      <c r="K59" s="342">
        <f t="shared" si="16"/>
        <v>44228</v>
      </c>
      <c r="L59" s="342">
        <f t="shared" si="16"/>
        <v>44197</v>
      </c>
      <c r="M59" s="342">
        <f t="shared" si="16"/>
        <v>44166</v>
      </c>
      <c r="N59" s="342">
        <f t="shared" si="16"/>
        <v>44136</v>
      </c>
      <c r="O59" s="342">
        <f t="shared" si="16"/>
        <v>44105</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1065</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913</v>
      </c>
      <c r="B62" s="344"/>
      <c r="C62" s="352" t="s">
        <v>914</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967</v>
      </c>
      <c r="B64" s="355" t="s">
        <v>968</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969</v>
      </c>
      <c r="C66" s="362" t="s">
        <v>1066</v>
      </c>
      <c r="D66" s="362" t="s">
        <v>1067</v>
      </c>
      <c r="E66" s="362" t="s">
        <v>1068</v>
      </c>
      <c r="F66" s="362" t="s">
        <v>1069</v>
      </c>
      <c r="G66" s="362" t="s">
        <v>1070</v>
      </c>
      <c r="H66" s="362" t="s">
        <v>1071</v>
      </c>
      <c r="I66" s="362" t="s">
        <v>1072</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962</v>
      </c>
      <c r="D67" s="364" t="s">
        <v>962</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970</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971</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925</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976</v>
      </c>
      <c r="B101" s="355" t="s">
        <v>1053</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1054</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1055</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1057</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1058</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2255</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1059</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1060</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2257</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2251</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1063</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1" type="noConversion"/>
  <conditionalFormatting sqref="F49">
    <cfRule type="expression" dxfId="75" priority="4">
      <formula>$D$49="简单平均"</formula>
    </cfRule>
  </conditionalFormatting>
  <conditionalFormatting sqref="H49">
    <cfRule type="expression" dxfId="74" priority="3">
      <formula>$D$49="简单平均"</formula>
    </cfRule>
  </conditionalFormatting>
  <conditionalFormatting sqref="J49">
    <cfRule type="expression" dxfId="73" priority="2">
      <formula>$D$49="简单平均"</formula>
    </cfRule>
  </conditionalFormatting>
  <conditionalFormatting sqref="E53">
    <cfRule type="expression" dxfId="72" priority="16" stopIfTrue="1">
      <formula>$F$53="超过30%"</formula>
    </cfRule>
  </conditionalFormatting>
  <conditionalFormatting sqref="G53">
    <cfRule type="expression" dxfId="71" priority="12" stopIfTrue="1">
      <formula>$H$53="超过30%"</formula>
    </cfRule>
  </conditionalFormatting>
  <conditionalFormatting sqref="I53">
    <cfRule type="expression" dxfId="70" priority="7" stopIfTrue="1">
      <formula>$J$53="超过30%"</formula>
    </cfRule>
  </conditionalFormatting>
  <conditionalFormatting sqref="J53">
    <cfRule type="containsText" dxfId="69" priority="10" stopIfTrue="1" operator="containsText" text="超过">
      <formula>NOT(ISERROR(SEARCH("超过",J53)))</formula>
    </cfRule>
  </conditionalFormatting>
  <conditionalFormatting sqref="E54">
    <cfRule type="expression" dxfId="68" priority="15" stopIfTrue="1">
      <formula>$F$54="超过20%"</formula>
    </cfRule>
  </conditionalFormatting>
  <conditionalFormatting sqref="G54">
    <cfRule type="expression" dxfId="67" priority="11" stopIfTrue="1">
      <formula>$H$54="超过20%"</formula>
    </cfRule>
  </conditionalFormatting>
  <conditionalFormatting sqref="I54">
    <cfRule type="expression" dxfId="66" priority="6" stopIfTrue="1">
      <formula>$J$53+$J$54="超过20%"</formula>
    </cfRule>
  </conditionalFormatting>
  <conditionalFormatting sqref="J54">
    <cfRule type="containsText" dxfId="65" priority="8" stopIfTrue="1" operator="containsText" text="超过">
      <formula>NOT(ISERROR(SEARCH("超过",J54)))</formula>
    </cfRule>
  </conditionalFormatting>
  <conditionalFormatting sqref="E55">
    <cfRule type="expression" dxfId="64" priority="14" stopIfTrue="1">
      <formula>$F$55="超过30%"</formula>
    </cfRule>
  </conditionalFormatting>
  <conditionalFormatting sqref="F55">
    <cfRule type="containsText" dxfId="63" priority="18" stopIfTrue="1" operator="containsText" text="超过">
      <formula>NOT(ISERROR(SEARCH("超过",F55)))</formula>
    </cfRule>
  </conditionalFormatting>
  <conditionalFormatting sqref="G55">
    <cfRule type="expression" dxfId="62" priority="13" stopIfTrue="1">
      <formula>$H$55="超过30%"</formula>
    </cfRule>
  </conditionalFormatting>
  <conditionalFormatting sqref="H55">
    <cfRule type="containsText" dxfId="61" priority="19" stopIfTrue="1" operator="containsText" text="超过">
      <formula>NOT(ISERROR(SEARCH("超过",H55)))</formula>
    </cfRule>
  </conditionalFormatting>
  <conditionalFormatting sqref="I55">
    <cfRule type="expression" dxfId="60" priority="5" stopIfTrue="1">
      <formula>$J$55="超过30%"</formula>
    </cfRule>
  </conditionalFormatting>
  <conditionalFormatting sqref="J55">
    <cfRule type="containsText" dxfId="59" priority="9" stopIfTrue="1" operator="containsText" text="超过">
      <formula>NOT(ISERROR(SEARCH("超过",J55)))</formula>
    </cfRule>
  </conditionalFormatting>
  <conditionalFormatting sqref="F7:F47 H7:H47 J7:J47">
    <cfRule type="cellIs" dxfId="58" priority="1" operator="notEqual">
      <formula>100</formula>
    </cfRule>
  </conditionalFormatting>
  <conditionalFormatting sqref="F53 H53">
    <cfRule type="containsText" dxfId="57" priority="20" stopIfTrue="1" operator="containsText" text="超过">
      <formula>NOT(ISERROR(SEARCH("超过",F53)))</formula>
    </cfRule>
  </conditionalFormatting>
  <conditionalFormatting sqref="F54 H54">
    <cfRule type="containsText" dxfId="56" priority="17" stopIfTrue="1" operator="containsText" text="超过">
      <formula>NOT(ISERROR(SEARCH("超过",F54)))</formula>
    </cfRule>
  </conditionalFormatting>
  <dataValidations count="23">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8 E8 G8 I8" xr:uid="{00000000-0002-0000-2300-000002000000}">
      <formula1>办公交易情况</formula1>
    </dataValidation>
    <dataValidation type="list" allowBlank="1" showInputMessage="1" showErrorMessage="1" sqref="F1" xr:uid="{00000000-0002-0000-2300-000003000000}">
      <formula1>"售价,租金"</formula1>
    </dataValidation>
    <dataValidation type="list" allowBlank="1" showInputMessage="1" showErrorMessage="1" sqref="E9 G9 I9" xr:uid="{00000000-0002-0000-2300-000004000000}">
      <formula1>办公用途</formula1>
    </dataValidation>
    <dataValidation type="list" allowBlank="1" showInputMessage="1" showErrorMessage="1" sqref="C16 E16 G16 I16" xr:uid="{00000000-0002-0000-2300-000005000000}">
      <formula1>办公集聚程度</formula1>
    </dataValidation>
    <dataValidation type="list" allowBlank="1" showInputMessage="1" showErrorMessage="1" sqref="C18 E18 G18 I18" xr:uid="{00000000-0002-0000-2300-000006000000}">
      <formula1>交通便捷度</formula1>
    </dataValidation>
    <dataValidation type="list" allowBlank="1" showInputMessage="1" showErrorMessage="1" sqref="C39 E39 G39 I39" xr:uid="{00000000-0002-0000-2300-000007000000}">
      <formula1>办公物业管理</formula1>
    </dataValidation>
    <dataValidation type="list" allowBlank="1" showInputMessage="1" showErrorMessage="1" sqref="C20 E20 G20 I20" xr:uid="{00000000-0002-0000-2300-000008000000}">
      <formula1>公共配套设施</formula1>
    </dataValidation>
    <dataValidation type="list" allowBlank="1" showInputMessage="1" showErrorMessage="1" sqref="C22 E22 G22 I22" xr:uid="{00000000-0002-0000-2300-000009000000}">
      <formula1>基础设施水平</formula1>
    </dataValidation>
    <dataValidation type="list" allowBlank="1" showInputMessage="1" showErrorMessage="1" sqref="C41 E41 G41 I41" xr:uid="{00000000-0002-0000-2300-00000A000000}">
      <formula1>办公层高</formula1>
    </dataValidation>
    <dataValidation type="list" allowBlank="1" showInputMessage="1" showErrorMessage="1" sqref="C24 E24 G24 I24" xr:uid="{00000000-0002-0000-2300-00000B000000}">
      <formula1>环境</formula1>
    </dataValidation>
    <dataValidation type="list" allowBlank="1" showInputMessage="1" showErrorMessage="1" sqref="C26 E26 G26 I26" xr:uid="{00000000-0002-0000-2300-00000C000000}">
      <formula1>办公道路级别</formula1>
    </dataValidation>
    <dataValidation type="list" allowBlank="1" showInputMessage="1" showErrorMessage="1" sqref="C33 E33 G33 I33" xr:uid="{00000000-0002-0000-2300-00000D000000}">
      <formula1>办公建筑类型</formula1>
    </dataValidation>
    <dataValidation type="list" allowBlank="1" showInputMessage="1" showErrorMessage="1" sqref="C27 E27 G27 I27" xr:uid="{00000000-0002-0000-2300-00000E000000}">
      <formula1>办公楼层</formula1>
    </dataValidation>
    <dataValidation type="list" allowBlank="1" showInputMessage="1" showErrorMessage="1" sqref="C36 E36 G36 I36" xr:uid="{00000000-0002-0000-2300-00000F000000}">
      <formula1>办公公共部分装修</formula1>
    </dataValidation>
    <dataValidation type="list" allowBlank="1" showInputMessage="1" showErrorMessage="1" sqref="C28 E28 G28 I28" xr:uid="{00000000-0002-0000-2300-000010000000}">
      <formula1>办公朝向</formula1>
    </dataValidation>
    <dataValidation type="list" allowBlank="1" showInputMessage="1" showErrorMessage="1" sqref="C35 E35 G35 I35" xr:uid="{00000000-0002-0000-2300-000011000000}">
      <formula1>办公建筑结构</formula1>
    </dataValidation>
    <dataValidation type="list" allowBlank="1" showInputMessage="1" showErrorMessage="1" sqref="C38 E38 G38 I38" xr:uid="{00000000-0002-0000-2300-000012000000}">
      <formula1>写字楼等级</formula1>
    </dataValidation>
    <dataValidation type="list" allowBlank="1" showInputMessage="1" showErrorMessage="1" sqref="C40 E40 G40 I40" xr:uid="{00000000-0002-0000-2300-000013000000}">
      <formula1>办公基础设施水平</formula1>
    </dataValidation>
    <dataValidation type="list" allowBlank="1" showInputMessage="1" showErrorMessage="1" sqref="C43 E43 G43 I43" xr:uid="{00000000-0002-0000-2300-000014000000}">
      <formula1>办公内部装修</formula1>
    </dataValidation>
    <dataValidation type="list" allowBlank="1" showInputMessage="1" showErrorMessage="1" sqref="C44 E44 G44 I44" xr:uid="{00000000-0002-0000-2300-000015000000}">
      <formula1>内部装修维护情况</formula1>
    </dataValidation>
    <dataValidation type="list" allowBlank="1" showInputMessage="1" showErrorMessage="1" sqref="D49" xr:uid="{00000000-0002-0000-2300-000016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536" t="s">
        <v>1131</v>
      </c>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893</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1045</v>
      </c>
      <c r="B3" s="214" t="e">
        <f>C43</f>
        <v>#DIV/0!</v>
      </c>
      <c r="C3" s="215" t="s">
        <v>1046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SUMIF(52:52,YEAR(E7)&amp;"-"&amp;MONTH(E7),53:53)</f>
        <v>0</v>
      </c>
      <c r="G7" s="227"/>
      <c r="H7" s="226">
        <f>SUMIF(52:52,YEAR(G7)&amp;"-"&amp;MONTH(G7),53:53)</f>
        <v>0</v>
      </c>
      <c r="I7" s="227"/>
      <c r="J7" s="226">
        <f>SUMIF(52:52,YEAR(I7)&amp;"-"&amp;MONTH(I7),53:53)</f>
        <v>0</v>
      </c>
      <c r="K7" s="384"/>
      <c r="L7" s="385"/>
      <c r="M7" s="386"/>
      <c r="N7" s="386"/>
      <c r="O7" s="386"/>
      <c r="P7" s="3679" t="s">
        <v>911</v>
      </c>
      <c r="Q7" s="3685"/>
      <c r="R7" s="451" t="s">
        <v>912</v>
      </c>
      <c r="S7" s="452">
        <f t="shared" ref="S7:S15" si="0">F7</f>
        <v>0</v>
      </c>
      <c r="T7" s="451" t="s">
        <v>912</v>
      </c>
      <c r="U7" s="452">
        <f t="shared" ref="U7:U15" si="1">H7</f>
        <v>0</v>
      </c>
      <c r="V7" s="451" t="s">
        <v>912</v>
      </c>
      <c r="W7" s="452">
        <f t="shared" ref="W7:W15"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SUMIF(55:55,E8,56:56)-SUMIF(55:55,C8,56:56)+100</f>
        <v>0</v>
      </c>
      <c r="G8" s="232"/>
      <c r="H8" s="226">
        <f>SUMIF(55:55,G8,56:56)-SUMIF(55:55,C8,56:56)+100</f>
        <v>0</v>
      </c>
      <c r="I8" s="232"/>
      <c r="J8" s="226">
        <f>SUMIF(55:55,I8,56:56)-SUMIF(55:55,C8,56:56)+100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40" si="3">D8/F8</f>
        <v>#DIV/0!</v>
      </c>
      <c r="AB8" s="470" t="e">
        <f t="shared" ref="AB8:AB40" si="4">D8/H8</f>
        <v>#DIV/0!</v>
      </c>
      <c r="AC8" s="470" t="e">
        <f t="shared" ref="AC8:AC40" si="5">D8/J8</f>
        <v>#DIV/0!</v>
      </c>
    </row>
    <row r="9" spans="1:29" s="193" customFormat="1" ht="15">
      <c r="A9" s="233"/>
      <c r="B9" s="234" t="s">
        <v>916</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666" t="s">
        <v>917</v>
      </c>
      <c r="Q9" s="454" t="str">
        <f t="shared" ref="Q9:Q15" si="6">B9</f>
        <v>用途</v>
      </c>
      <c r="R9" s="451" t="s">
        <v>912</v>
      </c>
      <c r="S9" s="452">
        <f t="shared" si="0"/>
        <v>100</v>
      </c>
      <c r="T9" s="451" t="s">
        <v>912</v>
      </c>
      <c r="U9" s="452">
        <f t="shared" si="1"/>
        <v>100</v>
      </c>
      <c r="V9" s="451" t="s">
        <v>912</v>
      </c>
      <c r="W9" s="452">
        <f t="shared" si="2"/>
        <v>100</v>
      </c>
      <c r="X9" s="453"/>
      <c r="Y9" s="3635" t="s">
        <v>918</v>
      </c>
      <c r="Z9" s="471" t="str">
        <f t="shared" ref="Z9:Z15" si="7">Q9</f>
        <v>用途</v>
      </c>
      <c r="AA9" s="470">
        <f t="shared" si="3"/>
        <v>1</v>
      </c>
      <c r="AB9" s="470">
        <f t="shared" si="4"/>
        <v>1</v>
      </c>
      <c r="AC9" s="470">
        <f t="shared" si="5"/>
        <v>1</v>
      </c>
    </row>
    <row r="10" spans="1:29" s="194" customFormat="1" ht="27">
      <c r="A10" s="238"/>
      <c r="B10" s="231" t="s">
        <v>919</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537"/>
      <c r="B11" s="231" t="s">
        <v>920</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666"/>
      <c r="Q11" s="454" t="str">
        <f t="shared" si="6"/>
        <v>容积率</v>
      </c>
      <c r="R11" s="451" t="s">
        <v>912</v>
      </c>
      <c r="S11" s="452" t="e">
        <f t="shared" si="0"/>
        <v>#N/A</v>
      </c>
      <c r="T11" s="451" t="s">
        <v>912</v>
      </c>
      <c r="U11" s="452" t="e">
        <f t="shared" si="1"/>
        <v>#N/A</v>
      </c>
      <c r="V11" s="451" t="s">
        <v>912</v>
      </c>
      <c r="W11" s="452" t="e">
        <f t="shared" si="2"/>
        <v>#N/A</v>
      </c>
      <c r="X11" s="453"/>
      <c r="Y11" s="3635"/>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666"/>
      <c r="Q14" s="454">
        <f t="shared" si="6"/>
        <v>111</v>
      </c>
      <c r="R14" s="451" t="s">
        <v>912</v>
      </c>
      <c r="S14" s="452">
        <f t="shared" si="0"/>
        <v>100</v>
      </c>
      <c r="T14" s="451" t="s">
        <v>912</v>
      </c>
      <c r="U14" s="452">
        <f t="shared" si="1"/>
        <v>100</v>
      </c>
      <c r="V14" s="451" t="s">
        <v>912</v>
      </c>
      <c r="W14" s="452">
        <f t="shared" si="2"/>
        <v>100</v>
      </c>
      <c r="X14" s="453"/>
      <c r="Y14" s="3635"/>
      <c r="Z14" s="471">
        <f t="shared" si="7"/>
        <v>111</v>
      </c>
      <c r="AA14" s="470">
        <f t="shared" si="3"/>
        <v>1</v>
      </c>
      <c r="AB14" s="470">
        <f t="shared" si="4"/>
        <v>1</v>
      </c>
      <c r="AC14" s="470">
        <f t="shared" si="5"/>
        <v>1</v>
      </c>
    </row>
    <row r="15" spans="1:29" ht="57">
      <c r="A15" s="251" t="s">
        <v>922</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667" t="s">
        <v>923</v>
      </c>
      <c r="Q15" s="388" t="str">
        <f t="shared" si="6"/>
        <v>产业集聚程度</v>
      </c>
      <c r="R15" s="455" t="s">
        <v>912</v>
      </c>
      <c r="S15" s="456">
        <f t="shared" si="0"/>
        <v>100</v>
      </c>
      <c r="T15" s="455" t="s">
        <v>912</v>
      </c>
      <c r="U15" s="456">
        <f t="shared" si="1"/>
        <v>100</v>
      </c>
      <c r="V15" s="455" t="s">
        <v>912</v>
      </c>
      <c r="W15" s="456">
        <f t="shared" si="2"/>
        <v>100</v>
      </c>
      <c r="X15" s="450"/>
      <c r="Y15" s="3667" t="s">
        <v>923</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8"/>
      <c r="Q16" s="388"/>
      <c r="R16" s="455"/>
      <c r="S16" s="456"/>
      <c r="T16" s="455"/>
      <c r="U16" s="456"/>
      <c r="V16" s="455"/>
      <c r="W16" s="456"/>
      <c r="X16" s="450"/>
      <c r="Y16" s="3668"/>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668"/>
      <c r="Q17" s="388" t="str">
        <f>B17</f>
        <v>交通便捷度</v>
      </c>
      <c r="R17" s="455" t="s">
        <v>912</v>
      </c>
      <c r="S17" s="456">
        <f>F17</f>
        <v>100</v>
      </c>
      <c r="T17" s="455" t="s">
        <v>912</v>
      </c>
      <c r="U17" s="456">
        <f>H17</f>
        <v>100</v>
      </c>
      <c r="V17" s="455" t="s">
        <v>912</v>
      </c>
      <c r="W17" s="456">
        <f>J17</f>
        <v>100</v>
      </c>
      <c r="X17" s="450"/>
      <c r="Y17" s="3668"/>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8"/>
      <c r="Q18" s="388"/>
      <c r="R18" s="455"/>
      <c r="S18" s="456"/>
      <c r="T18" s="455"/>
      <c r="U18" s="456"/>
      <c r="V18" s="455"/>
      <c r="W18" s="456"/>
      <c r="X18" s="450"/>
      <c r="Y18" s="3668"/>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668"/>
      <c r="Q19" s="388" t="str">
        <f>B19</f>
        <v>公共配套设施</v>
      </c>
      <c r="R19" s="455" t="s">
        <v>912</v>
      </c>
      <c r="S19" s="456">
        <f>F19</f>
        <v>100</v>
      </c>
      <c r="T19" s="455" t="s">
        <v>912</v>
      </c>
      <c r="U19" s="456">
        <f>H19</f>
        <v>100</v>
      </c>
      <c r="V19" s="455" t="s">
        <v>912</v>
      </c>
      <c r="W19" s="456">
        <f>J19</f>
        <v>100</v>
      </c>
      <c r="X19" s="450"/>
      <c r="Y19" s="3668"/>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668"/>
      <c r="Q20" s="388"/>
      <c r="R20" s="455"/>
      <c r="S20" s="456"/>
      <c r="T20" s="455"/>
      <c r="U20" s="456"/>
      <c r="V20" s="455"/>
      <c r="W20" s="456"/>
      <c r="X20" s="450"/>
      <c r="Y20" s="3668"/>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668"/>
      <c r="Q21" s="388" t="str">
        <f>B21</f>
        <v>基础设施水平</v>
      </c>
      <c r="R21" s="455" t="s">
        <v>912</v>
      </c>
      <c r="S21" s="456">
        <f>F21</f>
        <v>100</v>
      </c>
      <c r="T21" s="455" t="s">
        <v>912</v>
      </c>
      <c r="U21" s="456">
        <f>H21</f>
        <v>100</v>
      </c>
      <c r="V21" s="455" t="s">
        <v>912</v>
      </c>
      <c r="W21" s="456">
        <f>J21</f>
        <v>100</v>
      </c>
      <c r="X21" s="450"/>
      <c r="Y21" s="3668"/>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668"/>
      <c r="Q22" s="388"/>
      <c r="R22" s="455"/>
      <c r="S22" s="456"/>
      <c r="T22" s="455"/>
      <c r="U22" s="456"/>
      <c r="V22" s="455"/>
      <c r="W22" s="456"/>
      <c r="X22" s="450"/>
      <c r="Y22" s="3668"/>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668"/>
      <c r="Q23" s="388" t="str">
        <f>B23</f>
        <v>环境质量</v>
      </c>
      <c r="R23" s="455" t="s">
        <v>912</v>
      </c>
      <c r="S23" s="456">
        <f>F23</f>
        <v>100</v>
      </c>
      <c r="T23" s="455" t="s">
        <v>912</v>
      </c>
      <c r="U23" s="456">
        <f>H23</f>
        <v>100</v>
      </c>
      <c r="V23" s="455" t="s">
        <v>912</v>
      </c>
      <c r="W23" s="456">
        <f>J23</f>
        <v>100</v>
      </c>
      <c r="X23" s="450"/>
      <c r="Y23" s="3668"/>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668"/>
      <c r="Q24" s="388"/>
      <c r="R24" s="455"/>
      <c r="S24" s="456"/>
      <c r="T24" s="455"/>
      <c r="U24" s="456"/>
      <c r="V24" s="455"/>
      <c r="W24" s="456"/>
      <c r="X24" s="450"/>
      <c r="Y24" s="3668"/>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668"/>
      <c r="Q25" s="388">
        <f>B25</f>
        <v>111</v>
      </c>
      <c r="R25" s="455" t="s">
        <v>912</v>
      </c>
      <c r="S25" s="456">
        <f>F25</f>
        <v>100</v>
      </c>
      <c r="T25" s="455" t="s">
        <v>912</v>
      </c>
      <c r="U25" s="456">
        <f>H25</f>
        <v>100</v>
      </c>
      <c r="V25" s="455" t="s">
        <v>912</v>
      </c>
      <c r="W25" s="456">
        <f>J25</f>
        <v>100</v>
      </c>
      <c r="X25" s="450"/>
      <c r="Y25" s="3668"/>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668"/>
      <c r="Q26" s="388">
        <f t="shared" ref="Q26:Q40" si="11">B26</f>
        <v>111</v>
      </c>
      <c r="R26" s="455" t="s">
        <v>912</v>
      </c>
      <c r="S26" s="456">
        <f>F26</f>
        <v>100</v>
      </c>
      <c r="T26" s="455" t="s">
        <v>912</v>
      </c>
      <c r="U26" s="456">
        <f>H26</f>
        <v>100</v>
      </c>
      <c r="V26" s="455" t="s">
        <v>912</v>
      </c>
      <c r="W26" s="456">
        <f>J26</f>
        <v>100</v>
      </c>
      <c r="X26" s="450"/>
      <c r="Y26" s="3668"/>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668"/>
      <c r="Q27" s="454">
        <f t="shared" si="11"/>
        <v>111</v>
      </c>
      <c r="R27" s="451" t="s">
        <v>912</v>
      </c>
      <c r="S27" s="452">
        <f>F27</f>
        <v>100</v>
      </c>
      <c r="T27" s="451" t="s">
        <v>912</v>
      </c>
      <c r="U27" s="452">
        <f>H27</f>
        <v>100</v>
      </c>
      <c r="V27" s="451" t="s">
        <v>912</v>
      </c>
      <c r="W27" s="452">
        <f>J27</f>
        <v>100</v>
      </c>
      <c r="X27" s="453"/>
      <c r="Y27" s="3668"/>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668"/>
      <c r="Q28" s="388">
        <f t="shared" si="11"/>
        <v>111</v>
      </c>
      <c r="R28" s="455" t="s">
        <v>912</v>
      </c>
      <c r="S28" s="456">
        <f t="shared" ref="S28:S40" si="12">F28</f>
        <v>100</v>
      </c>
      <c r="T28" s="455" t="s">
        <v>912</v>
      </c>
      <c r="U28" s="456">
        <f t="shared" ref="U28:U40" si="13">H28</f>
        <v>100</v>
      </c>
      <c r="V28" s="455" t="s">
        <v>912</v>
      </c>
      <c r="W28" s="456">
        <f t="shared" ref="W28:W40" si="14">J28</f>
        <v>100</v>
      </c>
      <c r="X28" s="450"/>
      <c r="Y28" s="3668"/>
      <c r="Z28" s="449">
        <f t="shared" ref="Z28:Z40" si="15">Q28</f>
        <v>111</v>
      </c>
      <c r="AA28" s="461">
        <f t="shared" si="3"/>
        <v>1</v>
      </c>
      <c r="AB28" s="461">
        <f t="shared" si="4"/>
        <v>1</v>
      </c>
      <c r="AC28" s="461">
        <f t="shared" si="5"/>
        <v>1</v>
      </c>
    </row>
    <row r="29" spans="1:29" ht="15">
      <c r="A29" s="286" t="s">
        <v>928</v>
      </c>
      <c r="B29" s="287" t="s">
        <v>1053</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669" t="s">
        <v>927</v>
      </c>
      <c r="Q29" s="388" t="str">
        <f t="shared" si="11"/>
        <v>建筑类型</v>
      </c>
      <c r="R29" s="455" t="s">
        <v>912</v>
      </c>
      <c r="S29" s="456">
        <f t="shared" si="12"/>
        <v>100</v>
      </c>
      <c r="T29" s="455" t="s">
        <v>912</v>
      </c>
      <c r="U29" s="456">
        <f t="shared" si="13"/>
        <v>100</v>
      </c>
      <c r="V29" s="455" t="s">
        <v>912</v>
      </c>
      <c r="W29" s="456">
        <f t="shared" si="14"/>
        <v>100</v>
      </c>
      <c r="X29" s="450"/>
      <c r="Y29" s="3670" t="s">
        <v>927</v>
      </c>
      <c r="Z29" s="449" t="str">
        <f t="shared" si="15"/>
        <v>建筑类型</v>
      </c>
      <c r="AA29" s="461">
        <f t="shared" si="3"/>
        <v>1</v>
      </c>
      <c r="AB29" s="461">
        <f t="shared" si="4"/>
        <v>1</v>
      </c>
      <c r="AC29" s="461">
        <f t="shared" si="5"/>
        <v>1</v>
      </c>
    </row>
    <row r="30" spans="1:29" s="195" customFormat="1" ht="15">
      <c r="A30" s="291"/>
      <c r="B30" s="292" t="s">
        <v>1054</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670"/>
      <c r="Q30" s="457" t="str">
        <f t="shared" si="11"/>
        <v>项目建筑规模</v>
      </c>
      <c r="R30" s="458" t="s">
        <v>912</v>
      </c>
      <c r="S30" s="459" t="e">
        <f t="shared" si="12"/>
        <v>#N/A</v>
      </c>
      <c r="T30" s="458" t="s">
        <v>912</v>
      </c>
      <c r="U30" s="459" t="e">
        <f t="shared" si="13"/>
        <v>#N/A</v>
      </c>
      <c r="V30" s="458" t="s">
        <v>912</v>
      </c>
      <c r="W30" s="459" t="e">
        <f t="shared" si="14"/>
        <v>#N/A</v>
      </c>
      <c r="X30" s="460"/>
      <c r="Y30" s="3670"/>
      <c r="Z30" s="472" t="str">
        <f t="shared" si="15"/>
        <v>项目建筑规模</v>
      </c>
      <c r="AA30" s="461" t="e">
        <f t="shared" si="3"/>
        <v>#N/A</v>
      </c>
      <c r="AB30" s="461" t="e">
        <f t="shared" si="4"/>
        <v>#N/A</v>
      </c>
      <c r="AC30" s="461" t="e">
        <f t="shared" si="5"/>
        <v>#N/A</v>
      </c>
    </row>
    <row r="31" spans="1:29" ht="15">
      <c r="A31" s="296"/>
      <c r="B31" s="292" t="s">
        <v>1055</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670"/>
      <c r="Q31" s="388" t="str">
        <f t="shared" si="11"/>
        <v>建筑结构</v>
      </c>
      <c r="R31" s="455" t="s">
        <v>912</v>
      </c>
      <c r="S31" s="456">
        <f t="shared" si="12"/>
        <v>100</v>
      </c>
      <c r="T31" s="455" t="s">
        <v>912</v>
      </c>
      <c r="U31" s="456">
        <f t="shared" si="13"/>
        <v>100</v>
      </c>
      <c r="V31" s="455" t="s">
        <v>912</v>
      </c>
      <c r="W31" s="456">
        <f t="shared" si="14"/>
        <v>100</v>
      </c>
      <c r="X31" s="450"/>
      <c r="Y31" s="3670"/>
      <c r="Z31" s="449" t="str">
        <f t="shared" si="15"/>
        <v>建筑结构</v>
      </c>
      <c r="AA31" s="461">
        <f t="shared" si="3"/>
        <v>1</v>
      </c>
      <c r="AB31" s="461">
        <f t="shared" si="4"/>
        <v>1</v>
      </c>
      <c r="AC31" s="461">
        <f t="shared" si="5"/>
        <v>1</v>
      </c>
    </row>
    <row r="32" spans="1:29" ht="15">
      <c r="A32" s="296"/>
      <c r="B32" s="292" t="s">
        <v>1057</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670"/>
      <c r="Q32" s="388" t="str">
        <f t="shared" si="11"/>
        <v>公共部分装修</v>
      </c>
      <c r="R32" s="455" t="s">
        <v>912</v>
      </c>
      <c r="S32" s="456">
        <f t="shared" si="12"/>
        <v>100</v>
      </c>
      <c r="T32" s="455" t="s">
        <v>912</v>
      </c>
      <c r="U32" s="456">
        <f t="shared" si="13"/>
        <v>100</v>
      </c>
      <c r="V32" s="455" t="s">
        <v>912</v>
      </c>
      <c r="W32" s="456">
        <f t="shared" si="14"/>
        <v>100</v>
      </c>
      <c r="X32" s="450"/>
      <c r="Y32" s="3670"/>
      <c r="Z32" s="449" t="str">
        <f t="shared" si="15"/>
        <v>公共部分装修</v>
      </c>
      <c r="AA32" s="461">
        <f t="shared" si="3"/>
        <v>1</v>
      </c>
      <c r="AB32" s="461">
        <f t="shared" si="4"/>
        <v>1</v>
      </c>
      <c r="AC32" s="461">
        <f t="shared" si="5"/>
        <v>1</v>
      </c>
    </row>
    <row r="33" spans="1:29" ht="15">
      <c r="A33" s="296"/>
      <c r="B33" s="292" t="s">
        <v>1058</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670"/>
      <c r="Q33" s="388" t="str">
        <f t="shared" si="11"/>
        <v>成新度</v>
      </c>
      <c r="R33" s="455" t="s">
        <v>912</v>
      </c>
      <c r="S33" s="456" t="e">
        <f t="shared" si="12"/>
        <v>#N/A</v>
      </c>
      <c r="T33" s="455" t="s">
        <v>912</v>
      </c>
      <c r="U33" s="456" t="e">
        <f t="shared" si="13"/>
        <v>#N/A</v>
      </c>
      <c r="V33" s="455" t="s">
        <v>912</v>
      </c>
      <c r="W33" s="456" t="e">
        <f t="shared" si="14"/>
        <v>#N/A</v>
      </c>
      <c r="X33" s="450"/>
      <c r="Y33" s="3670"/>
      <c r="Z33" s="449" t="str">
        <f t="shared" si="15"/>
        <v>成新度</v>
      </c>
      <c r="AA33" s="461" t="e">
        <f t="shared" si="3"/>
        <v>#N/A</v>
      </c>
      <c r="AB33" s="461" t="e">
        <f t="shared" si="4"/>
        <v>#N/A</v>
      </c>
      <c r="AC33" s="461" t="e">
        <f t="shared" si="5"/>
        <v>#N/A</v>
      </c>
    </row>
    <row r="34" spans="1:29" s="193" customFormat="1" ht="15">
      <c r="A34" s="299"/>
      <c r="B34" s="292" t="s">
        <v>1059</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670"/>
      <c r="Q34" s="454" t="str">
        <f t="shared" si="11"/>
        <v>物业管理</v>
      </c>
      <c r="R34" s="451" t="s">
        <v>912</v>
      </c>
      <c r="S34" s="452">
        <f t="shared" si="12"/>
        <v>100</v>
      </c>
      <c r="T34" s="451" t="s">
        <v>912</v>
      </c>
      <c r="U34" s="452">
        <f t="shared" si="13"/>
        <v>100</v>
      </c>
      <c r="V34" s="451" t="s">
        <v>912</v>
      </c>
      <c r="W34" s="452">
        <f t="shared" si="14"/>
        <v>100</v>
      </c>
      <c r="X34" s="453"/>
      <c r="Y34" s="3670"/>
      <c r="Z34" s="471" t="str">
        <f t="shared" si="15"/>
        <v>物业管理</v>
      </c>
      <c r="AA34" s="470">
        <f t="shared" si="3"/>
        <v>1</v>
      </c>
      <c r="AB34" s="470">
        <f t="shared" si="4"/>
        <v>1</v>
      </c>
      <c r="AC34" s="470">
        <f t="shared" si="5"/>
        <v>1</v>
      </c>
    </row>
    <row r="35" spans="1:29" ht="15">
      <c r="A35" s="296"/>
      <c r="B35" s="551" t="s">
        <v>1060</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670" t="s">
        <v>927</v>
      </c>
      <c r="Q35" s="388" t="str">
        <f t="shared" si="11"/>
        <v>市政基础设施</v>
      </c>
      <c r="R35" s="455" t="s">
        <v>912</v>
      </c>
      <c r="S35" s="456">
        <f t="shared" si="12"/>
        <v>100</v>
      </c>
      <c r="T35" s="455" t="s">
        <v>912</v>
      </c>
      <c r="U35" s="456">
        <f t="shared" si="13"/>
        <v>100</v>
      </c>
      <c r="V35" s="455" t="s">
        <v>912</v>
      </c>
      <c r="W35" s="456">
        <f t="shared" si="14"/>
        <v>100</v>
      </c>
      <c r="X35" s="450"/>
      <c r="Y35" s="3670" t="s">
        <v>927</v>
      </c>
      <c r="Z35" s="449" t="str">
        <f t="shared" si="15"/>
        <v>市政基础设施</v>
      </c>
      <c r="AA35" s="461">
        <f t="shared" si="3"/>
        <v>1</v>
      </c>
      <c r="AB35" s="461">
        <f t="shared" si="4"/>
        <v>1</v>
      </c>
      <c r="AC35" s="461">
        <f t="shared" si="5"/>
        <v>1</v>
      </c>
    </row>
    <row r="36" spans="1:29" ht="15">
      <c r="A36" s="296"/>
      <c r="B36" s="292" t="s">
        <v>1063</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670"/>
      <c r="Q36" s="388" t="str">
        <f t="shared" si="11"/>
        <v>内部装修</v>
      </c>
      <c r="R36" s="455" t="s">
        <v>912</v>
      </c>
      <c r="S36" s="456">
        <f t="shared" si="12"/>
        <v>100</v>
      </c>
      <c r="T36" s="455" t="s">
        <v>912</v>
      </c>
      <c r="U36" s="456">
        <f t="shared" si="13"/>
        <v>100</v>
      </c>
      <c r="V36" s="455" t="s">
        <v>912</v>
      </c>
      <c r="W36" s="456">
        <f t="shared" si="14"/>
        <v>100</v>
      </c>
      <c r="X36" s="450"/>
      <c r="Y36" s="3670"/>
      <c r="Z36" s="449" t="str">
        <f t="shared" si="15"/>
        <v>内部装修</v>
      </c>
      <c r="AA36" s="461">
        <f t="shared" si="3"/>
        <v>1</v>
      </c>
      <c r="AB36" s="461">
        <f t="shared" si="4"/>
        <v>1</v>
      </c>
      <c r="AC36" s="461">
        <f t="shared" si="5"/>
        <v>1</v>
      </c>
    </row>
    <row r="37" spans="1:29" ht="15">
      <c r="A37" s="296"/>
      <c r="B37" s="292" t="s">
        <v>2258</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670"/>
      <c r="Q37" s="388" t="str">
        <f t="shared" si="11"/>
        <v>内部装修状况</v>
      </c>
      <c r="R37" s="455" t="s">
        <v>912</v>
      </c>
      <c r="S37" s="456">
        <f t="shared" si="12"/>
        <v>100</v>
      </c>
      <c r="T37" s="455" t="s">
        <v>912</v>
      </c>
      <c r="U37" s="456">
        <f t="shared" si="13"/>
        <v>100</v>
      </c>
      <c r="V37" s="455" t="s">
        <v>912</v>
      </c>
      <c r="W37" s="456">
        <f t="shared" si="14"/>
        <v>100</v>
      </c>
      <c r="X37" s="450"/>
      <c r="Y37" s="3670"/>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670"/>
      <c r="Q38" s="457">
        <f t="shared" si="11"/>
        <v>111</v>
      </c>
      <c r="R38" s="458" t="s">
        <v>912</v>
      </c>
      <c r="S38" s="459">
        <f t="shared" si="12"/>
        <v>100</v>
      </c>
      <c r="T38" s="458" t="s">
        <v>912</v>
      </c>
      <c r="U38" s="459">
        <f t="shared" si="13"/>
        <v>100</v>
      </c>
      <c r="V38" s="458" t="s">
        <v>912</v>
      </c>
      <c r="W38" s="459">
        <f t="shared" si="14"/>
        <v>100</v>
      </c>
      <c r="X38" s="460"/>
      <c r="Y38" s="3670"/>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670"/>
      <c r="Q39" s="388">
        <f t="shared" si="11"/>
        <v>111</v>
      </c>
      <c r="R39" s="455" t="s">
        <v>912</v>
      </c>
      <c r="S39" s="456">
        <f t="shared" si="12"/>
        <v>100</v>
      </c>
      <c r="T39" s="455" t="s">
        <v>912</v>
      </c>
      <c r="U39" s="456">
        <f t="shared" si="13"/>
        <v>100</v>
      </c>
      <c r="V39" s="455" t="s">
        <v>912</v>
      </c>
      <c r="W39" s="456">
        <f t="shared" si="14"/>
        <v>100</v>
      </c>
      <c r="X39" s="450"/>
      <c r="Y39" s="3670"/>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774"/>
      <c r="Q40" s="388">
        <f t="shared" si="11"/>
        <v>111</v>
      </c>
      <c r="R40" s="455" t="s">
        <v>912</v>
      </c>
      <c r="S40" s="456">
        <f t="shared" si="12"/>
        <v>100</v>
      </c>
      <c r="T40" s="455" t="s">
        <v>912</v>
      </c>
      <c r="U40" s="456">
        <f t="shared" si="13"/>
        <v>100</v>
      </c>
      <c r="V40" s="455" t="s">
        <v>912</v>
      </c>
      <c r="W40" s="456">
        <f t="shared" si="14"/>
        <v>100</v>
      </c>
      <c r="X40" s="450"/>
      <c r="Y40" s="3774"/>
      <c r="Z40" s="449">
        <f t="shared" si="15"/>
        <v>111</v>
      </c>
      <c r="AA40" s="461">
        <f t="shared" si="3"/>
        <v>1</v>
      </c>
      <c r="AB40" s="461">
        <f t="shared" si="4"/>
        <v>1</v>
      </c>
      <c r="AC40" s="461">
        <f t="shared" si="5"/>
        <v>1</v>
      </c>
    </row>
    <row r="41" spans="1:29" ht="15">
      <c r="A41" s="306" t="s">
        <v>1064</v>
      </c>
      <c r="B41" s="307"/>
      <c r="C41" s="308" t="s">
        <v>138</v>
      </c>
      <c r="D41" s="309"/>
      <c r="E41" s="310"/>
      <c r="F41" s="311"/>
      <c r="G41" s="312"/>
      <c r="H41" s="313"/>
      <c r="I41" s="310"/>
      <c r="J41" s="313"/>
      <c r="K41" s="402"/>
      <c r="L41" s="403"/>
      <c r="M41" s="334"/>
      <c r="N41" s="383"/>
      <c r="O41" s="334"/>
      <c r="P41" s="3666" t="str">
        <f>A41</f>
        <v>成交单价（元/平方米）</v>
      </c>
      <c r="Q41" s="3666"/>
      <c r="R41" s="3772">
        <f>E41</f>
        <v>0</v>
      </c>
      <c r="S41" s="3772"/>
      <c r="T41" s="3772">
        <f>G41</f>
        <v>0</v>
      </c>
      <c r="U41" s="3772"/>
      <c r="V41" s="3772">
        <f>I41</f>
        <v>0</v>
      </c>
      <c r="W41" s="3772"/>
      <c r="X41" s="336"/>
      <c r="Y41" s="473"/>
      <c r="Z41" s="336"/>
      <c r="AA41" s="336"/>
      <c r="AB41" s="336"/>
      <c r="AC41" s="336"/>
    </row>
    <row r="42" spans="1:29" ht="15">
      <c r="A42" s="314" t="s">
        <v>936</v>
      </c>
      <c r="B42" s="315"/>
      <c r="C42" s="316" t="e">
        <f>R43</f>
        <v>#DIV/0!</v>
      </c>
      <c r="D42" s="317" t="s">
        <v>937</v>
      </c>
      <c r="E42" s="318" t="e">
        <f>R42</f>
        <v>#DIV/0!</v>
      </c>
      <c r="F42" s="319"/>
      <c r="G42" s="316" t="e">
        <f>T42</f>
        <v>#DIV/0!</v>
      </c>
      <c r="H42" s="319"/>
      <c r="I42" s="318" t="e">
        <f>V42</f>
        <v>#DIV/0!</v>
      </c>
      <c r="J42" s="319"/>
      <c r="K42" s="404">
        <f>F42+H42+J42</f>
        <v>0</v>
      </c>
      <c r="L42" s="403"/>
      <c r="M42" s="334"/>
      <c r="N42" s="383"/>
      <c r="O42" s="334"/>
      <c r="P42" s="3666" t="str">
        <f>A42</f>
        <v>比较价格（元/平方米）</v>
      </c>
      <c r="Q42" s="3666"/>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336"/>
      <c r="Y42" s="336"/>
      <c r="Z42" s="336"/>
      <c r="AA42" s="336"/>
      <c r="AB42" s="336"/>
      <c r="AC42" s="336"/>
    </row>
    <row r="43" spans="1:29" ht="15">
      <c r="A43" s="320" t="s">
        <v>938</v>
      </c>
      <c r="B43" s="321"/>
      <c r="C43" s="322" t="e">
        <f>R43</f>
        <v>#DIV/0!</v>
      </c>
      <c r="D43" s="322"/>
      <c r="E43" s="322"/>
      <c r="F43" s="322"/>
      <c r="G43" s="322"/>
      <c r="H43" s="322"/>
      <c r="I43" s="322"/>
      <c r="J43" s="322"/>
      <c r="K43" s="405"/>
      <c r="L43" s="403"/>
      <c r="M43" s="334"/>
      <c r="N43" s="334"/>
      <c r="O43" s="334"/>
      <c r="P43" s="3676" t="str">
        <f>A43</f>
        <v>估价对象XX用房的比较价格（楼面单价，元/平方米）</v>
      </c>
      <c r="Q43" s="3677"/>
      <c r="R43" s="3773" t="e">
        <f>IF(F1="售价",ROUND(IF(D42="简单平均",AVERAGE(R42:V42),R42*F42+T42*H42+V42*J42),0),ROUND(IF(D42="简单平均",AVERAGE(R42:V42),R42*F42+T42*H42+V42*J42),1))</f>
        <v>#DIV/0!</v>
      </c>
      <c r="S43" s="3773"/>
      <c r="T43" s="3773"/>
      <c r="U43" s="3773"/>
      <c r="V43" s="3773"/>
      <c r="W43" s="3773"/>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939</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940</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941</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963</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910</v>
      </c>
      <c r="B52" s="340"/>
      <c r="C52" s="341" t="str">
        <f>YEAR(C7)&amp;"-"&amp;MONTH(C7)</f>
        <v>2021-10</v>
      </c>
      <c r="D52" s="342">
        <f>EDATE(C52,-1)</f>
        <v>44440</v>
      </c>
      <c r="E52" s="342">
        <f t="shared" ref="E52:O52" si="16">EDATE(D52,-1)</f>
        <v>44409</v>
      </c>
      <c r="F52" s="342">
        <f t="shared" si="16"/>
        <v>44378</v>
      </c>
      <c r="G52" s="342">
        <f t="shared" si="16"/>
        <v>44348</v>
      </c>
      <c r="H52" s="342">
        <f t="shared" si="16"/>
        <v>44317</v>
      </c>
      <c r="I52" s="342">
        <f t="shared" si="16"/>
        <v>44287</v>
      </c>
      <c r="J52" s="342">
        <f t="shared" si="16"/>
        <v>44256</v>
      </c>
      <c r="K52" s="342">
        <f t="shared" si="16"/>
        <v>44228</v>
      </c>
      <c r="L52" s="342">
        <f t="shared" si="16"/>
        <v>44197</v>
      </c>
      <c r="M52" s="342">
        <f t="shared" si="16"/>
        <v>44166</v>
      </c>
      <c r="N52" s="342">
        <f t="shared" si="16"/>
        <v>44136</v>
      </c>
      <c r="O52" s="342">
        <f t="shared" si="16"/>
        <v>44105</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1065</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913</v>
      </c>
      <c r="B55" s="344"/>
      <c r="C55" s="352" t="s">
        <v>914</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967</v>
      </c>
      <c r="B57" s="355" t="s">
        <v>968</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969</v>
      </c>
      <c r="C59" s="362" t="s">
        <v>1066</v>
      </c>
      <c r="D59" s="362" t="s">
        <v>1067</v>
      </c>
      <c r="E59" s="362" t="s">
        <v>1068</v>
      </c>
      <c r="F59" s="362" t="s">
        <v>1069</v>
      </c>
      <c r="G59" s="362" t="s">
        <v>1070</v>
      </c>
      <c r="H59" s="362" t="s">
        <v>1071</v>
      </c>
      <c r="I59" s="362" t="s">
        <v>1072</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962</v>
      </c>
      <c r="D60" s="364" t="s">
        <v>962</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970</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971</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976</v>
      </c>
      <c r="B88" s="355" t="s">
        <v>1053</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1054</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1055</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1057</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1058</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1059</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1060</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1063</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2259</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1" type="noConversion"/>
  <conditionalFormatting sqref="F42">
    <cfRule type="expression" dxfId="55" priority="4">
      <formula>$D$42="简单平均"</formula>
    </cfRule>
  </conditionalFormatting>
  <conditionalFormatting sqref="H42">
    <cfRule type="expression" dxfId="54" priority="3">
      <formula>$D$42="简单平均"</formula>
    </cfRule>
  </conditionalFormatting>
  <conditionalFormatting sqref="J42">
    <cfRule type="expression" dxfId="53" priority="2">
      <formula>$D$42="简单平均"</formula>
    </cfRule>
  </conditionalFormatting>
  <conditionalFormatting sqref="E46">
    <cfRule type="expression" dxfId="52" priority="16" stopIfTrue="1">
      <formula>$F$46="超过30%"</formula>
    </cfRule>
  </conditionalFormatting>
  <conditionalFormatting sqref="G46">
    <cfRule type="expression" dxfId="51" priority="12" stopIfTrue="1">
      <formula>$H$46="超过30%"</formula>
    </cfRule>
  </conditionalFormatting>
  <conditionalFormatting sqref="I46">
    <cfRule type="expression" dxfId="50" priority="7" stopIfTrue="1">
      <formula>$J$46="超过30%"</formula>
    </cfRule>
  </conditionalFormatting>
  <conditionalFormatting sqref="J46">
    <cfRule type="containsText" dxfId="49" priority="10" stopIfTrue="1" operator="containsText" text="超过">
      <formula>NOT(ISERROR(SEARCH("超过",J46)))</formula>
    </cfRule>
  </conditionalFormatting>
  <conditionalFormatting sqref="E47">
    <cfRule type="expression" dxfId="48" priority="15" stopIfTrue="1">
      <formula>$F$47="超过20%"</formula>
    </cfRule>
  </conditionalFormatting>
  <conditionalFormatting sqref="G47">
    <cfRule type="expression" dxfId="47" priority="11" stopIfTrue="1">
      <formula>$H$47="超过20%"</formula>
    </cfRule>
  </conditionalFormatting>
  <conditionalFormatting sqref="I47">
    <cfRule type="expression" dxfId="46" priority="6" stopIfTrue="1">
      <formula>$J$47="超过20%"</formula>
    </cfRule>
  </conditionalFormatting>
  <conditionalFormatting sqref="J47">
    <cfRule type="containsText" dxfId="45" priority="8" stopIfTrue="1" operator="containsText" text="超过">
      <formula>NOT(ISERROR(SEARCH("超过",J47)))</formula>
    </cfRule>
  </conditionalFormatting>
  <conditionalFormatting sqref="E48">
    <cfRule type="expression" dxfId="44" priority="14" stopIfTrue="1">
      <formula>$F$48="超过30%"</formula>
    </cfRule>
  </conditionalFormatting>
  <conditionalFormatting sqref="F48">
    <cfRule type="containsText" dxfId="43" priority="18" stopIfTrue="1" operator="containsText" text="超过">
      <formula>NOT(ISERROR(SEARCH("超过",F48)))</formula>
    </cfRule>
  </conditionalFormatting>
  <conditionalFormatting sqref="G48">
    <cfRule type="expression" dxfId="42" priority="13" stopIfTrue="1">
      <formula>$H$48="超过30%"</formula>
    </cfRule>
  </conditionalFormatting>
  <conditionalFormatting sqref="H48">
    <cfRule type="containsText" dxfId="41" priority="19" stopIfTrue="1" operator="containsText" text="超过">
      <formula>NOT(ISERROR(SEARCH("超过",H48)))</formula>
    </cfRule>
  </conditionalFormatting>
  <conditionalFormatting sqref="I48">
    <cfRule type="expression" dxfId="40" priority="5" stopIfTrue="1">
      <formula>$J$48="超过30%"</formula>
    </cfRule>
  </conditionalFormatting>
  <conditionalFormatting sqref="J48">
    <cfRule type="containsText" dxfId="39" priority="9" stopIfTrue="1" operator="containsText" text="超过">
      <formula>NOT(ISERROR(SEARCH("超过",J48)))</formula>
    </cfRule>
  </conditionalFormatting>
  <conditionalFormatting sqref="F7:F40 H7:H40 J7:J40">
    <cfRule type="cellIs" dxfId="38" priority="1" operator="notEqual">
      <formula>100</formula>
    </cfRule>
  </conditionalFormatting>
  <conditionalFormatting sqref="F46 H46">
    <cfRule type="containsText" dxfId="37" priority="20" stopIfTrue="1" operator="containsText" text="超过">
      <formula>NOT(ISERROR(SEARCH("超过",F46)))</formula>
    </cfRule>
  </conditionalFormatting>
  <conditionalFormatting sqref="F47 H47">
    <cfRule type="containsText" dxfId="36" priority="17" stopIfTrue="1" operator="containsText" text="超过">
      <formula>NOT(ISERROR(SEARCH("超过",F47)))</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D42" xr:uid="{00000000-0002-0000-2400-000002000000}">
      <formula1>"简单平均,加权平均"</formula1>
    </dataValidation>
    <dataValidation type="list" allowBlank="1" showInputMessage="1" showErrorMessage="1" sqref="C8 E8 G8 I8" xr:uid="{00000000-0002-0000-2400-000003000000}">
      <formula1>工业交易情况</formula1>
    </dataValidation>
    <dataValidation type="list" allowBlank="1" showInputMessage="1" showErrorMessage="1" sqref="F1" xr:uid="{00000000-0002-0000-2400-000004000000}">
      <formula1>"售价,租金"</formula1>
    </dataValidation>
    <dataValidation type="list" allowBlank="1" showInputMessage="1" showErrorMessage="1" sqref="E9 G9 I9" xr:uid="{00000000-0002-0000-2400-000005000000}">
      <formula1>工业用途</formula1>
    </dataValidation>
    <dataValidation type="list" allowBlank="1" showInputMessage="1" showErrorMessage="1" sqref="C20 E20 G20 I20" xr:uid="{00000000-0002-0000-2400-000006000000}">
      <formula1>公共配套设施</formula1>
    </dataValidation>
    <dataValidation type="list" allowBlank="1" showInputMessage="1" showErrorMessage="1" sqref="C16 E16 G16 I16" xr:uid="{00000000-0002-0000-2400-000007000000}">
      <formula1>产业集聚程度</formula1>
    </dataValidation>
    <dataValidation type="list" allowBlank="1" showInputMessage="1" showErrorMessage="1" sqref="C18 E18 G18 I18" xr:uid="{00000000-0002-0000-2400-000008000000}">
      <formula1>交通便捷度</formula1>
    </dataValidation>
    <dataValidation type="list" allowBlank="1" showInputMessage="1" showErrorMessage="1" sqref="C22 E22 G22 I22" xr:uid="{00000000-0002-0000-2400-000009000000}">
      <formula1>基础设施水平</formula1>
    </dataValidation>
    <dataValidation type="list" allowBlank="1" showInputMessage="1" showErrorMessage="1" sqref="C24 E24 G24 I24" xr:uid="{00000000-0002-0000-2400-00000A000000}">
      <formula1>环境</formula1>
    </dataValidation>
    <dataValidation type="list" allowBlank="1" showInputMessage="1" showErrorMessage="1" sqref="C29 E29 G29 I29" xr:uid="{00000000-0002-0000-2400-00000B000000}">
      <formula1>工业建筑类型</formula1>
    </dataValidation>
    <dataValidation type="list" allowBlank="1" showInputMessage="1" showErrorMessage="1" sqref="C31 E31 G31 I31" xr:uid="{00000000-0002-0000-2400-00000C000000}">
      <formula1>工业建筑结构</formula1>
    </dataValidation>
    <dataValidation type="list" allowBlank="1" showInputMessage="1" showErrorMessage="1" sqref="C32 E32 G32 I32" xr:uid="{00000000-0002-0000-2400-00000D000000}">
      <formula1>工业公共部分装修</formula1>
    </dataValidation>
    <dataValidation type="list" allowBlank="1" showInputMessage="1" showErrorMessage="1" sqref="C34 E34 G34 I34" xr:uid="{00000000-0002-0000-2400-00000E000000}">
      <formula1>工业物业管理</formula1>
    </dataValidation>
    <dataValidation type="list" allowBlank="1" showInputMessage="1" showErrorMessage="1" sqref="C35 E35 G35 I35" xr:uid="{00000000-0002-0000-2400-00000F000000}">
      <formula1>工业基础设施水平</formula1>
    </dataValidation>
    <dataValidation type="list" allowBlank="1" showInputMessage="1" showErrorMessage="1" sqref="C36 E36 G36 I36" xr:uid="{00000000-0002-0000-2400-000010000000}">
      <formula1>工业内部装修</formula1>
    </dataValidation>
    <dataValidation type="list" allowBlank="1" showInputMessage="1" showErrorMessage="1" sqref="C37 E37 G37 I37" xr:uid="{00000000-0002-0000-2400-000011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202"/>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IF(B37="元/平方米",C39,ROUND(B2*10000/D3,0))</f>
        <v>#DIV/0!</v>
      </c>
      <c r="C3" s="215" t="s">
        <v>1046</v>
      </c>
      <c r="D3" s="216">
        <f>SUMIF('数据-汇总表'!$C19:$C33,D1,'数据-汇总表'!$E19:$E33)</f>
        <v>0</v>
      </c>
      <c r="E3" s="503" t="s">
        <v>2260</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686" t="s">
        <v>899</v>
      </c>
      <c r="F4" s="3687"/>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688" t="s">
        <v>905</v>
      </c>
      <c r="F5" s="3689"/>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681" t="s">
        <v>908</v>
      </c>
      <c r="F6" s="3682"/>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SUMIF(48:48,YEAR(E7)&amp;"-"&amp;MONTH(E7),49:49)</f>
        <v>0</v>
      </c>
      <c r="G7" s="229"/>
      <c r="H7" s="226">
        <f>SUMIF(48:48,YEAR(G7)&amp;"-"&amp;MONTH(G7),49:49)</f>
        <v>0</v>
      </c>
      <c r="I7" s="229"/>
      <c r="J7" s="226">
        <f>SUMIF(48:48,YEAR(I7)&amp;"-"&amp;MONTH(I7),49:49)</f>
        <v>0</v>
      </c>
      <c r="K7" s="384"/>
      <c r="L7" s="385"/>
      <c r="M7" s="386"/>
      <c r="N7" s="386"/>
      <c r="O7" s="386"/>
      <c r="P7" s="3679" t="s">
        <v>911</v>
      </c>
      <c r="Q7" s="3685"/>
      <c r="R7" s="451" t="s">
        <v>912</v>
      </c>
      <c r="S7" s="452">
        <f t="shared" ref="S7:S14" si="0">F7</f>
        <v>0</v>
      </c>
      <c r="T7" s="451" t="s">
        <v>912</v>
      </c>
      <c r="U7" s="452">
        <f t="shared" ref="U7:U14" si="1">H7</f>
        <v>0</v>
      </c>
      <c r="V7" s="451" t="s">
        <v>912</v>
      </c>
      <c r="W7" s="452">
        <f t="shared" ref="W7:W14"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SUMIF(51:51,E8,52:52)-SUMIF(51:51,C8,52:52)+100</f>
        <v>0</v>
      </c>
      <c r="G8" s="232"/>
      <c r="H8" s="226">
        <f>SUMIF(51:51,G8,52:52)-SUMIF(51:51,C8,52:52)+100</f>
        <v>0</v>
      </c>
      <c r="I8" s="232"/>
      <c r="J8" s="226">
        <f>SUMIF(51:51,I8,52:52)-SUMIF(51:51,C8,52:52)+100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36" si="3">D8/F8</f>
        <v>#DIV/0!</v>
      </c>
      <c r="AB8" s="470" t="e">
        <f t="shared" ref="AB8:AB36" si="4">D8/H8</f>
        <v>#DIV/0!</v>
      </c>
      <c r="AC8" s="470" t="e">
        <f t="shared" ref="AC8:AC36" si="5">D8/J8</f>
        <v>#DIV/0!</v>
      </c>
    </row>
    <row r="9" spans="1:29" s="193" customFormat="1" ht="15">
      <c r="A9" s="233"/>
      <c r="B9" s="234" t="s">
        <v>916</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666" t="s">
        <v>917</v>
      </c>
      <c r="Q9" s="454" t="str">
        <f t="shared" ref="Q9:Q14" si="6">B9</f>
        <v>用途</v>
      </c>
      <c r="R9" s="451" t="s">
        <v>912</v>
      </c>
      <c r="S9" s="452">
        <f t="shared" si="0"/>
        <v>100</v>
      </c>
      <c r="T9" s="451" t="s">
        <v>912</v>
      </c>
      <c r="U9" s="452">
        <f t="shared" si="1"/>
        <v>100</v>
      </c>
      <c r="V9" s="451" t="s">
        <v>912</v>
      </c>
      <c r="W9" s="452">
        <f t="shared" si="2"/>
        <v>100</v>
      </c>
      <c r="X9" s="453"/>
      <c r="Y9" s="3635" t="s">
        <v>918</v>
      </c>
      <c r="Z9" s="471" t="str">
        <f t="shared" ref="Z9:Z14" si="7">Q9</f>
        <v>用途</v>
      </c>
      <c r="AA9" s="470">
        <f t="shared" si="3"/>
        <v>1</v>
      </c>
      <c r="AB9" s="470">
        <f t="shared" si="4"/>
        <v>1</v>
      </c>
      <c r="AC9" s="470">
        <f t="shared" si="5"/>
        <v>1</v>
      </c>
    </row>
    <row r="10" spans="1:29" s="194" customFormat="1" ht="27">
      <c r="A10" s="238"/>
      <c r="B10" s="231" t="s">
        <v>919</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666"/>
      <c r="Q11" s="454">
        <f t="shared" si="6"/>
        <v>111</v>
      </c>
      <c r="R11" s="451" t="s">
        <v>912</v>
      </c>
      <c r="S11" s="452">
        <f t="shared" si="0"/>
        <v>100</v>
      </c>
      <c r="T11" s="451" t="s">
        <v>912</v>
      </c>
      <c r="U11" s="452">
        <f t="shared" si="1"/>
        <v>100</v>
      </c>
      <c r="V11" s="451" t="s">
        <v>912</v>
      </c>
      <c r="W11" s="452">
        <f t="shared" si="2"/>
        <v>100</v>
      </c>
      <c r="X11" s="453"/>
      <c r="Y11" s="3635"/>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256.5">
      <c r="A14" s="251" t="s">
        <v>922</v>
      </c>
      <c r="B14" s="505" t="s">
        <v>229</v>
      </c>
      <c r="C14" s="253" t="str">
        <f>IF(B1="工业",估价对象房地状况!G4,估价对象房地状况!C6)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667" t="s">
        <v>923</v>
      </c>
      <c r="Q14" s="388" t="str">
        <f t="shared" si="6"/>
        <v>交通便捷度</v>
      </c>
      <c r="R14" s="455" t="s">
        <v>912</v>
      </c>
      <c r="S14" s="456">
        <f t="shared" si="0"/>
        <v>100</v>
      </c>
      <c r="T14" s="455" t="s">
        <v>912</v>
      </c>
      <c r="U14" s="456">
        <f t="shared" si="1"/>
        <v>100</v>
      </c>
      <c r="V14" s="455" t="s">
        <v>912</v>
      </c>
      <c r="W14" s="456">
        <f t="shared" si="2"/>
        <v>100</v>
      </c>
      <c r="X14" s="450"/>
      <c r="Y14" s="3667" t="s">
        <v>923</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668"/>
      <c r="Q15" s="388"/>
      <c r="R15" s="455"/>
      <c r="S15" s="456"/>
      <c r="T15" s="455"/>
      <c r="U15" s="456"/>
      <c r="V15" s="455"/>
      <c r="W15" s="456"/>
      <c r="X15" s="450"/>
      <c r="Y15" s="3668"/>
      <c r="Z15" s="449"/>
      <c r="AA15" s="461">
        <v>1</v>
      </c>
      <c r="AB15" s="461">
        <v>1</v>
      </c>
      <c r="AC15" s="461">
        <v>1</v>
      </c>
    </row>
    <row r="16" spans="1:29" ht="270.75">
      <c r="A16" s="219"/>
      <c r="B16" s="264" t="s">
        <v>231</v>
      </c>
      <c r="C16" s="265" t="str">
        <f>IF(B1="工业",估价对象房地状况!G5,估价对象房地状况!C7)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668"/>
      <c r="Q16" s="388" t="str">
        <f>B16</f>
        <v>公共配套设施</v>
      </c>
      <c r="R16" s="455" t="s">
        <v>912</v>
      </c>
      <c r="S16" s="456">
        <f>F16</f>
        <v>100</v>
      </c>
      <c r="T16" s="455" t="s">
        <v>912</v>
      </c>
      <c r="U16" s="456">
        <f>H16</f>
        <v>100</v>
      </c>
      <c r="V16" s="455" t="s">
        <v>912</v>
      </c>
      <c r="W16" s="456">
        <f>J16</f>
        <v>100</v>
      </c>
      <c r="X16" s="450"/>
      <c r="Y16" s="3668"/>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668"/>
      <c r="Q17" s="388"/>
      <c r="R17" s="455"/>
      <c r="S17" s="456"/>
      <c r="T17" s="455"/>
      <c r="U17" s="456"/>
      <c r="V17" s="455"/>
      <c r="W17" s="456"/>
      <c r="X17" s="450"/>
      <c r="Y17" s="3668"/>
      <c r="Z17" s="449"/>
      <c r="AA17" s="461">
        <v>1</v>
      </c>
      <c r="AB17" s="461">
        <v>1</v>
      </c>
      <c r="AC17" s="461">
        <v>1</v>
      </c>
    </row>
    <row r="18" spans="1:29" ht="42.75">
      <c r="A18" s="219"/>
      <c r="B18" s="272" t="s">
        <v>232</v>
      </c>
      <c r="C18" s="265" t="str">
        <f>IF(B1="工业",估价对象房地状况!G6,估价对象房地状况!C8)</f>
        <v>估价对象所在区域基础设施水平-七通</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668"/>
      <c r="Q18" s="388" t="str">
        <f>B18</f>
        <v>基础设施水平</v>
      </c>
      <c r="R18" s="455" t="s">
        <v>912</v>
      </c>
      <c r="S18" s="456">
        <f>F18</f>
        <v>100</v>
      </c>
      <c r="T18" s="455" t="s">
        <v>912</v>
      </c>
      <c r="U18" s="456">
        <f>H18</f>
        <v>100</v>
      </c>
      <c r="V18" s="455" t="s">
        <v>912</v>
      </c>
      <c r="W18" s="456">
        <f>J18</f>
        <v>100</v>
      </c>
      <c r="X18" s="450"/>
      <c r="Y18" s="3668"/>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668"/>
      <c r="Q19" s="388"/>
      <c r="R19" s="455"/>
      <c r="S19" s="456"/>
      <c r="T19" s="455"/>
      <c r="U19" s="456"/>
      <c r="V19" s="455"/>
      <c r="W19" s="456"/>
      <c r="X19" s="450"/>
      <c r="Y19" s="3668"/>
      <c r="Z19" s="449"/>
      <c r="AA19" s="461">
        <v>1</v>
      </c>
      <c r="AB19" s="461">
        <v>1</v>
      </c>
      <c r="AC19" s="461">
        <v>1</v>
      </c>
    </row>
    <row r="20" spans="1:29" ht="185.25">
      <c r="A20" s="219"/>
      <c r="B20" s="507" t="s">
        <v>1049</v>
      </c>
      <c r="C20" s="265" t="str">
        <f>IF(B1="工业",估价对象房地状况!G7,估价对象房地状况!C9)</f>
        <v>估价对象所在海淀区温泉镇周边绿化条件较好，周边2公里内有温泉公园、齐物潭、梅花鹿公园、白家疃公园等绿化设施；辛亥滦州革命先烈纪念园等人文设施，综合考虑自然环境与人文环境较好。</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668"/>
      <c r="Q20" s="388" t="str">
        <f>B20</f>
        <v>自然及人文环境</v>
      </c>
      <c r="R20" s="455" t="s">
        <v>912</v>
      </c>
      <c r="S20" s="456">
        <f>F20</f>
        <v>100</v>
      </c>
      <c r="T20" s="455" t="s">
        <v>912</v>
      </c>
      <c r="U20" s="456">
        <f>H20</f>
        <v>100</v>
      </c>
      <c r="V20" s="455" t="s">
        <v>912</v>
      </c>
      <c r="W20" s="456">
        <f>J20</f>
        <v>100</v>
      </c>
      <c r="X20" s="450"/>
      <c r="Y20" s="3668"/>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668"/>
      <c r="Q21" s="388"/>
      <c r="R21" s="455"/>
      <c r="S21" s="456"/>
      <c r="T21" s="455"/>
      <c r="U21" s="456"/>
      <c r="V21" s="455"/>
      <c r="W21" s="456"/>
      <c r="X21" s="450"/>
      <c r="Y21" s="3668"/>
      <c r="Z21" s="449"/>
      <c r="AA21" s="461">
        <v>1</v>
      </c>
      <c r="AB21" s="461">
        <v>1</v>
      </c>
      <c r="AC21" s="461">
        <v>1</v>
      </c>
    </row>
    <row r="22" spans="1:29" ht="15">
      <c r="A22" s="219"/>
      <c r="B22" s="507" t="s">
        <v>2247</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668"/>
      <c r="Q22" s="388" t="str">
        <f>B22</f>
        <v>楼层</v>
      </c>
      <c r="R22" s="455" t="s">
        <v>912</v>
      </c>
      <c r="S22" s="456">
        <f>F22</f>
        <v>100</v>
      </c>
      <c r="T22" s="455" t="s">
        <v>912</v>
      </c>
      <c r="U22" s="456">
        <f>H22</f>
        <v>100</v>
      </c>
      <c r="V22" s="455" t="s">
        <v>912</v>
      </c>
      <c r="W22" s="456">
        <f>J22</f>
        <v>100</v>
      </c>
      <c r="X22" s="450"/>
      <c r="Y22" s="3668"/>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668"/>
      <c r="Q23" s="388">
        <f>B23</f>
        <v>111</v>
      </c>
      <c r="R23" s="455" t="s">
        <v>912</v>
      </c>
      <c r="S23" s="456">
        <f>F23</f>
        <v>100</v>
      </c>
      <c r="T23" s="455" t="s">
        <v>912</v>
      </c>
      <c r="U23" s="456">
        <f>H23</f>
        <v>100</v>
      </c>
      <c r="V23" s="455" t="s">
        <v>912</v>
      </c>
      <c r="W23" s="456">
        <f>J23</f>
        <v>100</v>
      </c>
      <c r="X23" s="450"/>
      <c r="Y23" s="3668"/>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668"/>
      <c r="Q24" s="388">
        <f t="shared" ref="Q24:Q36" si="11">B24</f>
        <v>111</v>
      </c>
      <c r="R24" s="455" t="s">
        <v>912</v>
      </c>
      <c r="S24" s="456">
        <f>F24</f>
        <v>100</v>
      </c>
      <c r="T24" s="455" t="s">
        <v>912</v>
      </c>
      <c r="U24" s="456">
        <f>H24</f>
        <v>100</v>
      </c>
      <c r="V24" s="455" t="s">
        <v>912</v>
      </c>
      <c r="W24" s="456">
        <f>J24</f>
        <v>100</v>
      </c>
      <c r="X24" s="450"/>
      <c r="Y24" s="3668"/>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668"/>
      <c r="Q25" s="454">
        <f t="shared" si="11"/>
        <v>111</v>
      </c>
      <c r="R25" s="451" t="s">
        <v>912</v>
      </c>
      <c r="S25" s="452">
        <f>F25</f>
        <v>100</v>
      </c>
      <c r="T25" s="451" t="s">
        <v>912</v>
      </c>
      <c r="U25" s="452">
        <f>H25</f>
        <v>100</v>
      </c>
      <c r="V25" s="451" t="s">
        <v>912</v>
      </c>
      <c r="W25" s="452">
        <f>J25</f>
        <v>100</v>
      </c>
      <c r="X25" s="453"/>
      <c r="Y25" s="3668"/>
      <c r="Z25" s="471">
        <f>Q25</f>
        <v>111</v>
      </c>
      <c r="AA25" s="461">
        <f t="shared" si="3"/>
        <v>1</v>
      </c>
      <c r="AB25" s="461">
        <f t="shared" si="4"/>
        <v>1</v>
      </c>
      <c r="AC25" s="461">
        <f t="shared" si="5"/>
        <v>1</v>
      </c>
    </row>
    <row r="26" spans="1:29" ht="15">
      <c r="A26" s="286" t="s">
        <v>928</v>
      </c>
      <c r="B26" s="514" t="s">
        <v>2261</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669" t="s">
        <v>927</v>
      </c>
      <c r="Q26" s="388" t="str">
        <f t="shared" si="11"/>
        <v>配套类型</v>
      </c>
      <c r="R26" s="455" t="s">
        <v>912</v>
      </c>
      <c r="S26" s="456">
        <f t="shared" ref="S26:S36" si="12">F26</f>
        <v>100</v>
      </c>
      <c r="T26" s="455" t="s">
        <v>912</v>
      </c>
      <c r="U26" s="456">
        <f t="shared" ref="U26:U36" si="13">H26</f>
        <v>100</v>
      </c>
      <c r="V26" s="455" t="s">
        <v>912</v>
      </c>
      <c r="W26" s="456">
        <f t="shared" ref="W26:W36" si="14">J26</f>
        <v>100</v>
      </c>
      <c r="X26" s="450"/>
      <c r="Y26" s="3670" t="s">
        <v>927</v>
      </c>
      <c r="Z26" s="449" t="str">
        <f t="shared" ref="Z26:Z36" si="15">Q26</f>
        <v>配套类型</v>
      </c>
      <c r="AA26" s="461">
        <f t="shared" si="3"/>
        <v>1</v>
      </c>
      <c r="AB26" s="461">
        <f t="shared" si="4"/>
        <v>1</v>
      </c>
      <c r="AC26" s="461">
        <f t="shared" si="5"/>
        <v>1</v>
      </c>
    </row>
    <row r="27" spans="1:29" s="195" customFormat="1" ht="15">
      <c r="A27" s="516"/>
      <c r="B27" s="517" t="s">
        <v>2262</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670"/>
      <c r="Q27" s="457" t="str">
        <f t="shared" si="11"/>
        <v>项目停车位配比</v>
      </c>
      <c r="R27" s="458" t="s">
        <v>912</v>
      </c>
      <c r="S27" s="459">
        <f t="shared" si="12"/>
        <v>100</v>
      </c>
      <c r="T27" s="458" t="s">
        <v>912</v>
      </c>
      <c r="U27" s="459">
        <f t="shared" si="13"/>
        <v>100</v>
      </c>
      <c r="V27" s="458" t="s">
        <v>912</v>
      </c>
      <c r="W27" s="459">
        <f t="shared" si="14"/>
        <v>100</v>
      </c>
      <c r="X27" s="460"/>
      <c r="Y27" s="3670"/>
      <c r="Z27" s="472" t="str">
        <f t="shared" si="15"/>
        <v>项目停车位配比</v>
      </c>
      <c r="AA27" s="461">
        <f t="shared" si="3"/>
        <v>1</v>
      </c>
      <c r="AB27" s="461">
        <f t="shared" si="4"/>
        <v>1</v>
      </c>
      <c r="AC27" s="461">
        <f t="shared" si="5"/>
        <v>1</v>
      </c>
    </row>
    <row r="28" spans="1:29" ht="15">
      <c r="A28" s="519"/>
      <c r="B28" s="517" t="s">
        <v>1057</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670"/>
      <c r="Q28" s="388" t="str">
        <f t="shared" si="11"/>
        <v>公共部分装修</v>
      </c>
      <c r="R28" s="455" t="s">
        <v>912</v>
      </c>
      <c r="S28" s="456">
        <f t="shared" si="12"/>
        <v>100</v>
      </c>
      <c r="T28" s="455" t="s">
        <v>912</v>
      </c>
      <c r="U28" s="456">
        <f t="shared" si="13"/>
        <v>100</v>
      </c>
      <c r="V28" s="455" t="s">
        <v>912</v>
      </c>
      <c r="W28" s="456">
        <f t="shared" si="14"/>
        <v>100</v>
      </c>
      <c r="X28" s="450"/>
      <c r="Y28" s="3670"/>
      <c r="Z28" s="449" t="str">
        <f t="shared" si="15"/>
        <v>公共部分装修</v>
      </c>
      <c r="AA28" s="461">
        <f t="shared" si="3"/>
        <v>1</v>
      </c>
      <c r="AB28" s="461">
        <f t="shared" si="4"/>
        <v>1</v>
      </c>
      <c r="AC28" s="461">
        <f t="shared" si="5"/>
        <v>1</v>
      </c>
    </row>
    <row r="29" spans="1:29" ht="15">
      <c r="A29" s="519"/>
      <c r="B29" s="517" t="s">
        <v>2263</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670"/>
      <c r="Q29" s="388" t="str">
        <f t="shared" si="11"/>
        <v>成新率</v>
      </c>
      <c r="R29" s="455" t="s">
        <v>912</v>
      </c>
      <c r="S29" s="456" t="e">
        <f t="shared" si="12"/>
        <v>#N/A</v>
      </c>
      <c r="T29" s="455" t="s">
        <v>912</v>
      </c>
      <c r="U29" s="456" t="e">
        <f t="shared" si="13"/>
        <v>#N/A</v>
      </c>
      <c r="V29" s="455" t="s">
        <v>912</v>
      </c>
      <c r="W29" s="456" t="e">
        <f t="shared" si="14"/>
        <v>#N/A</v>
      </c>
      <c r="X29" s="450"/>
      <c r="Y29" s="3670"/>
      <c r="Z29" s="449" t="str">
        <f t="shared" si="15"/>
        <v>成新率</v>
      </c>
      <c r="AA29" s="461" t="e">
        <f t="shared" si="3"/>
        <v>#N/A</v>
      </c>
      <c r="AB29" s="461" t="e">
        <f t="shared" si="4"/>
        <v>#N/A</v>
      </c>
      <c r="AC29" s="461" t="e">
        <f t="shared" si="5"/>
        <v>#N/A</v>
      </c>
    </row>
    <row r="30" spans="1:29" ht="15">
      <c r="A30" s="519"/>
      <c r="B30" s="517" t="s">
        <v>2264</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670"/>
      <c r="Q30" s="388" t="str">
        <f t="shared" si="11"/>
        <v>物业等级</v>
      </c>
      <c r="R30" s="455" t="s">
        <v>912</v>
      </c>
      <c r="S30" s="456">
        <f t="shared" si="12"/>
        <v>100</v>
      </c>
      <c r="T30" s="455" t="s">
        <v>912</v>
      </c>
      <c r="U30" s="456">
        <f t="shared" si="13"/>
        <v>100</v>
      </c>
      <c r="V30" s="455" t="s">
        <v>912</v>
      </c>
      <c r="W30" s="456">
        <f t="shared" si="14"/>
        <v>100</v>
      </c>
      <c r="X30" s="450"/>
      <c r="Y30" s="3670"/>
      <c r="Z30" s="449" t="str">
        <f t="shared" si="15"/>
        <v>物业等级</v>
      </c>
      <c r="AA30" s="461">
        <f t="shared" si="3"/>
        <v>1</v>
      </c>
      <c r="AB30" s="461">
        <f t="shared" si="4"/>
        <v>1</v>
      </c>
      <c r="AC30" s="461">
        <f t="shared" si="5"/>
        <v>1</v>
      </c>
    </row>
    <row r="31" spans="1:29" s="193" customFormat="1" ht="15">
      <c r="A31" s="520"/>
      <c r="B31" s="517" t="s">
        <v>2265</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670"/>
      <c r="Q31" s="454" t="str">
        <f t="shared" si="11"/>
        <v>停车位面积</v>
      </c>
      <c r="R31" s="451" t="s">
        <v>912</v>
      </c>
      <c r="S31" s="452" t="e">
        <f t="shared" si="12"/>
        <v>#N/A</v>
      </c>
      <c r="T31" s="451" t="s">
        <v>912</v>
      </c>
      <c r="U31" s="452" t="e">
        <f t="shared" si="13"/>
        <v>#N/A</v>
      </c>
      <c r="V31" s="451" t="s">
        <v>912</v>
      </c>
      <c r="W31" s="452" t="e">
        <f t="shared" si="14"/>
        <v>#N/A</v>
      </c>
      <c r="X31" s="453"/>
      <c r="Y31" s="3670"/>
      <c r="Z31" s="471" t="str">
        <f t="shared" si="15"/>
        <v>停车位面积</v>
      </c>
      <c r="AA31" s="470" t="e">
        <f t="shared" si="3"/>
        <v>#N/A</v>
      </c>
      <c r="AB31" s="470" t="e">
        <f t="shared" si="4"/>
        <v>#N/A</v>
      </c>
      <c r="AC31" s="470" t="e">
        <f t="shared" si="5"/>
        <v>#N/A</v>
      </c>
    </row>
    <row r="32" spans="1:29" ht="15">
      <c r="A32" s="519"/>
      <c r="B32" s="517" t="s">
        <v>2266</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670" t="s">
        <v>927</v>
      </c>
      <c r="Q32" s="388" t="str">
        <f t="shared" si="11"/>
        <v>车位类型</v>
      </c>
      <c r="R32" s="455" t="s">
        <v>912</v>
      </c>
      <c r="S32" s="456">
        <f t="shared" si="12"/>
        <v>100</v>
      </c>
      <c r="T32" s="455" t="s">
        <v>912</v>
      </c>
      <c r="U32" s="456">
        <f t="shared" si="13"/>
        <v>100</v>
      </c>
      <c r="V32" s="455" t="s">
        <v>912</v>
      </c>
      <c r="W32" s="456">
        <f t="shared" si="14"/>
        <v>100</v>
      </c>
      <c r="X32" s="450"/>
      <c r="Y32" s="3670" t="s">
        <v>927</v>
      </c>
      <c r="Z32" s="449" t="str">
        <f t="shared" si="15"/>
        <v>车位类型</v>
      </c>
      <c r="AA32" s="461">
        <f t="shared" si="3"/>
        <v>1</v>
      </c>
      <c r="AB32" s="461">
        <f t="shared" si="4"/>
        <v>1</v>
      </c>
      <c r="AC32" s="461">
        <f t="shared" si="5"/>
        <v>1</v>
      </c>
    </row>
    <row r="33" spans="1:29" ht="15">
      <c r="A33" s="519"/>
      <c r="B33" s="517" t="s">
        <v>2267</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670"/>
      <c r="Q33" s="388" t="str">
        <f t="shared" si="11"/>
        <v>是否直接入户</v>
      </c>
      <c r="R33" s="455" t="s">
        <v>912</v>
      </c>
      <c r="S33" s="456">
        <f t="shared" si="12"/>
        <v>100</v>
      </c>
      <c r="T33" s="455" t="s">
        <v>912</v>
      </c>
      <c r="U33" s="456">
        <f t="shared" si="13"/>
        <v>100</v>
      </c>
      <c r="V33" s="455" t="s">
        <v>912</v>
      </c>
      <c r="W33" s="456">
        <f t="shared" si="14"/>
        <v>100</v>
      </c>
      <c r="X33" s="450"/>
      <c r="Y33" s="3670"/>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670"/>
      <c r="Q34" s="388">
        <f t="shared" si="11"/>
        <v>111</v>
      </c>
      <c r="R34" s="455" t="s">
        <v>912</v>
      </c>
      <c r="S34" s="456">
        <f t="shared" si="12"/>
        <v>100</v>
      </c>
      <c r="T34" s="455" t="s">
        <v>912</v>
      </c>
      <c r="U34" s="456">
        <f t="shared" si="13"/>
        <v>100</v>
      </c>
      <c r="V34" s="455" t="s">
        <v>912</v>
      </c>
      <c r="W34" s="456">
        <f t="shared" si="14"/>
        <v>100</v>
      </c>
      <c r="X34" s="450"/>
      <c r="Y34" s="3670"/>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670"/>
      <c r="Q35" s="457">
        <f t="shared" si="11"/>
        <v>111</v>
      </c>
      <c r="R35" s="458" t="s">
        <v>912</v>
      </c>
      <c r="S35" s="459">
        <f t="shared" si="12"/>
        <v>100</v>
      </c>
      <c r="T35" s="458" t="s">
        <v>912</v>
      </c>
      <c r="U35" s="459">
        <f t="shared" si="13"/>
        <v>100</v>
      </c>
      <c r="V35" s="458" t="s">
        <v>912</v>
      </c>
      <c r="W35" s="459">
        <f t="shared" si="14"/>
        <v>100</v>
      </c>
      <c r="X35" s="460"/>
      <c r="Y35" s="3670"/>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670"/>
      <c r="Q36" s="388">
        <f t="shared" si="11"/>
        <v>111</v>
      </c>
      <c r="R36" s="455" t="s">
        <v>912</v>
      </c>
      <c r="S36" s="456">
        <f t="shared" si="12"/>
        <v>100</v>
      </c>
      <c r="T36" s="455" t="s">
        <v>912</v>
      </c>
      <c r="U36" s="456">
        <f t="shared" si="13"/>
        <v>100</v>
      </c>
      <c r="V36" s="455" t="s">
        <v>912</v>
      </c>
      <c r="W36" s="456">
        <f t="shared" si="14"/>
        <v>100</v>
      </c>
      <c r="X36" s="450"/>
      <c r="Y36" s="3670"/>
      <c r="Z36" s="449">
        <f t="shared" si="15"/>
        <v>111</v>
      </c>
      <c r="AA36" s="461">
        <f t="shared" si="3"/>
        <v>1</v>
      </c>
      <c r="AB36" s="461">
        <f t="shared" si="4"/>
        <v>1</v>
      </c>
      <c r="AC36" s="461">
        <f t="shared" si="5"/>
        <v>1</v>
      </c>
    </row>
    <row r="37" spans="1:29" ht="15">
      <c r="A37" s="522" t="s">
        <v>2268</v>
      </c>
      <c r="B37" s="523" t="s">
        <v>1142</v>
      </c>
      <c r="C37" s="308" t="s">
        <v>138</v>
      </c>
      <c r="D37" s="309"/>
      <c r="E37" s="310"/>
      <c r="F37" s="311"/>
      <c r="G37" s="312"/>
      <c r="H37" s="313"/>
      <c r="I37" s="310"/>
      <c r="J37" s="313"/>
      <c r="K37" s="402"/>
      <c r="L37" s="403"/>
      <c r="M37" s="334"/>
      <c r="N37" s="383"/>
      <c r="O37" s="334"/>
      <c r="P37" s="3666" t="str">
        <f>A37</f>
        <v>成交单价</v>
      </c>
      <c r="Q37" s="3666"/>
      <c r="R37" s="3772">
        <f>E37</f>
        <v>0</v>
      </c>
      <c r="S37" s="3772"/>
      <c r="T37" s="3772">
        <f>G37</f>
        <v>0</v>
      </c>
      <c r="U37" s="3772"/>
      <c r="V37" s="3772">
        <f>I37</f>
        <v>0</v>
      </c>
      <c r="W37" s="3772"/>
      <c r="X37" s="336"/>
      <c r="Y37" s="473"/>
      <c r="Z37" s="336"/>
      <c r="AA37" s="336"/>
      <c r="AB37" s="336"/>
      <c r="AC37" s="336"/>
    </row>
    <row r="38" spans="1:29" ht="15">
      <c r="A38" s="314" t="s">
        <v>936</v>
      </c>
      <c r="B38" s="315"/>
      <c r="C38" s="316" t="e">
        <f>R39</f>
        <v>#DIV/0!</v>
      </c>
      <c r="D38" s="317" t="s">
        <v>937</v>
      </c>
      <c r="E38" s="318" t="e">
        <f>R38</f>
        <v>#DIV/0!</v>
      </c>
      <c r="F38" s="319"/>
      <c r="G38" s="316" t="e">
        <f>T38</f>
        <v>#DIV/0!</v>
      </c>
      <c r="H38" s="319"/>
      <c r="I38" s="318" t="e">
        <f>V38</f>
        <v>#DIV/0!</v>
      </c>
      <c r="J38" s="319"/>
      <c r="K38" s="404">
        <f>F38+H38+J38</f>
        <v>0</v>
      </c>
      <c r="L38" s="403"/>
      <c r="M38" s="334"/>
      <c r="N38" s="334"/>
      <c r="O38" s="334"/>
      <c r="P38" s="3666" t="str">
        <f>A38</f>
        <v>比较价格（元/平方米）</v>
      </c>
      <c r="Q38" s="3666"/>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336"/>
      <c r="Y38" s="336"/>
      <c r="Z38" s="336"/>
      <c r="AA38" s="336"/>
      <c r="AB38" s="336"/>
      <c r="AC38" s="336"/>
    </row>
    <row r="39" spans="1:29" ht="15">
      <c r="A39" s="320" t="s">
        <v>938</v>
      </c>
      <c r="B39" s="321"/>
      <c r="C39" s="322" t="e">
        <f>R39</f>
        <v>#DIV/0!</v>
      </c>
      <c r="D39" s="322"/>
      <c r="E39" s="322"/>
      <c r="F39" s="322"/>
      <c r="G39" s="322"/>
      <c r="H39" s="322"/>
      <c r="I39" s="322"/>
      <c r="J39" s="322"/>
      <c r="K39" s="405"/>
      <c r="L39" s="403"/>
      <c r="M39" s="334"/>
      <c r="N39" s="334"/>
      <c r="O39" s="334"/>
      <c r="P39" s="3676" t="str">
        <f>A39</f>
        <v>估价对象XX用房的比较价格（楼面单价，元/平方米）</v>
      </c>
      <c r="Q39" s="3677"/>
      <c r="R39" s="3773" t="e">
        <f>IF(F1="售价",ROUND(IF(D38="简单平均",AVERAGE(R38:W38),R38*F38+T38*H38+V38*J38),0),ROUND(IF(D38="简单平均",AVERAGE(R38:V38),R38*F38+T38*H38+V38*J38),1))</f>
        <v>#DIV/0!</v>
      </c>
      <c r="S39" s="3773"/>
      <c r="T39" s="3773"/>
      <c r="U39" s="3773"/>
      <c r="V39" s="3773"/>
      <c r="W39" s="3773"/>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939</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940</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941</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963</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910</v>
      </c>
      <c r="B48" s="340"/>
      <c r="C48" s="341" t="str">
        <f>YEAR(C7)&amp;"-"&amp;MONTH(C7)</f>
        <v>2021-10</v>
      </c>
      <c r="D48" s="342">
        <f>EDATE(C48,-1)</f>
        <v>44440</v>
      </c>
      <c r="E48" s="342">
        <f t="shared" ref="E48:O48" si="16">EDATE(D48,-1)</f>
        <v>44409</v>
      </c>
      <c r="F48" s="342">
        <f t="shared" si="16"/>
        <v>44378</v>
      </c>
      <c r="G48" s="342">
        <f t="shared" si="16"/>
        <v>44348</v>
      </c>
      <c r="H48" s="342">
        <f t="shared" si="16"/>
        <v>44317</v>
      </c>
      <c r="I48" s="342">
        <f t="shared" si="16"/>
        <v>44287</v>
      </c>
      <c r="J48" s="342">
        <f t="shared" si="16"/>
        <v>44256</v>
      </c>
      <c r="K48" s="342">
        <f t="shared" si="16"/>
        <v>44228</v>
      </c>
      <c r="L48" s="342">
        <f t="shared" si="16"/>
        <v>44197</v>
      </c>
      <c r="M48" s="342">
        <f t="shared" si="16"/>
        <v>44166</v>
      </c>
      <c r="N48" s="342">
        <f t="shared" si="16"/>
        <v>44136</v>
      </c>
      <c r="O48" s="342">
        <f t="shared" si="16"/>
        <v>44105</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1065</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913</v>
      </c>
      <c r="B51" s="344"/>
      <c r="C51" s="352" t="s">
        <v>914</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967</v>
      </c>
      <c r="B53" s="355" t="s">
        <v>968</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969</v>
      </c>
      <c r="C55" s="362" t="s">
        <v>1066</v>
      </c>
      <c r="D55" s="362" t="s">
        <v>1067</v>
      </c>
      <c r="E55" s="362" t="s">
        <v>1068</v>
      </c>
      <c r="F55" s="362" t="s">
        <v>1069</v>
      </c>
      <c r="G55" s="362" t="s">
        <v>1070</v>
      </c>
      <c r="H55" s="362" t="s">
        <v>1071</v>
      </c>
      <c r="I55" s="362" t="s">
        <v>1072</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962</v>
      </c>
      <c r="D56" s="364" t="s">
        <v>962</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971</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1049</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2247</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976</v>
      </c>
      <c r="B79" s="355" t="s">
        <v>2269</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2262</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1057</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2263</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2264</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2265</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2266</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2267</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1" type="noConversion"/>
  <conditionalFormatting sqref="F38">
    <cfRule type="expression" dxfId="35" priority="4">
      <formula>$D$38="简单平均"</formula>
    </cfRule>
  </conditionalFormatting>
  <conditionalFormatting sqref="H38">
    <cfRule type="expression" dxfId="34" priority="3">
      <formula>$D$38="简单平均"</formula>
    </cfRule>
  </conditionalFormatting>
  <conditionalFormatting sqref="J38">
    <cfRule type="expression" dxfId="33" priority="2">
      <formula>$D$38="简单平均"</formula>
    </cfRule>
  </conditionalFormatting>
  <conditionalFormatting sqref="E42">
    <cfRule type="expression" dxfId="32" priority="13" stopIfTrue="1">
      <formula>$F$42="超过30%"</formula>
    </cfRule>
  </conditionalFormatting>
  <conditionalFormatting sqref="G42">
    <cfRule type="expression" dxfId="31" priority="9" stopIfTrue="1">
      <formula>$H$52+$H$42="超过30%"</formula>
    </cfRule>
  </conditionalFormatting>
  <conditionalFormatting sqref="I42">
    <cfRule type="expression" dxfId="30" priority="7" stopIfTrue="1">
      <formula>$J$52+$J$42="超过30%"</formula>
    </cfRule>
  </conditionalFormatting>
  <conditionalFormatting sqref="E43">
    <cfRule type="expression" dxfId="29" priority="11" stopIfTrue="1">
      <formula>$F$43="超过20%"</formula>
    </cfRule>
  </conditionalFormatting>
  <conditionalFormatting sqref="G43">
    <cfRule type="expression" dxfId="28" priority="8" stopIfTrue="1">
      <formula>$H$43="超过20%"</formula>
    </cfRule>
  </conditionalFormatting>
  <conditionalFormatting sqref="I43">
    <cfRule type="expression" dxfId="27" priority="6" stopIfTrue="1">
      <formula>$J$53+$J$43="超过20%"</formula>
    </cfRule>
  </conditionalFormatting>
  <conditionalFormatting sqref="E44">
    <cfRule type="expression" dxfId="26" priority="10" stopIfTrue="1">
      <formula>$F$44="超过30%"</formula>
    </cfRule>
  </conditionalFormatting>
  <conditionalFormatting sqref="F44">
    <cfRule type="containsText" dxfId="25" priority="15" stopIfTrue="1" operator="containsText" text="超过">
      <formula>NOT(ISERROR(SEARCH("超过",F44)))</formula>
    </cfRule>
  </conditionalFormatting>
  <conditionalFormatting sqref="G44">
    <cfRule type="expression" dxfId="24" priority="12" stopIfTrue="1">
      <formula>$H$54+$H$44="超过30%"</formula>
    </cfRule>
  </conditionalFormatting>
  <conditionalFormatting sqref="H44">
    <cfRule type="containsText" dxfId="23" priority="16" stopIfTrue="1" operator="containsText" text="超过">
      <formula>NOT(ISERROR(SEARCH("超过",H44)))</formula>
    </cfRule>
  </conditionalFormatting>
  <conditionalFormatting sqref="I44">
    <cfRule type="expression" dxfId="22" priority="5" stopIfTrue="1">
      <formula>$J$44="超过30%"</formula>
    </cfRule>
  </conditionalFormatting>
  <conditionalFormatting sqref="J44">
    <cfRule type="containsText" dxfId="21" priority="17" stopIfTrue="1" operator="containsText" text="超过">
      <formula>NOT(ISERROR(SEARCH("超过",J44)))</formula>
    </cfRule>
  </conditionalFormatting>
  <conditionalFormatting sqref="F7:F36 H7:H36 J7:J36">
    <cfRule type="cellIs" dxfId="20" priority="1" operator="notEqual">
      <formula>100</formula>
    </cfRule>
  </conditionalFormatting>
  <conditionalFormatting sqref="F42 H42 J42">
    <cfRule type="containsText" dxfId="19" priority="18" stopIfTrue="1" operator="containsText" text="超过">
      <formula>NOT(ISERROR(SEARCH("超过",F42)))</formula>
    </cfRule>
  </conditionalFormatting>
  <conditionalFormatting sqref="F43 H43 J43">
    <cfRule type="containsText" dxfId="18" priority="14" stopIfTrue="1" operator="containsText" text="超过">
      <formula>NOT(ISERROR(SEARCH("超过",F43)))</formula>
    </cfRule>
  </conditionalFormatting>
  <dataValidations count="18">
    <dataValidation type="list" allowBlank="1" showInputMessage="1" showErrorMessage="1" sqref="B1" xr:uid="{00000000-0002-0000-2500-000000000000}">
      <formula1>地类判定</formula1>
    </dataValidation>
    <dataValidation type="list" allowBlank="1" showInputMessage="1" showErrorMessage="1" sqref="C10 E10 G10 I10" xr:uid="{00000000-0002-0000-2500-000001000000}">
      <formula1>土地年限区间</formula1>
    </dataValidation>
    <dataValidation type="list" allowBlank="1" showInputMessage="1" showErrorMessage="1" sqref="D1" xr:uid="{00000000-0002-0000-2500-000002000000}">
      <formula1>项目类型</formula1>
    </dataValidation>
    <dataValidation type="list" allowBlank="1" showInputMessage="1" showErrorMessage="1" sqref="C32 E32 G32 I32" xr:uid="{00000000-0002-0000-2500-000003000000}">
      <formula1>车位类型</formula1>
    </dataValidation>
    <dataValidation type="list" allowBlank="1" showInputMessage="1" showErrorMessage="1" sqref="F1" xr:uid="{00000000-0002-0000-2500-000004000000}">
      <formula1>"售价,租金"</formula1>
    </dataValidation>
    <dataValidation type="list" allowBlank="1" showInputMessage="1" showErrorMessage="1" sqref="C15 E15 G15 I15" xr:uid="{00000000-0002-0000-2500-000005000000}">
      <formula1>交通便捷度</formula1>
    </dataValidation>
    <dataValidation type="list" allowBlank="1" showInputMessage="1" showErrorMessage="1" sqref="C8 E8 G8 I8" xr:uid="{00000000-0002-0000-2500-000006000000}">
      <formula1>车位交易情况</formula1>
    </dataValidation>
    <dataValidation type="list" allowBlank="1" showInputMessage="1" showErrorMessage="1" sqref="E9 G9 I9" xr:uid="{00000000-0002-0000-2500-000007000000}">
      <formula1>车位用途</formula1>
    </dataValidation>
    <dataValidation type="list" allowBlank="1" showInputMessage="1" showErrorMessage="1" sqref="C17 E17 G17 I17" xr:uid="{00000000-0002-0000-2500-000008000000}">
      <formula1>公共配套设施</formula1>
    </dataValidation>
    <dataValidation type="list" allowBlank="1" showInputMessage="1" showErrorMessage="1" sqref="C30 E30 G30 I30" xr:uid="{00000000-0002-0000-2500-000009000000}">
      <formula1>车位物业等级</formula1>
    </dataValidation>
    <dataValidation type="list" allowBlank="1" showInputMessage="1" showErrorMessage="1" sqref="C19 E19 G19 I19" xr:uid="{00000000-0002-0000-2500-00000A000000}">
      <formula1>基础设施水平</formula1>
    </dataValidation>
    <dataValidation type="list" allowBlank="1" showInputMessage="1" showErrorMessage="1" sqref="C21 E21 G21 I21" xr:uid="{00000000-0002-0000-2500-00000B000000}">
      <formula1>环境</formula1>
    </dataValidation>
    <dataValidation type="list" allowBlank="1" showInputMessage="1" showErrorMessage="1" sqref="C22 E22 G22 I22" xr:uid="{00000000-0002-0000-2500-00000C000000}">
      <formula1>车位楼层</formula1>
    </dataValidation>
    <dataValidation type="list" allowBlank="1" showInputMessage="1" showErrorMessage="1" sqref="E26 G26 I26" xr:uid="{00000000-0002-0000-2500-00000D000000}">
      <formula1>车位配套类型</formula1>
    </dataValidation>
    <dataValidation type="list" allowBlank="1" showInputMessage="1" showErrorMessage="1" sqref="C28 E28 G28 I28" xr:uid="{00000000-0002-0000-2500-00000E000000}">
      <formula1>车位公共部分装修</formula1>
    </dataValidation>
    <dataValidation type="list" allowBlank="1" showInputMessage="1" showErrorMessage="1" sqref="C33 E33 G33 I33" xr:uid="{00000000-0002-0000-2500-00000F000000}">
      <formula1>是否直接入户</formula1>
    </dataValidation>
    <dataValidation type="list" allowBlank="1" showInputMessage="1" showErrorMessage="1" sqref="B37" xr:uid="{00000000-0002-0000-2500-000010000000}">
      <formula1>"元/平方米,元/车位"</formula1>
    </dataValidation>
    <dataValidation type="list" allowBlank="1" showInputMessage="1" showErrorMessage="1" sqref="D38" xr:uid="{00000000-0002-0000-25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W502" sqref="W5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1040</v>
      </c>
      <c r="B1" s="202"/>
      <c r="C1" s="203" t="s">
        <v>1042</v>
      </c>
      <c r="D1" s="204"/>
      <c r="E1" s="205"/>
      <c r="F1" s="206"/>
      <c r="G1" s="207" t="s">
        <v>1044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893</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1045</v>
      </c>
      <c r="B3" s="214" t="e">
        <f>C37</f>
        <v>#DIV/0!</v>
      </c>
      <c r="C3" s="215" t="s">
        <v>1046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897</v>
      </c>
      <c r="B4" s="218"/>
      <c r="C4" s="3686" t="s">
        <v>898</v>
      </c>
      <c r="D4" s="3687"/>
      <c r="E4" s="3777" t="s">
        <v>899</v>
      </c>
      <c r="F4" s="3778"/>
      <c r="G4" s="3686" t="s">
        <v>900</v>
      </c>
      <c r="H4" s="3687"/>
      <c r="I4" s="3686" t="s">
        <v>901</v>
      </c>
      <c r="J4" s="3687"/>
      <c r="K4" s="381" t="s">
        <v>902</v>
      </c>
      <c r="L4" s="382"/>
      <c r="M4" s="383"/>
      <c r="N4" s="383"/>
      <c r="O4" s="383"/>
      <c r="P4" s="3652" t="s">
        <v>903</v>
      </c>
      <c r="Q4" s="3653"/>
      <c r="R4" s="3658" t="s">
        <v>899</v>
      </c>
      <c r="S4" s="3659"/>
      <c r="T4" s="3658" t="s">
        <v>900</v>
      </c>
      <c r="U4" s="3659"/>
      <c r="V4" s="3664" t="s">
        <v>901</v>
      </c>
      <c r="W4" s="3664"/>
      <c r="X4" s="450"/>
      <c r="Y4" s="3658" t="s">
        <v>903</v>
      </c>
      <c r="Z4" s="3659"/>
      <c r="AA4" s="3649" t="s">
        <v>899</v>
      </c>
      <c r="AB4" s="3650" t="s">
        <v>900</v>
      </c>
      <c r="AC4" s="3649" t="s">
        <v>901</v>
      </c>
    </row>
    <row r="5" spans="1:29" ht="15">
      <c r="A5" s="219"/>
      <c r="B5" s="220"/>
      <c r="C5" s="3688" t="s">
        <v>904</v>
      </c>
      <c r="D5" s="3689"/>
      <c r="E5" s="3788" t="s">
        <v>905</v>
      </c>
      <c r="F5" s="3780"/>
      <c r="G5" s="3688" t="s">
        <v>906</v>
      </c>
      <c r="H5" s="3689"/>
      <c r="I5" s="3688" t="s">
        <v>907</v>
      </c>
      <c r="J5" s="3689"/>
      <c r="K5" s="381"/>
      <c r="L5" s="382"/>
      <c r="M5" s="383"/>
      <c r="N5" s="383"/>
      <c r="O5" s="383"/>
      <c r="P5" s="3654"/>
      <c r="Q5" s="3655"/>
      <c r="R5" s="3660"/>
      <c r="S5" s="3661"/>
      <c r="T5" s="3660"/>
      <c r="U5" s="3661"/>
      <c r="V5" s="3664"/>
      <c r="W5" s="3664"/>
      <c r="X5" s="450"/>
      <c r="Y5" s="3660"/>
      <c r="Z5" s="3661"/>
      <c r="AA5" s="3650"/>
      <c r="AB5" s="3650"/>
      <c r="AC5" s="3650"/>
    </row>
    <row r="6" spans="1:29" ht="15">
      <c r="A6" s="221"/>
      <c r="B6" s="222"/>
      <c r="C6" s="3683" t="s">
        <v>908</v>
      </c>
      <c r="D6" s="3684"/>
      <c r="E6" s="3775" t="s">
        <v>908</v>
      </c>
      <c r="F6" s="3776"/>
      <c r="G6" s="3683" t="s">
        <v>908</v>
      </c>
      <c r="H6" s="3684"/>
      <c r="I6" s="3683" t="s">
        <v>908</v>
      </c>
      <c r="J6" s="3684"/>
      <c r="K6" s="381" t="s">
        <v>909</v>
      </c>
      <c r="L6" s="382"/>
      <c r="M6" s="383"/>
      <c r="N6" s="383"/>
      <c r="O6" s="383"/>
      <c r="P6" s="3656"/>
      <c r="Q6" s="3657"/>
      <c r="R6" s="3660"/>
      <c r="S6" s="3661"/>
      <c r="T6" s="3662"/>
      <c r="U6" s="3663"/>
      <c r="V6" s="3664"/>
      <c r="W6" s="3664"/>
      <c r="X6" s="450"/>
      <c r="Y6" s="3662"/>
      <c r="Z6" s="3663"/>
      <c r="AA6" s="3651"/>
      <c r="AB6" s="3651"/>
      <c r="AC6" s="3651"/>
    </row>
    <row r="7" spans="1:29" s="193" customFormat="1" ht="15">
      <c r="A7" s="223"/>
      <c r="B7" s="224" t="s">
        <v>910</v>
      </c>
      <c r="C7" s="225">
        <f>'数据-取费表'!B2</f>
        <v>44484</v>
      </c>
      <c r="D7" s="226">
        <v>100</v>
      </c>
      <c r="E7" s="227"/>
      <c r="F7" s="228">
        <f>SUMIF(46:46,YEAR(E7)&amp;"-"&amp;MONTH(E7),47:47)</f>
        <v>0</v>
      </c>
      <c r="G7" s="229"/>
      <c r="H7" s="226">
        <f>SUMIF(46:46,YEAR(G7)&amp;"-"&amp;MONTH(G7),47:47)</f>
        <v>0</v>
      </c>
      <c r="I7" s="229"/>
      <c r="J7" s="226">
        <f>SUMIF(46:46,YEAR(I7)&amp;"-"&amp;MONTH(I7),47:47)</f>
        <v>0</v>
      </c>
      <c r="K7" s="384"/>
      <c r="L7" s="385"/>
      <c r="M7" s="386"/>
      <c r="N7" s="386"/>
      <c r="O7" s="386"/>
      <c r="P7" s="3679" t="s">
        <v>911</v>
      </c>
      <c r="Q7" s="3685"/>
      <c r="R7" s="451" t="s">
        <v>912</v>
      </c>
      <c r="S7" s="452">
        <f t="shared" ref="S7:S14" si="0">F7</f>
        <v>0</v>
      </c>
      <c r="T7" s="451" t="s">
        <v>912</v>
      </c>
      <c r="U7" s="452">
        <f t="shared" ref="U7:U14" si="1">H7</f>
        <v>0</v>
      </c>
      <c r="V7" s="451" t="s">
        <v>912</v>
      </c>
      <c r="W7" s="452">
        <f t="shared" ref="W7:W14" si="2">J7</f>
        <v>0</v>
      </c>
      <c r="X7" s="453"/>
      <c r="Y7" s="3679" t="s">
        <v>911</v>
      </c>
      <c r="Z7" s="3680"/>
      <c r="AA7" s="470" t="e">
        <f>D7/F7</f>
        <v>#DIV/0!</v>
      </c>
      <c r="AB7" s="470" t="e">
        <f>D7/H7</f>
        <v>#DIV/0!</v>
      </c>
      <c r="AC7" s="470" t="e">
        <f>D7/J7</f>
        <v>#DIV/0!</v>
      </c>
    </row>
    <row r="8" spans="1:29" s="193" customFormat="1" ht="15">
      <c r="A8" s="230"/>
      <c r="B8" s="231" t="s">
        <v>913</v>
      </c>
      <c r="C8" s="232" t="s">
        <v>914</v>
      </c>
      <c r="D8" s="226">
        <v>100</v>
      </c>
      <c r="E8" s="232"/>
      <c r="F8" s="228">
        <f>SUMIF(49:49,E8,50:50)-SUMIF(49:49,C8,50:50)+100</f>
        <v>0</v>
      </c>
      <c r="G8" s="232"/>
      <c r="H8" s="226">
        <f>SUMIF(49:49,G8,50:50)-SUMIF(49:49,C8,50:50)+100</f>
        <v>0</v>
      </c>
      <c r="I8" s="232"/>
      <c r="J8" s="226">
        <f>SUMIF(49:49,I8,50:50)-SUMIF(49:49,C8,50:50)+100</f>
        <v>0</v>
      </c>
      <c r="K8" s="384"/>
      <c r="L8" s="385"/>
      <c r="M8" s="386"/>
      <c r="N8" s="386"/>
      <c r="O8" s="386"/>
      <c r="P8" s="3679" t="s">
        <v>915</v>
      </c>
      <c r="Q8" s="3680"/>
      <c r="R8" s="451" t="s">
        <v>912</v>
      </c>
      <c r="S8" s="452">
        <f t="shared" si="0"/>
        <v>0</v>
      </c>
      <c r="T8" s="451" t="s">
        <v>912</v>
      </c>
      <c r="U8" s="452">
        <f t="shared" si="1"/>
        <v>0</v>
      </c>
      <c r="V8" s="451" t="s">
        <v>912</v>
      </c>
      <c r="W8" s="452">
        <f t="shared" si="2"/>
        <v>0</v>
      </c>
      <c r="X8" s="453"/>
      <c r="Y8" s="3679" t="s">
        <v>915</v>
      </c>
      <c r="Z8" s="3680"/>
      <c r="AA8" s="470" t="e">
        <f t="shared" ref="AA8:AA34" si="3">D8/F8</f>
        <v>#DIV/0!</v>
      </c>
      <c r="AB8" s="470" t="e">
        <f t="shared" ref="AB8:AB34" si="4">D8/H8</f>
        <v>#DIV/0!</v>
      </c>
      <c r="AC8" s="470" t="e">
        <f t="shared" ref="AC8:AC34" si="5">D8/J8</f>
        <v>#DIV/0!</v>
      </c>
    </row>
    <row r="9" spans="1:29" s="193" customFormat="1" ht="15">
      <c r="A9" s="233"/>
      <c r="B9" s="234" t="s">
        <v>916</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666" t="s">
        <v>917</v>
      </c>
      <c r="Q9" s="454" t="str">
        <f t="shared" ref="Q9:Q14" si="6">B9</f>
        <v>用途</v>
      </c>
      <c r="R9" s="451" t="s">
        <v>912</v>
      </c>
      <c r="S9" s="452">
        <f t="shared" si="0"/>
        <v>100</v>
      </c>
      <c r="T9" s="451" t="s">
        <v>912</v>
      </c>
      <c r="U9" s="452">
        <f t="shared" si="1"/>
        <v>100</v>
      </c>
      <c r="V9" s="451" t="s">
        <v>912</v>
      </c>
      <c r="W9" s="452">
        <f t="shared" si="2"/>
        <v>100</v>
      </c>
      <c r="X9" s="453"/>
      <c r="Y9" s="3635" t="s">
        <v>918</v>
      </c>
      <c r="Z9" s="471" t="str">
        <f t="shared" ref="Z9:Z14" si="7">Q9</f>
        <v>用途</v>
      </c>
      <c r="AA9" s="470">
        <f t="shared" si="3"/>
        <v>1</v>
      </c>
      <c r="AB9" s="470">
        <f t="shared" si="4"/>
        <v>1</v>
      </c>
      <c r="AC9" s="470">
        <f t="shared" si="5"/>
        <v>1</v>
      </c>
    </row>
    <row r="10" spans="1:29" s="194" customFormat="1" ht="27">
      <c r="A10" s="238"/>
      <c r="B10" s="231" t="s">
        <v>919</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666"/>
      <c r="Q10" s="454" t="str">
        <f t="shared" si="6"/>
        <v>土地使用年限（年）</v>
      </c>
      <c r="R10" s="451" t="s">
        <v>912</v>
      </c>
      <c r="S10" s="452">
        <f t="shared" si="0"/>
        <v>100</v>
      </c>
      <c r="T10" s="451" t="s">
        <v>912</v>
      </c>
      <c r="U10" s="452">
        <f t="shared" si="1"/>
        <v>100</v>
      </c>
      <c r="V10" s="451" t="s">
        <v>912</v>
      </c>
      <c r="W10" s="452">
        <f t="shared" si="2"/>
        <v>100</v>
      </c>
      <c r="X10" s="453"/>
      <c r="Y10" s="3635"/>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666"/>
      <c r="Q11" s="454">
        <f t="shared" si="6"/>
        <v>111</v>
      </c>
      <c r="R11" s="451" t="s">
        <v>912</v>
      </c>
      <c r="S11" s="452">
        <f t="shared" si="0"/>
        <v>100</v>
      </c>
      <c r="T11" s="451" t="s">
        <v>912</v>
      </c>
      <c r="U11" s="452">
        <f t="shared" si="1"/>
        <v>100</v>
      </c>
      <c r="V11" s="451" t="s">
        <v>912</v>
      </c>
      <c r="W11" s="452">
        <f t="shared" si="2"/>
        <v>100</v>
      </c>
      <c r="X11" s="453"/>
      <c r="Y11" s="3635"/>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666"/>
      <c r="Q12" s="454">
        <f t="shared" si="6"/>
        <v>111</v>
      </c>
      <c r="R12" s="451" t="s">
        <v>912</v>
      </c>
      <c r="S12" s="452">
        <f t="shared" si="0"/>
        <v>100</v>
      </c>
      <c r="T12" s="451" t="s">
        <v>912</v>
      </c>
      <c r="U12" s="452">
        <f t="shared" si="1"/>
        <v>100</v>
      </c>
      <c r="V12" s="451" t="s">
        <v>912</v>
      </c>
      <c r="W12" s="452">
        <f t="shared" si="2"/>
        <v>100</v>
      </c>
      <c r="X12" s="453"/>
      <c r="Y12" s="3635"/>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666"/>
      <c r="Q13" s="454">
        <f t="shared" si="6"/>
        <v>111</v>
      </c>
      <c r="R13" s="451" t="s">
        <v>912</v>
      </c>
      <c r="S13" s="452">
        <f t="shared" si="0"/>
        <v>100</v>
      </c>
      <c r="T13" s="451" t="s">
        <v>912</v>
      </c>
      <c r="U13" s="452">
        <f t="shared" si="1"/>
        <v>100</v>
      </c>
      <c r="V13" s="451" t="s">
        <v>912</v>
      </c>
      <c r="W13" s="452">
        <f t="shared" si="2"/>
        <v>100</v>
      </c>
      <c r="X13" s="453"/>
      <c r="Y13" s="3635"/>
      <c r="Z13" s="471">
        <f t="shared" si="7"/>
        <v>111</v>
      </c>
      <c r="AA13" s="470">
        <f t="shared" si="3"/>
        <v>1</v>
      </c>
      <c r="AB13" s="470">
        <f t="shared" si="4"/>
        <v>1</v>
      </c>
      <c r="AC13" s="470">
        <f t="shared" si="5"/>
        <v>1</v>
      </c>
    </row>
    <row r="14" spans="1:29" ht="256.5">
      <c r="A14" s="251" t="s">
        <v>922</v>
      </c>
      <c r="B14" s="252" t="s">
        <v>229</v>
      </c>
      <c r="C14" s="253" t="str">
        <f>IF(B1="工业",估价对象房地状况!G4,估价对象房地状况!C6)</f>
        <v>估价对象紧邻城市次干道—温泉路，西距西六环约3.5公里，距北京首都国际机场约36.9公里，距清河火车站站约12.3公里，距北京北站约19.4公里，周边1公里内无轨道交通站点，周边有专54路、330路、346路、651路、908路等多条公交线路通过，综合评价交通便捷度一般。</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667" t="s">
        <v>923</v>
      </c>
      <c r="Q14" s="388" t="str">
        <f t="shared" si="6"/>
        <v>交通便捷度</v>
      </c>
      <c r="R14" s="455" t="s">
        <v>912</v>
      </c>
      <c r="S14" s="456">
        <f t="shared" si="0"/>
        <v>100</v>
      </c>
      <c r="T14" s="455" t="s">
        <v>912</v>
      </c>
      <c r="U14" s="456">
        <f t="shared" si="1"/>
        <v>100</v>
      </c>
      <c r="V14" s="455" t="s">
        <v>912</v>
      </c>
      <c r="W14" s="456">
        <f t="shared" si="2"/>
        <v>100</v>
      </c>
      <c r="X14" s="450"/>
      <c r="Y14" s="3667" t="s">
        <v>923</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668"/>
      <c r="Q15" s="388"/>
      <c r="R15" s="455"/>
      <c r="S15" s="456"/>
      <c r="T15" s="455"/>
      <c r="U15" s="456"/>
      <c r="V15" s="455"/>
      <c r="W15" s="456"/>
      <c r="X15" s="450"/>
      <c r="Y15" s="3668"/>
      <c r="Z15" s="449"/>
      <c r="AA15" s="461">
        <v>1</v>
      </c>
      <c r="AB15" s="461">
        <v>1</v>
      </c>
      <c r="AC15" s="461">
        <v>1</v>
      </c>
    </row>
    <row r="16" spans="1:29" ht="270.75">
      <c r="A16" s="258"/>
      <c r="B16" s="264" t="s">
        <v>231</v>
      </c>
      <c r="C16" s="265" t="str">
        <f>IF(B1="工业",估价对象房地状况!G5,估价对象房地状况!C7)</f>
        <v>估价对象所在区域有购物场所（物美超市、华联生活超市、超市发），学校（翠微小学温泉分校、白家疃小学、北京一零一中温泉校区、中关村学院温泉校区），医院（北京老年医院），银行（中国邮政储蓄银行、中国工商银行、中国民生银行），综合分析，公共配套设施齐备程度较好。</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668"/>
      <c r="Q16" s="388" t="str">
        <f>B16</f>
        <v>公共配套设施</v>
      </c>
      <c r="R16" s="455" t="s">
        <v>912</v>
      </c>
      <c r="S16" s="456">
        <f>F16</f>
        <v>100</v>
      </c>
      <c r="T16" s="455" t="s">
        <v>912</v>
      </c>
      <c r="U16" s="456">
        <f>H16</f>
        <v>100</v>
      </c>
      <c r="V16" s="455" t="s">
        <v>912</v>
      </c>
      <c r="W16" s="456">
        <f>J16</f>
        <v>100</v>
      </c>
      <c r="X16" s="450"/>
      <c r="Y16" s="3668"/>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668"/>
      <c r="Q17" s="388"/>
      <c r="R17" s="455"/>
      <c r="S17" s="456"/>
      <c r="T17" s="455"/>
      <c r="U17" s="456"/>
      <c r="V17" s="455"/>
      <c r="W17" s="456"/>
      <c r="X17" s="450"/>
      <c r="Y17" s="3668"/>
      <c r="Z17" s="449"/>
      <c r="AA17" s="461">
        <v>1</v>
      </c>
      <c r="AB17" s="461">
        <v>1</v>
      </c>
      <c r="AC17" s="461">
        <v>1</v>
      </c>
    </row>
    <row r="18" spans="1:29" ht="42.75">
      <c r="A18" s="258"/>
      <c r="B18" s="272" t="s">
        <v>232</v>
      </c>
      <c r="C18" s="265" t="str">
        <f>IF(B1="工业",估价对象房地状况!G6,估价对象房地状况!C8)</f>
        <v>估价对象所在区域基础设施水平-七通</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668"/>
      <c r="Q18" s="388" t="str">
        <f>B18</f>
        <v>基础设施水平</v>
      </c>
      <c r="R18" s="455" t="s">
        <v>912</v>
      </c>
      <c r="S18" s="456">
        <f>F18</f>
        <v>100</v>
      </c>
      <c r="T18" s="455" t="s">
        <v>912</v>
      </c>
      <c r="U18" s="456">
        <f>H18</f>
        <v>100</v>
      </c>
      <c r="V18" s="455" t="s">
        <v>912</v>
      </c>
      <c r="W18" s="456">
        <f>J18</f>
        <v>100</v>
      </c>
      <c r="X18" s="450"/>
      <c r="Y18" s="3668"/>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668"/>
      <c r="Q19" s="388"/>
      <c r="R19" s="455"/>
      <c r="S19" s="456"/>
      <c r="T19" s="455"/>
      <c r="U19" s="456"/>
      <c r="V19" s="455"/>
      <c r="W19" s="456"/>
      <c r="X19" s="450"/>
      <c r="Y19" s="3668"/>
      <c r="Z19" s="449"/>
      <c r="AA19" s="461">
        <v>1</v>
      </c>
      <c r="AB19" s="461">
        <v>1</v>
      </c>
      <c r="AC19" s="461">
        <v>1</v>
      </c>
    </row>
    <row r="20" spans="1:29" ht="185.25">
      <c r="A20" s="258"/>
      <c r="B20" s="277" t="s">
        <v>1049</v>
      </c>
      <c r="C20" s="265" t="str">
        <f>IF(B1="工业",估价对象房地状况!G7,估价对象房地状况!C9)</f>
        <v>估价对象所在海淀区温泉镇周边绿化条件较好，周边2公里内有温泉公园、齐物潭、梅花鹿公园、白家疃公园等绿化设施；辛亥滦州革命先烈纪念园等人文设施，综合考虑自然环境与人文环境较好。</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668"/>
      <c r="Q20" s="388" t="str">
        <f>B20</f>
        <v>自然及人文环境</v>
      </c>
      <c r="R20" s="455" t="s">
        <v>912</v>
      </c>
      <c r="S20" s="456">
        <f>F20</f>
        <v>100</v>
      </c>
      <c r="T20" s="455" t="s">
        <v>912</v>
      </c>
      <c r="U20" s="456">
        <f>H20</f>
        <v>100</v>
      </c>
      <c r="V20" s="455" t="s">
        <v>912</v>
      </c>
      <c r="W20" s="456">
        <f>J20</f>
        <v>100</v>
      </c>
      <c r="X20" s="450"/>
      <c r="Y20" s="3668"/>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668"/>
      <c r="Q21" s="388"/>
      <c r="R21" s="455"/>
      <c r="S21" s="456"/>
      <c r="T21" s="455"/>
      <c r="U21" s="456"/>
      <c r="V21" s="455"/>
      <c r="W21" s="456"/>
      <c r="X21" s="450"/>
      <c r="Y21" s="3668"/>
      <c r="Z21" s="449"/>
      <c r="AA21" s="461">
        <v>1</v>
      </c>
      <c r="AB21" s="461">
        <v>1</v>
      </c>
      <c r="AC21" s="461">
        <v>1</v>
      </c>
    </row>
    <row r="22" spans="1:29" ht="15">
      <c r="A22" s="258"/>
      <c r="B22" s="277" t="s">
        <v>2247</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668"/>
      <c r="Q22" s="388" t="str">
        <f>B22</f>
        <v>楼层</v>
      </c>
      <c r="R22" s="455" t="s">
        <v>912</v>
      </c>
      <c r="S22" s="456">
        <f>F22</f>
        <v>100</v>
      </c>
      <c r="T22" s="455" t="s">
        <v>912</v>
      </c>
      <c r="U22" s="456">
        <f>H22</f>
        <v>100</v>
      </c>
      <c r="V22" s="455" t="s">
        <v>912</v>
      </c>
      <c r="W22" s="456">
        <f>J22</f>
        <v>100</v>
      </c>
      <c r="X22" s="450"/>
      <c r="Y22" s="3668"/>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668"/>
      <c r="Q23" s="388">
        <f>B23</f>
        <v>111</v>
      </c>
      <c r="R23" s="455" t="s">
        <v>912</v>
      </c>
      <c r="S23" s="456">
        <f>F23</f>
        <v>100</v>
      </c>
      <c r="T23" s="455" t="s">
        <v>912</v>
      </c>
      <c r="U23" s="456">
        <f>H23</f>
        <v>100</v>
      </c>
      <c r="V23" s="455" t="s">
        <v>912</v>
      </c>
      <c r="W23" s="456">
        <f>J23</f>
        <v>100</v>
      </c>
      <c r="X23" s="450"/>
      <c r="Y23" s="3668"/>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668"/>
      <c r="Q24" s="388">
        <f t="shared" ref="Q24:Q34" si="11">B24</f>
        <v>111</v>
      </c>
      <c r="R24" s="455" t="s">
        <v>912</v>
      </c>
      <c r="S24" s="456">
        <f>F24</f>
        <v>100</v>
      </c>
      <c r="T24" s="455" t="s">
        <v>912</v>
      </c>
      <c r="U24" s="456">
        <f>H24</f>
        <v>100</v>
      </c>
      <c r="V24" s="455" t="s">
        <v>912</v>
      </c>
      <c r="W24" s="456">
        <f>J24</f>
        <v>100</v>
      </c>
      <c r="X24" s="450"/>
      <c r="Y24" s="3668"/>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668"/>
      <c r="Q25" s="454">
        <f t="shared" si="11"/>
        <v>111</v>
      </c>
      <c r="R25" s="451" t="s">
        <v>912</v>
      </c>
      <c r="S25" s="452">
        <f>F25</f>
        <v>100</v>
      </c>
      <c r="T25" s="451" t="s">
        <v>912</v>
      </c>
      <c r="U25" s="452">
        <f>H25</f>
        <v>100</v>
      </c>
      <c r="V25" s="451" t="s">
        <v>912</v>
      </c>
      <c r="W25" s="452">
        <f>J25</f>
        <v>100</v>
      </c>
      <c r="X25" s="453"/>
      <c r="Y25" s="3668"/>
      <c r="Z25" s="471">
        <f>Q25</f>
        <v>111</v>
      </c>
      <c r="AA25" s="461">
        <f t="shared" si="3"/>
        <v>1</v>
      </c>
      <c r="AB25" s="461">
        <f t="shared" si="4"/>
        <v>1</v>
      </c>
      <c r="AC25" s="461">
        <f t="shared" si="5"/>
        <v>1</v>
      </c>
    </row>
    <row r="26" spans="1:29" ht="15">
      <c r="A26" s="286" t="s">
        <v>928</v>
      </c>
      <c r="B26" s="287" t="s">
        <v>1057</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669" t="s">
        <v>927</v>
      </c>
      <c r="Q26" s="388" t="str">
        <f t="shared" si="11"/>
        <v>公共部分装修</v>
      </c>
      <c r="R26" s="455" t="s">
        <v>912</v>
      </c>
      <c r="S26" s="456">
        <f t="shared" ref="S26:S34" si="12">F26</f>
        <v>100</v>
      </c>
      <c r="T26" s="455" t="s">
        <v>912</v>
      </c>
      <c r="U26" s="456">
        <f t="shared" ref="U26:U34" si="13">H26</f>
        <v>100</v>
      </c>
      <c r="V26" s="455" t="s">
        <v>912</v>
      </c>
      <c r="W26" s="456">
        <f t="shared" ref="W26:W34" si="14">J26</f>
        <v>100</v>
      </c>
      <c r="X26" s="450"/>
      <c r="Y26" s="3670" t="s">
        <v>927</v>
      </c>
      <c r="Z26" s="449" t="str">
        <f t="shared" ref="Z26:Z34" si="15">Q26</f>
        <v>公共部分装修</v>
      </c>
      <c r="AA26" s="461">
        <f t="shared" si="3"/>
        <v>1</v>
      </c>
      <c r="AB26" s="461">
        <f t="shared" si="4"/>
        <v>1</v>
      </c>
      <c r="AC26" s="461">
        <f t="shared" si="5"/>
        <v>1</v>
      </c>
    </row>
    <row r="27" spans="1:29" s="195" customFormat="1" ht="15">
      <c r="A27" s="291"/>
      <c r="B27" s="292" t="s">
        <v>2263</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670"/>
      <c r="Q27" s="457" t="str">
        <f t="shared" si="11"/>
        <v>成新率</v>
      </c>
      <c r="R27" s="458" t="s">
        <v>912</v>
      </c>
      <c r="S27" s="459" t="e">
        <f t="shared" si="12"/>
        <v>#N/A</v>
      </c>
      <c r="T27" s="458" t="s">
        <v>912</v>
      </c>
      <c r="U27" s="459" t="e">
        <f t="shared" si="13"/>
        <v>#N/A</v>
      </c>
      <c r="V27" s="458" t="s">
        <v>912</v>
      </c>
      <c r="W27" s="459" t="e">
        <f t="shared" si="14"/>
        <v>#N/A</v>
      </c>
      <c r="X27" s="460"/>
      <c r="Y27" s="3670"/>
      <c r="Z27" s="472" t="str">
        <f t="shared" si="15"/>
        <v>成新率</v>
      </c>
      <c r="AA27" s="461" t="e">
        <f t="shared" si="3"/>
        <v>#N/A</v>
      </c>
      <c r="AB27" s="461" t="e">
        <f t="shared" si="4"/>
        <v>#N/A</v>
      </c>
      <c r="AC27" s="461" t="e">
        <f t="shared" si="5"/>
        <v>#N/A</v>
      </c>
    </row>
    <row r="28" spans="1:29" ht="15">
      <c r="A28" s="296"/>
      <c r="B28" s="292" t="s">
        <v>2264</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670"/>
      <c r="Q28" s="388" t="str">
        <f t="shared" si="11"/>
        <v>物业等级</v>
      </c>
      <c r="R28" s="455" t="s">
        <v>912</v>
      </c>
      <c r="S28" s="456">
        <f t="shared" si="12"/>
        <v>100</v>
      </c>
      <c r="T28" s="455" t="s">
        <v>912</v>
      </c>
      <c r="U28" s="456">
        <f t="shared" si="13"/>
        <v>100</v>
      </c>
      <c r="V28" s="455" t="s">
        <v>912</v>
      </c>
      <c r="W28" s="456">
        <f t="shared" si="14"/>
        <v>100</v>
      </c>
      <c r="X28" s="450"/>
      <c r="Y28" s="3670"/>
      <c r="Z28" s="449" t="str">
        <f t="shared" si="15"/>
        <v>物业等级</v>
      </c>
      <c r="AA28" s="461">
        <f t="shared" si="3"/>
        <v>1</v>
      </c>
      <c r="AB28" s="461">
        <f t="shared" si="4"/>
        <v>1</v>
      </c>
      <c r="AC28" s="461">
        <f t="shared" si="5"/>
        <v>1</v>
      </c>
    </row>
    <row r="29" spans="1:29" ht="15">
      <c r="A29" s="296"/>
      <c r="B29" s="292" t="s">
        <v>2270</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670"/>
      <c r="Q29" s="388" t="str">
        <f t="shared" si="11"/>
        <v>有无电梯</v>
      </c>
      <c r="R29" s="455" t="s">
        <v>912</v>
      </c>
      <c r="S29" s="456">
        <f t="shared" si="12"/>
        <v>100</v>
      </c>
      <c r="T29" s="455" t="s">
        <v>912</v>
      </c>
      <c r="U29" s="456">
        <f t="shared" si="13"/>
        <v>100</v>
      </c>
      <c r="V29" s="455" t="s">
        <v>912</v>
      </c>
      <c r="W29" s="456">
        <f t="shared" si="14"/>
        <v>100</v>
      </c>
      <c r="X29" s="450"/>
      <c r="Y29" s="3670"/>
      <c r="Z29" s="449" t="str">
        <f t="shared" si="15"/>
        <v>有无电梯</v>
      </c>
      <c r="AA29" s="461">
        <f t="shared" si="3"/>
        <v>1</v>
      </c>
      <c r="AB29" s="461">
        <f t="shared" si="4"/>
        <v>1</v>
      </c>
      <c r="AC29" s="461">
        <f t="shared" si="5"/>
        <v>1</v>
      </c>
    </row>
    <row r="30" spans="1:29" ht="15">
      <c r="A30" s="296"/>
      <c r="B30" s="292" t="s">
        <v>532</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670"/>
      <c r="Q30" s="388" t="str">
        <f t="shared" si="11"/>
        <v>建筑面积</v>
      </c>
      <c r="R30" s="455" t="s">
        <v>912</v>
      </c>
      <c r="S30" s="456" t="e">
        <f t="shared" si="12"/>
        <v>#N/A</v>
      </c>
      <c r="T30" s="455" t="s">
        <v>912</v>
      </c>
      <c r="U30" s="456" t="e">
        <f t="shared" si="13"/>
        <v>#N/A</v>
      </c>
      <c r="V30" s="455" t="s">
        <v>912</v>
      </c>
      <c r="W30" s="456" t="e">
        <f t="shared" si="14"/>
        <v>#N/A</v>
      </c>
      <c r="X30" s="450"/>
      <c r="Y30" s="3670"/>
      <c r="Z30" s="449" t="str">
        <f t="shared" si="15"/>
        <v>建筑面积</v>
      </c>
      <c r="AA30" s="461" t="e">
        <f t="shared" si="3"/>
        <v>#N/A</v>
      </c>
      <c r="AB30" s="461" t="e">
        <f t="shared" si="4"/>
        <v>#N/A</v>
      </c>
      <c r="AC30" s="461" t="e">
        <f t="shared" si="5"/>
        <v>#N/A</v>
      </c>
    </row>
    <row r="31" spans="1:29" s="193" customFormat="1" ht="15">
      <c r="A31" s="299"/>
      <c r="B31" s="292" t="s">
        <v>2271</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670"/>
      <c r="Q31" s="454" t="str">
        <f t="shared" si="11"/>
        <v>是否封闭</v>
      </c>
      <c r="R31" s="451" t="s">
        <v>912</v>
      </c>
      <c r="S31" s="452">
        <f t="shared" si="12"/>
        <v>100</v>
      </c>
      <c r="T31" s="451" t="s">
        <v>912</v>
      </c>
      <c r="U31" s="452">
        <f t="shared" si="13"/>
        <v>100</v>
      </c>
      <c r="V31" s="451" t="s">
        <v>912</v>
      </c>
      <c r="W31" s="452">
        <f t="shared" si="14"/>
        <v>100</v>
      </c>
      <c r="X31" s="453"/>
      <c r="Y31" s="3670"/>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670" t="s">
        <v>927</v>
      </c>
      <c r="Q32" s="388">
        <f t="shared" si="11"/>
        <v>111</v>
      </c>
      <c r="R32" s="455" t="s">
        <v>912</v>
      </c>
      <c r="S32" s="456">
        <f t="shared" si="12"/>
        <v>100</v>
      </c>
      <c r="T32" s="455" t="s">
        <v>912</v>
      </c>
      <c r="U32" s="456">
        <f t="shared" si="13"/>
        <v>100</v>
      </c>
      <c r="V32" s="455" t="s">
        <v>912</v>
      </c>
      <c r="W32" s="456">
        <f t="shared" si="14"/>
        <v>100</v>
      </c>
      <c r="X32" s="450"/>
      <c r="Y32" s="3670" t="s">
        <v>927</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670"/>
      <c r="Q33" s="388">
        <f t="shared" si="11"/>
        <v>111</v>
      </c>
      <c r="R33" s="455" t="s">
        <v>912</v>
      </c>
      <c r="S33" s="456">
        <f t="shared" si="12"/>
        <v>100</v>
      </c>
      <c r="T33" s="455" t="s">
        <v>912</v>
      </c>
      <c r="U33" s="456">
        <f t="shared" si="13"/>
        <v>100</v>
      </c>
      <c r="V33" s="455" t="s">
        <v>912</v>
      </c>
      <c r="W33" s="456">
        <f t="shared" si="14"/>
        <v>100</v>
      </c>
      <c r="X33" s="450"/>
      <c r="Y33" s="3670"/>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670"/>
      <c r="Q34" s="388">
        <f t="shared" si="11"/>
        <v>111</v>
      </c>
      <c r="R34" s="455" t="s">
        <v>912</v>
      </c>
      <c r="S34" s="456">
        <f t="shared" si="12"/>
        <v>100</v>
      </c>
      <c r="T34" s="455" t="s">
        <v>912</v>
      </c>
      <c r="U34" s="456">
        <f t="shared" si="13"/>
        <v>100</v>
      </c>
      <c r="V34" s="455" t="s">
        <v>912</v>
      </c>
      <c r="W34" s="456">
        <f t="shared" si="14"/>
        <v>100</v>
      </c>
      <c r="X34" s="450"/>
      <c r="Y34" s="3670"/>
      <c r="Z34" s="449">
        <f t="shared" si="15"/>
        <v>111</v>
      </c>
      <c r="AA34" s="461">
        <f t="shared" si="3"/>
        <v>1</v>
      </c>
      <c r="AB34" s="461">
        <f t="shared" si="4"/>
        <v>1</v>
      </c>
      <c r="AC34" s="461">
        <f t="shared" si="5"/>
        <v>1</v>
      </c>
    </row>
    <row r="35" spans="1:29" ht="15">
      <c r="A35" s="306" t="s">
        <v>1064</v>
      </c>
      <c r="B35" s="307"/>
      <c r="C35" s="308" t="s">
        <v>138</v>
      </c>
      <c r="D35" s="309"/>
      <c r="E35" s="310"/>
      <c r="F35" s="311"/>
      <c r="G35" s="312"/>
      <c r="H35" s="313"/>
      <c r="I35" s="310"/>
      <c r="J35" s="313"/>
      <c r="K35" s="402"/>
      <c r="L35" s="403"/>
      <c r="M35" s="334"/>
      <c r="N35" s="383"/>
      <c r="O35" s="334"/>
      <c r="P35" s="3666" t="str">
        <f>A35</f>
        <v>成交单价（元/平方米）</v>
      </c>
      <c r="Q35" s="3666"/>
      <c r="R35" s="3772">
        <f>E35</f>
        <v>0</v>
      </c>
      <c r="S35" s="3772"/>
      <c r="T35" s="3772">
        <f>G35</f>
        <v>0</v>
      </c>
      <c r="U35" s="3772"/>
      <c r="V35" s="3772">
        <f>I35</f>
        <v>0</v>
      </c>
      <c r="W35" s="3772"/>
      <c r="X35" s="336"/>
      <c r="Y35" s="473"/>
      <c r="Z35" s="336"/>
      <c r="AA35" s="336"/>
      <c r="AB35" s="336"/>
      <c r="AC35" s="336"/>
    </row>
    <row r="36" spans="1:29" ht="15">
      <c r="A36" s="314" t="s">
        <v>936</v>
      </c>
      <c r="B36" s="315"/>
      <c r="C36" s="316" t="e">
        <f>R37</f>
        <v>#DIV/0!</v>
      </c>
      <c r="D36" s="317" t="s">
        <v>2272</v>
      </c>
      <c r="E36" s="318" t="e">
        <f>R36</f>
        <v>#DIV/0!</v>
      </c>
      <c r="F36" s="319"/>
      <c r="G36" s="316" t="e">
        <f>T36</f>
        <v>#DIV/0!</v>
      </c>
      <c r="H36" s="319"/>
      <c r="I36" s="318" t="e">
        <f>V36</f>
        <v>#DIV/0!</v>
      </c>
      <c r="J36" s="319"/>
      <c r="K36" s="404">
        <f>F36+H36+J36</f>
        <v>0</v>
      </c>
      <c r="L36" s="403"/>
      <c r="M36" s="334"/>
      <c r="N36" s="383"/>
      <c r="O36" s="334"/>
      <c r="P36" s="3666" t="str">
        <f>A36</f>
        <v>比较价格（元/平方米）</v>
      </c>
      <c r="Q36" s="3666"/>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336"/>
      <c r="Y36" s="336"/>
      <c r="Z36" s="336"/>
      <c r="AA36" s="336"/>
      <c r="AB36" s="336"/>
      <c r="AC36" s="336"/>
    </row>
    <row r="37" spans="1:29" ht="15">
      <c r="A37" s="320" t="s">
        <v>938</v>
      </c>
      <c r="B37" s="321"/>
      <c r="C37" s="322" t="e">
        <f>R37</f>
        <v>#DIV/0!</v>
      </c>
      <c r="D37" s="322"/>
      <c r="E37" s="322"/>
      <c r="F37" s="322"/>
      <c r="G37" s="322"/>
      <c r="H37" s="322"/>
      <c r="I37" s="322"/>
      <c r="J37" s="322"/>
      <c r="K37" s="405"/>
      <c r="L37" s="403"/>
      <c r="M37" s="334"/>
      <c r="N37" s="334"/>
      <c r="O37" s="334"/>
      <c r="P37" s="3676" t="str">
        <f>A37</f>
        <v>估价对象XX用房的比较价格（楼面单价，元/平方米）</v>
      </c>
      <c r="Q37" s="3677"/>
      <c r="R37" s="3773" t="e">
        <f>IF(F1="售价",ROUND(IF(D36="简单平均",AVERAGE(R36:W36),R36*F36+T36*H36+V36*J36),0),ROUND(IF(D36="简单平均",AVERAGE(R36:V36),R36*F36+T36*H36+V36*J36),1))</f>
        <v>#DIV/0!</v>
      </c>
      <c r="S37" s="3773"/>
      <c r="T37" s="3773"/>
      <c r="U37" s="3773"/>
      <c r="V37" s="3773"/>
      <c r="W37" s="3773"/>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939</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940</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941</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963</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910</v>
      </c>
      <c r="B46" s="340"/>
      <c r="C46" s="341" t="str">
        <f>YEAR(C7)&amp;"-"&amp;MONTH(C7)</f>
        <v>2021-10</v>
      </c>
      <c r="D46" s="342">
        <f>EDATE(C46,-1)</f>
        <v>44440</v>
      </c>
      <c r="E46" s="342">
        <f t="shared" ref="E46:O46" si="16">EDATE(D46,-1)</f>
        <v>44409</v>
      </c>
      <c r="F46" s="342">
        <f t="shared" si="16"/>
        <v>44378</v>
      </c>
      <c r="G46" s="342">
        <f t="shared" si="16"/>
        <v>44348</v>
      </c>
      <c r="H46" s="342">
        <f t="shared" si="16"/>
        <v>44317</v>
      </c>
      <c r="I46" s="342">
        <f t="shared" si="16"/>
        <v>44287</v>
      </c>
      <c r="J46" s="342">
        <f t="shared" si="16"/>
        <v>44256</v>
      </c>
      <c r="K46" s="342">
        <f t="shared" si="16"/>
        <v>44228</v>
      </c>
      <c r="L46" s="342">
        <f t="shared" si="16"/>
        <v>44197</v>
      </c>
      <c r="M46" s="342">
        <f t="shared" si="16"/>
        <v>44166</v>
      </c>
      <c r="N46" s="342">
        <f t="shared" si="16"/>
        <v>44136</v>
      </c>
      <c r="O46" s="342">
        <f t="shared" si="16"/>
        <v>44105</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1065</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913</v>
      </c>
      <c r="B49" s="344"/>
      <c r="C49" s="352" t="s">
        <v>914</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967</v>
      </c>
      <c r="B51" s="355" t="s">
        <v>968</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969</v>
      </c>
      <c r="C53" s="362" t="s">
        <v>1066</v>
      </c>
      <c r="D53" s="362" t="s">
        <v>1067</v>
      </c>
      <c r="E53" s="362" t="s">
        <v>1068</v>
      </c>
      <c r="F53" s="362" t="s">
        <v>1069</v>
      </c>
      <c r="G53" s="362" t="s">
        <v>1070</v>
      </c>
      <c r="H53" s="362" t="s">
        <v>1071</v>
      </c>
      <c r="I53" s="362" t="s">
        <v>1072</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962</v>
      </c>
      <c r="D54" s="364" t="s">
        <v>962</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971</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1049</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2247</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976</v>
      </c>
      <c r="B77" s="355" t="s">
        <v>1057</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2263</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2264</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2270</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532</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2271</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1" type="noConversion"/>
  <conditionalFormatting sqref="F36">
    <cfRule type="expression" dxfId="17" priority="4">
      <formula>$D$36="简单平均"</formula>
    </cfRule>
  </conditionalFormatting>
  <conditionalFormatting sqref="H36">
    <cfRule type="expression" dxfId="16" priority="3">
      <formula>$D$36="简单平均"</formula>
    </cfRule>
  </conditionalFormatting>
  <conditionalFormatting sqref="J36">
    <cfRule type="expression" dxfId="15" priority="2">
      <formula>$D$36="简单平均"</formula>
    </cfRule>
  </conditionalFormatting>
  <conditionalFormatting sqref="E40">
    <cfRule type="expression" dxfId="14" priority="13" stopIfTrue="1">
      <formula>$F$40="超过30%"</formula>
    </cfRule>
  </conditionalFormatting>
  <conditionalFormatting sqref="G40">
    <cfRule type="expression" dxfId="13" priority="9" stopIfTrue="1">
      <formula>$H$52+$H$40="超过30%"</formula>
    </cfRule>
  </conditionalFormatting>
  <conditionalFormatting sqref="I40">
    <cfRule type="expression" dxfId="12" priority="7" stopIfTrue="1">
      <formula>$J$40="超过30%"</formula>
    </cfRule>
  </conditionalFormatting>
  <conditionalFormatting sqref="E41">
    <cfRule type="expression" dxfId="11" priority="11" stopIfTrue="1">
      <formula>$F$41="超过20%"</formula>
    </cfRule>
  </conditionalFormatting>
  <conditionalFormatting sqref="G41">
    <cfRule type="expression" dxfId="10" priority="8" stopIfTrue="1">
      <formula>$H$53+$H$41="超过20%"</formula>
    </cfRule>
  </conditionalFormatting>
  <conditionalFormatting sqref="I41">
    <cfRule type="expression" dxfId="9" priority="6" stopIfTrue="1">
      <formula>$J$41="超过20%"</formula>
    </cfRule>
  </conditionalFormatting>
  <conditionalFormatting sqref="E42">
    <cfRule type="expression" dxfId="8" priority="10" stopIfTrue="1">
      <formula>$F$42="超过30%"</formula>
    </cfRule>
  </conditionalFormatting>
  <conditionalFormatting sqref="F42">
    <cfRule type="containsText" dxfId="7" priority="15" stopIfTrue="1" operator="containsText" text="超过">
      <formula>NOT(ISERROR(SEARCH("超过",F42)))</formula>
    </cfRule>
  </conditionalFormatting>
  <conditionalFormatting sqref="G42">
    <cfRule type="expression" dxfId="6" priority="12" stopIfTrue="1">
      <formula>$H$54+$H$42="超过30%"</formula>
    </cfRule>
  </conditionalFormatting>
  <conditionalFormatting sqref="H42">
    <cfRule type="containsText" dxfId="5" priority="16" stopIfTrue="1" operator="containsText" text="超过">
      <formula>NOT(ISERROR(SEARCH("超过",H42)))</formula>
    </cfRule>
  </conditionalFormatting>
  <conditionalFormatting sqref="I42">
    <cfRule type="expression" dxfId="4" priority="5" stopIfTrue="1">
      <formula>$J$42="超过30%"</formula>
    </cfRule>
  </conditionalFormatting>
  <conditionalFormatting sqref="J42">
    <cfRule type="containsText" dxfId="3" priority="17" stopIfTrue="1" operator="containsText" text="超过">
      <formula>NOT(ISERROR(SEARCH("超过",J42)))</formula>
    </cfRule>
  </conditionalFormatting>
  <conditionalFormatting sqref="F7:F34 H7:H34 J7:J34">
    <cfRule type="cellIs" dxfId="2" priority="1" operator="notEqual">
      <formula>100</formula>
    </cfRule>
  </conditionalFormatting>
  <conditionalFormatting sqref="F40 H40 J40">
    <cfRule type="containsText" dxfId="1" priority="18" stopIfTrue="1" operator="containsText" text="超过">
      <formula>NOT(ISERROR(SEARCH("超过",F40)))</formula>
    </cfRule>
  </conditionalFormatting>
  <conditionalFormatting sqref="F41 H41 J41">
    <cfRule type="containsText" dxfId="0" priority="14" stopIfTrue="1" operator="containsText" text="超过">
      <formula>NOT(ISERROR(SEARCH("超过",F41)))</formula>
    </cfRule>
  </conditionalFormatting>
  <dataValidations count="16">
    <dataValidation type="list" allowBlank="1" showInputMessage="1" showErrorMessage="1" sqref="B1" xr:uid="{00000000-0002-0000-2600-000000000000}">
      <formula1>地类判定</formula1>
    </dataValidation>
    <dataValidation type="list" allowBlank="1" showInputMessage="1" showErrorMessage="1" sqref="C22 E22 G22 I22" xr:uid="{00000000-0002-0000-2600-000001000000}">
      <formula1>仓储楼层</formula1>
    </dataValidation>
    <dataValidation type="list" allowBlank="1" showInputMessage="1" showErrorMessage="1" sqref="C10 E10 G10 I10" xr:uid="{00000000-0002-0000-2600-000002000000}">
      <formula1>土地年限区间</formula1>
    </dataValidation>
    <dataValidation type="list" allowBlank="1" showInputMessage="1" showErrorMessage="1" sqref="D1" xr:uid="{00000000-0002-0000-2600-000003000000}">
      <formula1>项目类型</formula1>
    </dataValidation>
    <dataValidation type="list" allowBlank="1" showInputMessage="1" showErrorMessage="1" sqref="F1" xr:uid="{00000000-0002-0000-2600-000004000000}">
      <formula1>"售价,租金"</formula1>
    </dataValidation>
    <dataValidation type="list" allowBlank="1" showInputMessage="1" showErrorMessage="1" sqref="C8 E8 G8 I8" xr:uid="{00000000-0002-0000-2600-000005000000}">
      <formula1>仓储交易情况</formula1>
    </dataValidation>
    <dataValidation type="list" allowBlank="1" showInputMessage="1" showErrorMessage="1" sqref="C28 E28 G28 I28" xr:uid="{00000000-0002-0000-2600-000006000000}">
      <formula1>仓储物业等级</formula1>
    </dataValidation>
    <dataValidation type="list" allowBlank="1" showInputMessage="1" showErrorMessage="1" sqref="C15 E15 G15 I15" xr:uid="{00000000-0002-0000-2600-000007000000}">
      <formula1>交通便捷度</formula1>
    </dataValidation>
    <dataValidation type="list" allowBlank="1" showInputMessage="1" showErrorMessage="1" sqref="E9 G9 I9" xr:uid="{00000000-0002-0000-2600-000008000000}">
      <formula1>仓储用途</formula1>
    </dataValidation>
    <dataValidation type="list" allowBlank="1" showInputMessage="1" showErrorMessage="1" sqref="C17 E17 G17 I17" xr:uid="{00000000-0002-0000-2600-000009000000}">
      <formula1>公共配套设施</formula1>
    </dataValidation>
    <dataValidation type="list" allowBlank="1" showInputMessage="1" showErrorMessage="1" sqref="C19 E19 G19 I19" xr:uid="{00000000-0002-0000-2600-00000A000000}">
      <formula1>基础设施水平</formula1>
    </dataValidation>
    <dataValidation type="list" allowBlank="1" showInputMessage="1" showErrorMessage="1" sqref="C21 E21 G21 I21" xr:uid="{00000000-0002-0000-2600-00000B000000}">
      <formula1>环境</formula1>
    </dataValidation>
    <dataValidation type="list" allowBlank="1" showInputMessage="1" showErrorMessage="1" sqref="C26 E26 G26 I26" xr:uid="{00000000-0002-0000-2600-00000C000000}">
      <formula1>仓储公共部分装修</formula1>
    </dataValidation>
    <dataValidation type="list" allowBlank="1" showInputMessage="1" showErrorMessage="1" sqref="C29 E29 G29 I29" xr:uid="{00000000-0002-0000-2600-00000D000000}">
      <formula1>有无电梯</formula1>
    </dataValidation>
    <dataValidation type="list" allowBlank="1" showInputMessage="1" showErrorMessage="1" sqref="C31 E31 G31 I31" xr:uid="{00000000-0002-0000-2600-00000E000000}">
      <formula1>是否封闭</formula1>
    </dataValidation>
    <dataValidation type="list" allowBlank="1" showInputMessage="1" showErrorMessage="1" sqref="D36" xr:uid="{00000000-0002-0000-2600-00000F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2273</v>
      </c>
      <c r="C1" s="3862" t="s">
        <v>2274</v>
      </c>
      <c r="D1" s="3863"/>
      <c r="E1" s="3863"/>
      <c r="F1" s="3863"/>
      <c r="G1" s="3863"/>
      <c r="H1" s="3863"/>
      <c r="I1" s="3863"/>
      <c r="J1" s="3863"/>
      <c r="K1" s="3863"/>
      <c r="L1" s="3863"/>
      <c r="M1" s="3863"/>
      <c r="N1" s="3863"/>
      <c r="O1" s="3863"/>
      <c r="P1" s="3863"/>
      <c r="Q1" s="3863"/>
      <c r="R1" s="3863"/>
      <c r="S1" s="3864"/>
      <c r="T1" s="79" t="s">
        <v>2275</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2276</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2277</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2278</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2279</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2280</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2281</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2282</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2283</v>
      </c>
      <c r="B17" s="108" t="s">
        <v>1145</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2284</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2285</v>
      </c>
      <c r="B22" s="121">
        <f>SUM(B24:B10000)</f>
        <v>0</v>
      </c>
      <c r="C22" s="3865" t="s">
        <v>138</v>
      </c>
      <c r="D22" s="3866"/>
      <c r="E22" s="3866"/>
      <c r="F22" s="3866"/>
      <c r="G22" s="3866"/>
      <c r="H22" s="3866"/>
      <c r="I22" s="3866"/>
      <c r="J22" s="3866"/>
      <c r="K22" s="3866"/>
      <c r="L22" s="3866"/>
      <c r="M22" s="3866"/>
      <c r="N22" s="3866"/>
      <c r="O22" s="3866"/>
      <c r="P22" s="3866"/>
      <c r="Q22" s="3867"/>
      <c r="R22" s="184" t="e">
        <f>ROUND(S22*10000/B22,0)</f>
        <v>#DIV/0!</v>
      </c>
      <c r="S22" s="121">
        <f>SUM(S24:S10000)</f>
        <v>0</v>
      </c>
    </row>
    <row r="23" spans="1:45" s="73" customFormat="1" ht="24">
      <c r="A23" s="124" t="s">
        <v>2286</v>
      </c>
      <c r="B23" s="125" t="s">
        <v>380</v>
      </c>
      <c r="C23" s="124" t="s">
        <v>1208</v>
      </c>
      <c r="D23" s="124" t="str">
        <f>B5</f>
        <v>修正项2</v>
      </c>
      <c r="E23" s="124" t="s">
        <v>1208</v>
      </c>
      <c r="F23" s="124" t="str">
        <f>B7</f>
        <v>修正项3</v>
      </c>
      <c r="G23" s="124" t="s">
        <v>1208</v>
      </c>
      <c r="H23" s="124" t="str">
        <f>B9</f>
        <v>修正项4</v>
      </c>
      <c r="I23" s="124" t="s">
        <v>1208</v>
      </c>
      <c r="J23" s="124" t="str">
        <f>B11</f>
        <v>修正项5</v>
      </c>
      <c r="K23" s="124" t="s">
        <v>1208</v>
      </c>
      <c r="L23" s="124" t="str">
        <f>B13</f>
        <v>修正项6</v>
      </c>
      <c r="M23" s="124" t="s">
        <v>1208</v>
      </c>
      <c r="N23" s="124" t="str">
        <f>B15</f>
        <v>修正项7</v>
      </c>
      <c r="O23" s="124" t="s">
        <v>1208</v>
      </c>
      <c r="P23" s="124" t="str">
        <f>B17</f>
        <v>楼层</v>
      </c>
      <c r="Q23" s="124" t="s">
        <v>1208</v>
      </c>
      <c r="R23" s="185" t="s">
        <v>2287</v>
      </c>
      <c r="S23" s="124" t="s">
        <v>2288</v>
      </c>
      <c r="T23" s="186"/>
      <c r="U23" s="186"/>
      <c r="V23" s="186"/>
      <c r="W23" s="186"/>
      <c r="X23" s="186"/>
      <c r="Y23" s="186"/>
      <c r="Z23" s="186"/>
      <c r="AA23" s="186"/>
      <c r="AB23" s="186"/>
      <c r="AC23" s="186"/>
      <c r="AD23" s="186"/>
      <c r="AE23" s="186"/>
      <c r="AF23" s="186"/>
      <c r="AG23" s="186"/>
      <c r="AH23" s="186"/>
      <c r="AI23" s="186"/>
    </row>
    <row r="24" spans="1:45" s="74" customFormat="1">
      <c r="A24" s="126" t="s">
        <v>2289</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J24:J524" xr:uid="{00000000-0002-0000-2700-000000000000}">
      <formula1>一修多修正项5</formula1>
    </dataValidation>
    <dataValidation type="list" allowBlank="1" showInputMessage="1" showErrorMessage="1" sqref="B2 B23" xr:uid="{00000000-0002-0000-2700-000001000000}">
      <formula1>"建筑面积,土地面积"</formula1>
    </dataValidation>
    <dataValidation type="list" allowBlank="1" showInputMessage="1" showErrorMessage="1" sqref="D24:D524" xr:uid="{00000000-0002-0000-2700-000002000000}">
      <formula1>一修多修正项2</formula1>
    </dataValidation>
    <dataValidation type="list" allowBlank="1" showInputMessage="1" showErrorMessage="1" sqref="H24:H524" xr:uid="{00000000-0002-0000-2700-000003000000}">
      <formula1>一修多修正项4</formula1>
    </dataValidation>
    <dataValidation type="list" allowBlank="1" showInputMessage="1" showErrorMessage="1" sqref="F24:F524" xr:uid="{00000000-0002-0000-2700-000004000000}">
      <formula1>一修多修正项3</formula1>
    </dataValidation>
    <dataValidation type="list" allowBlank="1" showInputMessage="1" showErrorMessage="1" sqref="L24:L524" xr:uid="{00000000-0002-0000-2700-000005000000}">
      <formula1>一修多修正项6</formula1>
    </dataValidation>
    <dataValidation type="list" allowBlank="1" showInputMessage="1" showErrorMessage="1" sqref="N24:N524" xr:uid="{00000000-0002-0000-2700-000006000000}">
      <formula1>一修多修正项7</formula1>
    </dataValidation>
    <dataValidation type="list" allowBlank="1" showInputMessage="1" showErrorMessage="1" sqref="P24:P524" xr:uid="{00000000-0002-0000-2700-000007000000}">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J4" sqref="J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2290</v>
      </c>
      <c r="C1" s="8">
        <f>项目基本情况!D3</f>
        <v>44484</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2291</v>
      </c>
      <c r="C2" s="12">
        <f>'数据-取费表'!B22</f>
        <v>1.5</v>
      </c>
      <c r="D2" s="7" t="s">
        <v>2292</v>
      </c>
      <c r="E2" s="13">
        <f ca="1">INDIRECT("I"&amp;$I$1)/100</f>
        <v>4.7500000000000001E-2</v>
      </c>
      <c r="G2" s="10"/>
      <c r="H2" s="10"/>
      <c r="I2" s="10" t="s">
        <v>2292</v>
      </c>
      <c r="K2" s="10"/>
      <c r="L2" s="10"/>
      <c r="M2" s="10"/>
      <c r="N2" s="10" t="s">
        <v>2293</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2294</v>
      </c>
      <c r="C3" s="14">
        <f>'数据-取费表'!B19</f>
        <v>0</v>
      </c>
      <c r="D3" s="7" t="s">
        <v>2292</v>
      </c>
      <c r="E3" s="13">
        <f ca="1">INDIRECT("J"&amp;$J$1)/100</f>
        <v>0</v>
      </c>
      <c r="G3" s="15" t="s">
        <v>2295</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2296</v>
      </c>
      <c r="C4" s="13">
        <f ca="1">N4/100</f>
        <v>1.4999999999999999E-2</v>
      </c>
      <c r="G4" s="17" t="s">
        <v>2297</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2298</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2299</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2300</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2301</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2302</v>
      </c>
      <c r="C10" s="28"/>
      <c r="D10" s="28"/>
      <c r="E10" s="28"/>
      <c r="F10" s="28"/>
      <c r="G10" s="28"/>
      <c r="H10" s="28"/>
      <c r="I10" s="3"/>
      <c r="J10" s="3"/>
      <c r="K10" s="28"/>
      <c r="L10" s="29" t="s">
        <v>2303</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2304</v>
      </c>
      <c r="C11" s="32" t="s">
        <v>2305</v>
      </c>
      <c r="D11" s="33" t="s">
        <v>2306</v>
      </c>
      <c r="E11" s="34"/>
      <c r="F11" s="33" t="s">
        <v>2307</v>
      </c>
      <c r="G11" s="35"/>
      <c r="H11" s="34"/>
      <c r="I11" s="33" t="s">
        <v>2308</v>
      </c>
      <c r="J11" s="34"/>
      <c r="K11" s="30"/>
      <c r="L11" s="31" t="s">
        <v>2304</v>
      </c>
      <c r="M11" s="32" t="s">
        <v>2305</v>
      </c>
      <c r="N11" s="31" t="s">
        <v>2309</v>
      </c>
      <c r="O11" s="33" t="s">
        <v>2310</v>
      </c>
      <c r="P11" s="35"/>
      <c r="Q11" s="35"/>
      <c r="R11" s="35"/>
      <c r="S11" s="35"/>
      <c r="T11" s="34"/>
      <c r="U11" s="33" t="s">
        <v>2311</v>
      </c>
      <c r="V11" s="35"/>
      <c r="W11" s="34"/>
      <c r="X11" s="31" t="s">
        <v>2312</v>
      </c>
      <c r="Y11" s="31" t="s">
        <v>2313</v>
      </c>
      <c r="Z11" s="31" t="s">
        <v>2314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2315</v>
      </c>
      <c r="E12" s="39" t="s">
        <v>2297</v>
      </c>
      <c r="F12" s="39" t="s">
        <v>2298</v>
      </c>
      <c r="G12" s="39" t="s">
        <v>2299</v>
      </c>
      <c r="H12" s="39" t="s">
        <v>2300</v>
      </c>
      <c r="I12" s="59" t="s">
        <v>2316</v>
      </c>
      <c r="J12" s="59" t="s">
        <v>2316</v>
      </c>
      <c r="K12" s="36"/>
      <c r="L12" s="37"/>
      <c r="M12" s="38"/>
      <c r="N12" s="37"/>
      <c r="O12" s="59" t="s">
        <v>2317</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2318</v>
      </c>
      <c r="C13" s="42">
        <v>42301</v>
      </c>
      <c r="D13" s="43">
        <v>4.3499999999999996</v>
      </c>
      <c r="E13" s="43">
        <v>4.3499999999999996</v>
      </c>
      <c r="F13" s="43">
        <v>4.75</v>
      </c>
      <c r="G13" s="43">
        <v>4.75</v>
      </c>
      <c r="H13" s="43">
        <v>4.9000000000000004</v>
      </c>
      <c r="I13" s="43">
        <v>2.75</v>
      </c>
      <c r="J13" s="43">
        <v>3.25</v>
      </c>
      <c r="K13" s="40"/>
      <c r="L13" s="41" t="s">
        <v>2318</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2319</v>
      </c>
      <c r="Y42" s="44" t="s">
        <v>2319</v>
      </c>
      <c r="Z42" s="44" t="s">
        <v>2319</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2319</v>
      </c>
      <c r="Y43" s="44" t="s">
        <v>2319</v>
      </c>
      <c r="Z43" s="44" t="s">
        <v>2319</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2319</v>
      </c>
      <c r="Y44" s="44" t="s">
        <v>2319</v>
      </c>
      <c r="Z44" s="44" t="s">
        <v>2319</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2319</v>
      </c>
      <c r="Y45" s="44" t="s">
        <v>2319</v>
      </c>
      <c r="Z45" s="44" t="s">
        <v>2319</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2319</v>
      </c>
      <c r="Y46" s="44" t="s">
        <v>2319</v>
      </c>
      <c r="Z46" s="44" t="s">
        <v>2319</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2319</v>
      </c>
      <c r="Y47" s="44" t="s">
        <v>2319</v>
      </c>
      <c r="Z47" s="44" t="s">
        <v>2319</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2319</v>
      </c>
      <c r="Y48" s="44" t="s">
        <v>2319</v>
      </c>
      <c r="Z48" s="44" t="s">
        <v>2319</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2319</v>
      </c>
      <c r="Y49" s="44" t="s">
        <v>2319</v>
      </c>
      <c r="Z49" s="44" t="s">
        <v>2319</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2319</v>
      </c>
      <c r="Y50" s="44" t="s">
        <v>2319</v>
      </c>
      <c r="Z50" s="44" t="s">
        <v>2319</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2319</v>
      </c>
      <c r="V51" s="44" t="s">
        <v>2319</v>
      </c>
      <c r="W51" s="44" t="s">
        <v>2319</v>
      </c>
      <c r="X51" s="44" t="s">
        <v>2319</v>
      </c>
      <c r="Y51" s="44" t="s">
        <v>2319</v>
      </c>
      <c r="Z51" s="44" t="s">
        <v>2319</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2319</v>
      </c>
      <c r="J55" s="44" t="s">
        <v>2319</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48C2-80A7-4BBF-9DA6-3CD685182CF5}">
  <dimension ref="A2:XEQ28"/>
  <sheetViews>
    <sheetView topLeftCell="L1" workbookViewId="0">
      <selection activeCell="R36" sqref="R36"/>
    </sheetView>
  </sheetViews>
  <sheetFormatPr defaultRowHeight="13.5"/>
  <cols>
    <col min="1" max="1" width="5" customWidth="1"/>
    <col min="2" max="2" width="20.5" customWidth="1"/>
    <col min="3" max="3" width="18.75" customWidth="1"/>
    <col min="4" max="4" width="14" customWidth="1"/>
    <col min="5" max="5" width="18.75" customWidth="1"/>
    <col min="6" max="6" width="12.625" customWidth="1"/>
    <col min="7" max="7" width="18.375" customWidth="1"/>
    <col min="8" max="8" width="16.75" customWidth="1"/>
    <col min="9" max="10" width="11.875" bestFit="1" customWidth="1"/>
    <col min="11" max="11" width="10.5" bestFit="1" customWidth="1"/>
    <col min="12" max="12" width="9.125" bestFit="1" customWidth="1"/>
    <col min="21" max="21" width="9.125" bestFit="1" customWidth="1"/>
    <col min="25" max="25" width="14.625" bestFit="1" customWidth="1"/>
  </cols>
  <sheetData>
    <row r="2" spans="1:29" s="3474" customFormat="1" ht="63" customHeight="1">
      <c r="A2" s="3469">
        <v>3</v>
      </c>
      <c r="B2" s="3470" t="s">
        <v>2417</v>
      </c>
      <c r="C2" s="3470" t="s">
        <v>2418</v>
      </c>
      <c r="D2" s="3470" t="s">
        <v>2419</v>
      </c>
      <c r="E2" s="3470" t="s">
        <v>2420</v>
      </c>
      <c r="F2" s="3470" t="s">
        <v>2421</v>
      </c>
      <c r="G2" s="3470" t="s">
        <v>2432</v>
      </c>
      <c r="H2" s="3470" t="s">
        <v>2422</v>
      </c>
      <c r="I2" s="3470">
        <v>21.93</v>
      </c>
      <c r="J2" s="3470">
        <v>21.93</v>
      </c>
      <c r="K2" s="3470">
        <v>21.93</v>
      </c>
      <c r="L2" s="3471">
        <v>1</v>
      </c>
      <c r="M2" s="3470" t="s">
        <v>2423</v>
      </c>
      <c r="N2" s="3470">
        <v>8030</v>
      </c>
      <c r="O2" s="3470">
        <v>20243</v>
      </c>
      <c r="P2" s="3470">
        <v>5061</v>
      </c>
      <c r="Q2" s="3470" t="s">
        <v>2424</v>
      </c>
      <c r="R2" s="3470" t="s">
        <v>2425</v>
      </c>
      <c r="S2" s="3470">
        <v>20120</v>
      </c>
      <c r="T2" s="3470">
        <v>5030</v>
      </c>
      <c r="U2" s="3470"/>
      <c r="V2" s="3470" t="s">
        <v>2426</v>
      </c>
      <c r="W2" s="3470" t="s">
        <v>2426</v>
      </c>
      <c r="X2" s="3470" t="s">
        <v>2426</v>
      </c>
      <c r="Y2" s="3473">
        <v>43199</v>
      </c>
      <c r="Z2" s="3470">
        <v>20120</v>
      </c>
      <c r="AA2" s="3470"/>
      <c r="AB2" s="3470"/>
      <c r="AC2" s="3470"/>
    </row>
    <row r="3" spans="1:29" ht="16.5" customHeight="1">
      <c r="A3" s="3334">
        <v>11</v>
      </c>
      <c r="B3" s="3335" t="s">
        <v>2427</v>
      </c>
      <c r="C3" s="3335" t="s">
        <v>2428</v>
      </c>
      <c r="D3" s="3335" t="s">
        <v>2429</v>
      </c>
      <c r="E3" s="3335" t="s">
        <v>2430</v>
      </c>
      <c r="F3" s="3335" t="s">
        <v>2431</v>
      </c>
      <c r="G3" s="3335" t="s">
        <v>2432</v>
      </c>
      <c r="H3" s="3335" t="s">
        <v>2433</v>
      </c>
      <c r="I3" s="3335">
        <v>38488.339999999997</v>
      </c>
      <c r="J3" s="3335">
        <v>47747.05</v>
      </c>
      <c r="K3" s="3335">
        <v>55650.6</v>
      </c>
      <c r="L3" s="3336">
        <v>1.24</v>
      </c>
      <c r="M3" s="3335" t="s">
        <v>2434</v>
      </c>
      <c r="N3" s="3335" t="s">
        <v>2435</v>
      </c>
      <c r="O3" s="3335" t="s">
        <v>2436</v>
      </c>
      <c r="P3" s="3335" t="s">
        <v>2437</v>
      </c>
      <c r="Q3" s="3335" t="s">
        <v>2438</v>
      </c>
      <c r="R3" s="3335" t="s">
        <v>2439</v>
      </c>
      <c r="S3" s="3335" t="s">
        <v>2440</v>
      </c>
      <c r="T3" s="3335" t="s">
        <v>2441</v>
      </c>
      <c r="U3" s="3335">
        <v>11736</v>
      </c>
      <c r="V3" s="3335" t="s">
        <v>2442</v>
      </c>
      <c r="W3" s="3335" t="s">
        <v>2442</v>
      </c>
      <c r="X3" s="3335" t="s">
        <v>2442</v>
      </c>
      <c r="Y3" s="3337">
        <v>43433</v>
      </c>
      <c r="Z3" s="3335"/>
      <c r="AA3" s="3335"/>
      <c r="AB3" s="3335"/>
      <c r="AC3" s="3335"/>
    </row>
    <row r="4" spans="1:29" ht="63" hidden="1" customHeight="1">
      <c r="A4" s="3346">
        <v>73</v>
      </c>
      <c r="B4" s="3347" t="s">
        <v>2443</v>
      </c>
      <c r="C4" s="3347" t="s">
        <v>2444</v>
      </c>
      <c r="D4" s="3347" t="s">
        <v>2446</v>
      </c>
      <c r="E4" s="3347" t="s">
        <v>2447</v>
      </c>
      <c r="F4" s="3347">
        <v>165482.31</v>
      </c>
      <c r="G4" s="3347" t="s">
        <v>2448</v>
      </c>
      <c r="H4" s="3347" t="s">
        <v>2449</v>
      </c>
      <c r="I4" s="3348">
        <v>2.15</v>
      </c>
      <c r="J4" s="3347" t="s">
        <v>2450</v>
      </c>
      <c r="K4" s="3347" t="s">
        <v>2451</v>
      </c>
      <c r="L4" s="3347" t="s">
        <v>2452</v>
      </c>
      <c r="M4" s="3347" t="s">
        <v>2453</v>
      </c>
      <c r="N4" s="3349">
        <v>3132.78</v>
      </c>
      <c r="O4" s="3347" t="s">
        <v>2457</v>
      </c>
      <c r="P4" s="3347"/>
      <c r="Q4" s="3347"/>
      <c r="R4" s="3347"/>
      <c r="S4" s="3347"/>
      <c r="T4" s="3347" t="s">
        <v>2458</v>
      </c>
      <c r="U4" s="3347">
        <v>20180801</v>
      </c>
      <c r="V4" s="3347" t="s">
        <v>2459</v>
      </c>
      <c r="W4" s="3347">
        <v>20190104</v>
      </c>
      <c r="X4" s="3350"/>
      <c r="Y4" s="3351"/>
      <c r="Z4" s="3351"/>
      <c r="AA4" s="3351"/>
      <c r="AB4" s="3349" t="s">
        <v>2460</v>
      </c>
      <c r="AC4" s="3347"/>
    </row>
    <row r="5" spans="1:29" ht="63" hidden="1" customHeight="1">
      <c r="A5" s="3346">
        <v>74</v>
      </c>
      <c r="B5" s="3347" t="s">
        <v>2445</v>
      </c>
      <c r="C5" s="3347" t="s">
        <v>2444</v>
      </c>
      <c r="D5" s="3347" t="s">
        <v>2446</v>
      </c>
      <c r="E5" s="3347" t="s">
        <v>2454</v>
      </c>
      <c r="F5" s="3347">
        <v>50067.87</v>
      </c>
      <c r="G5" s="3347" t="s">
        <v>2455</v>
      </c>
      <c r="H5" s="3347" t="s">
        <v>2456</v>
      </c>
      <c r="I5" s="3348">
        <v>2.0699999999999998</v>
      </c>
      <c r="J5" s="3347" t="s">
        <v>2450</v>
      </c>
      <c r="K5" s="3347" t="s">
        <v>2451</v>
      </c>
      <c r="L5" s="3347" t="s">
        <v>2452</v>
      </c>
      <c r="M5" s="3347" t="s">
        <v>2453</v>
      </c>
      <c r="N5" s="3349">
        <v>3132.78</v>
      </c>
      <c r="O5" s="3347" t="s">
        <v>2461</v>
      </c>
      <c r="P5" s="3347"/>
      <c r="Q5" s="3347"/>
      <c r="R5" s="3347"/>
      <c r="S5" s="3347"/>
      <c r="T5" s="3347" t="s">
        <v>2462</v>
      </c>
      <c r="U5" s="3347">
        <v>20180801</v>
      </c>
      <c r="V5" s="3347" t="s">
        <v>2459</v>
      </c>
      <c r="W5" s="3347">
        <v>20190104</v>
      </c>
      <c r="X5" s="3350"/>
      <c r="Y5" s="3351"/>
      <c r="Z5" s="3351"/>
      <c r="AA5" s="3351"/>
      <c r="AB5" s="3349" t="s">
        <v>2460</v>
      </c>
      <c r="AC5" s="3347"/>
    </row>
    <row r="6" spans="1:29" ht="63" hidden="1" customHeight="1">
      <c r="A6" s="3346">
        <v>101</v>
      </c>
      <c r="B6" s="3347" t="s">
        <v>2463</v>
      </c>
      <c r="C6" s="3347" t="s">
        <v>2463</v>
      </c>
      <c r="D6" s="3347" t="s">
        <v>2464</v>
      </c>
      <c r="E6" s="3347" t="s">
        <v>2465</v>
      </c>
      <c r="F6" s="3347">
        <v>34607.61</v>
      </c>
      <c r="G6" s="3347">
        <v>86520</v>
      </c>
      <c r="H6" s="3347" t="s">
        <v>2466</v>
      </c>
      <c r="I6" s="3348">
        <v>2.5</v>
      </c>
      <c r="J6" s="3349" t="s">
        <v>2467</v>
      </c>
      <c r="K6" s="3349" t="s">
        <v>2468</v>
      </c>
      <c r="L6" s="3349" t="s">
        <v>2469</v>
      </c>
      <c r="M6" s="3349" t="s">
        <v>2470</v>
      </c>
      <c r="N6" s="3349">
        <v>6216</v>
      </c>
      <c r="O6" s="3347" t="s">
        <v>2471</v>
      </c>
      <c r="P6" s="3352"/>
      <c r="Q6" s="3352"/>
      <c r="R6" s="3352"/>
      <c r="S6" s="3352"/>
      <c r="T6" s="3348" t="s">
        <v>2472</v>
      </c>
      <c r="U6" s="3349">
        <v>20190215</v>
      </c>
      <c r="V6" s="3348" t="s">
        <v>2473</v>
      </c>
      <c r="W6" s="3353" t="s">
        <v>2474</v>
      </c>
      <c r="X6" s="3350"/>
      <c r="Y6" s="3350"/>
      <c r="Z6" s="3350"/>
      <c r="AA6" s="3350"/>
      <c r="AB6" s="3348" t="s">
        <v>2475</v>
      </c>
      <c r="AC6" s="3348"/>
    </row>
    <row r="7" spans="1:29" ht="63" customHeight="1">
      <c r="A7" s="3346">
        <v>112</v>
      </c>
      <c r="B7" s="3349" t="s">
        <v>2620</v>
      </c>
      <c r="C7" s="3349" t="s">
        <v>2621</v>
      </c>
      <c r="D7" s="3349" t="s">
        <v>2446</v>
      </c>
      <c r="E7" s="3349" t="s">
        <v>2447</v>
      </c>
      <c r="F7" s="3349">
        <v>17920</v>
      </c>
      <c r="G7" s="3349" t="s">
        <v>2622</v>
      </c>
      <c r="H7" s="3349" t="s">
        <v>2623</v>
      </c>
      <c r="I7" s="3354">
        <v>2.8</v>
      </c>
      <c r="J7" s="3349" t="s">
        <v>2624</v>
      </c>
      <c r="K7" s="3349" t="s">
        <v>2625</v>
      </c>
      <c r="L7" s="3349" t="s">
        <v>2626</v>
      </c>
      <c r="M7" s="3349" t="s">
        <v>2627</v>
      </c>
      <c r="N7" s="3349">
        <v>19233.59</v>
      </c>
      <c r="O7" s="3349"/>
      <c r="P7" s="3349"/>
      <c r="Q7" s="3349"/>
      <c r="R7" s="3349"/>
      <c r="S7" s="3349"/>
      <c r="T7" s="3349"/>
      <c r="U7" s="3349"/>
      <c r="V7" s="3349"/>
      <c r="W7" s="3349"/>
      <c r="X7" s="3355"/>
      <c r="Y7" s="3356"/>
      <c r="Z7" s="3356"/>
      <c r="AA7" s="3356"/>
      <c r="AB7" s="3349"/>
      <c r="AC7" s="3349"/>
    </row>
    <row r="8" spans="1:29" ht="63" hidden="1" customHeight="1">
      <c r="A8" s="3346">
        <v>113</v>
      </c>
      <c r="B8" s="3349" t="s">
        <v>2628</v>
      </c>
      <c r="C8" s="3349" t="s">
        <v>2629</v>
      </c>
      <c r="D8" s="3349" t="s">
        <v>2446</v>
      </c>
      <c r="E8" s="3349" t="s">
        <v>2630</v>
      </c>
      <c r="F8" s="3349">
        <v>42866.6</v>
      </c>
      <c r="G8" s="3349" t="s">
        <v>2631</v>
      </c>
      <c r="H8" s="3349" t="s">
        <v>2632</v>
      </c>
      <c r="I8" s="3354">
        <v>2.2200000000000002</v>
      </c>
      <c r="J8" s="3349" t="s">
        <v>2624</v>
      </c>
      <c r="K8" s="3349" t="s">
        <v>2633</v>
      </c>
      <c r="L8" s="3349" t="s">
        <v>2634</v>
      </c>
      <c r="M8" s="3349" t="s">
        <v>2627</v>
      </c>
      <c r="N8" s="3349">
        <v>3255.56</v>
      </c>
      <c r="O8" s="3349"/>
      <c r="P8" s="3349"/>
      <c r="Q8" s="3349"/>
      <c r="R8" s="3349"/>
      <c r="S8" s="3349"/>
      <c r="T8" s="3349"/>
      <c r="U8" s="3349"/>
      <c r="V8" s="3349"/>
      <c r="W8" s="3349"/>
      <c r="X8" s="3355"/>
      <c r="Y8" s="3356"/>
      <c r="Z8" s="3356"/>
      <c r="AA8" s="3356"/>
      <c r="AB8" s="3349"/>
      <c r="AC8" s="3349"/>
    </row>
    <row r="9" spans="1:29" ht="63" hidden="1" customHeight="1">
      <c r="A9" s="3346">
        <v>118</v>
      </c>
      <c r="B9" s="3347" t="s">
        <v>2476</v>
      </c>
      <c r="C9" s="3347" t="s">
        <v>2476</v>
      </c>
      <c r="D9" s="3347" t="s">
        <v>2446</v>
      </c>
      <c r="E9" s="3357" t="s">
        <v>2477</v>
      </c>
      <c r="F9" s="3347">
        <v>121393.71</v>
      </c>
      <c r="G9" s="3347">
        <v>380503</v>
      </c>
      <c r="H9" s="3347">
        <v>506451.20000000001</v>
      </c>
      <c r="I9" s="3348">
        <v>2.76</v>
      </c>
      <c r="J9" s="3347" t="s">
        <v>2478</v>
      </c>
      <c r="K9" s="3347" t="s">
        <v>2479</v>
      </c>
      <c r="L9" s="3347" t="s">
        <v>2480</v>
      </c>
      <c r="M9" s="3347" t="s">
        <v>2481</v>
      </c>
      <c r="N9" s="3347">
        <v>10446</v>
      </c>
      <c r="O9" s="3347" t="s">
        <v>2482</v>
      </c>
      <c r="P9" s="3358"/>
      <c r="Q9" s="3358"/>
      <c r="R9" s="3358"/>
      <c r="S9" s="3359"/>
      <c r="T9" s="3359"/>
      <c r="U9" s="3359"/>
      <c r="V9" s="3359"/>
      <c r="W9" s="3359"/>
      <c r="X9" s="3359"/>
      <c r="Y9" s="3359"/>
      <c r="Z9" s="3359"/>
      <c r="AA9" s="3359"/>
      <c r="AB9" s="3359"/>
      <c r="AC9" s="3359"/>
    </row>
    <row r="10" spans="1:29" ht="63" hidden="1" customHeight="1">
      <c r="A10" s="3346">
        <v>129</v>
      </c>
      <c r="B10" s="3357" t="s">
        <v>2483</v>
      </c>
      <c r="C10" s="3357" t="s">
        <v>2484</v>
      </c>
      <c r="D10" s="3357" t="s">
        <v>2487</v>
      </c>
      <c r="E10" s="3347" t="s">
        <v>2488</v>
      </c>
      <c r="F10" s="3357">
        <v>159324.07999999999</v>
      </c>
      <c r="G10" s="3357" t="s">
        <v>2489</v>
      </c>
      <c r="H10" s="3357" t="s">
        <v>2490</v>
      </c>
      <c r="I10" s="3360">
        <v>2.4900000000000002</v>
      </c>
      <c r="J10" s="3347" t="s">
        <v>2491</v>
      </c>
      <c r="K10" s="3347" t="s">
        <v>2492</v>
      </c>
      <c r="L10" s="3347" t="s">
        <v>2493</v>
      </c>
      <c r="M10" s="3347" t="s">
        <v>2494</v>
      </c>
      <c r="N10" s="3347">
        <v>4815.03</v>
      </c>
      <c r="O10" s="3347" t="s">
        <v>2501</v>
      </c>
      <c r="P10" s="3347"/>
      <c r="Q10" s="3347"/>
      <c r="R10" s="3347"/>
      <c r="S10" s="3347"/>
      <c r="T10" s="3347"/>
      <c r="U10" s="3347"/>
      <c r="V10" s="3347"/>
      <c r="W10" s="3347"/>
      <c r="X10" s="3347"/>
      <c r="Y10" s="3347"/>
      <c r="Z10" s="3347"/>
      <c r="AA10" s="3347"/>
      <c r="AB10" s="3347"/>
      <c r="AC10" s="3347"/>
    </row>
    <row r="11" spans="1:29" ht="63" hidden="1" customHeight="1">
      <c r="A11" s="3346">
        <v>130</v>
      </c>
      <c r="B11" s="3357" t="s">
        <v>2485</v>
      </c>
      <c r="C11" s="3357" t="s">
        <v>2486</v>
      </c>
      <c r="D11" s="3357" t="s">
        <v>2446</v>
      </c>
      <c r="E11" s="3349" t="s">
        <v>2495</v>
      </c>
      <c r="F11" s="3357">
        <v>11463.450999999999</v>
      </c>
      <c r="G11" s="3357" t="s">
        <v>2496</v>
      </c>
      <c r="H11" s="3357" t="s">
        <v>2497</v>
      </c>
      <c r="I11" s="3360">
        <v>1.97</v>
      </c>
      <c r="J11" s="3347">
        <v>2.5</v>
      </c>
      <c r="K11" s="3347" t="s">
        <v>2498</v>
      </c>
      <c r="L11" s="3347" t="s">
        <v>2499</v>
      </c>
      <c r="M11" s="3347" t="s">
        <v>2500</v>
      </c>
      <c r="N11" s="3347">
        <v>5822.07</v>
      </c>
      <c r="O11" s="3347" t="s">
        <v>2502</v>
      </c>
      <c r="P11" s="3347"/>
      <c r="Q11" s="3347"/>
      <c r="R11" s="3347"/>
      <c r="S11" s="3347"/>
      <c r="T11" s="3347"/>
      <c r="U11" s="3347"/>
      <c r="V11" s="3347" t="s">
        <v>2459</v>
      </c>
      <c r="W11" s="3347"/>
      <c r="X11" s="3347"/>
      <c r="Y11" s="3347"/>
      <c r="Z11" s="3347"/>
      <c r="AA11" s="3347"/>
      <c r="AB11" s="3347"/>
      <c r="AC11" s="3347"/>
    </row>
    <row r="12" spans="1:29" ht="63" hidden="1" customHeight="1">
      <c r="A12" s="3320">
        <v>4</v>
      </c>
      <c r="B12" s="3323" t="s">
        <v>2503</v>
      </c>
      <c r="C12" s="3323" t="s">
        <v>2504</v>
      </c>
      <c r="D12" s="3323" t="s">
        <v>2446</v>
      </c>
      <c r="E12" s="3328" t="s">
        <v>2454</v>
      </c>
      <c r="F12" s="3323">
        <v>31058.75</v>
      </c>
      <c r="G12" s="3323" t="s">
        <v>2505</v>
      </c>
      <c r="H12" s="3323" t="s">
        <v>2506</v>
      </c>
      <c r="I12" s="3324">
        <v>1.2</v>
      </c>
      <c r="J12" s="3323" t="s">
        <v>2507</v>
      </c>
      <c r="K12" s="3323" t="s">
        <v>2508</v>
      </c>
      <c r="L12" s="3323" t="s">
        <v>2509</v>
      </c>
      <c r="M12" s="3323" t="s">
        <v>2510</v>
      </c>
      <c r="N12" s="3323" t="s">
        <v>2511</v>
      </c>
      <c r="O12" s="3323" t="s">
        <v>2512</v>
      </c>
      <c r="P12" s="3323" t="s">
        <v>2513</v>
      </c>
      <c r="Q12" s="3323" t="s">
        <v>2514</v>
      </c>
      <c r="R12" s="3323" t="s">
        <v>2515</v>
      </c>
      <c r="S12" s="3323" t="s">
        <v>2516</v>
      </c>
      <c r="T12" s="3321">
        <v>3243.23</v>
      </c>
      <c r="U12" s="3328" t="s">
        <v>2517</v>
      </c>
      <c r="V12" s="3322">
        <v>43834</v>
      </c>
      <c r="W12" s="3323"/>
      <c r="X12" s="3323"/>
      <c r="Y12" s="3323"/>
      <c r="Z12" s="3323"/>
      <c r="AA12" s="3323"/>
      <c r="AB12" s="3323"/>
      <c r="AC12" s="3323"/>
    </row>
    <row r="13" spans="1:29" ht="63" hidden="1" customHeight="1">
      <c r="A13" s="3320">
        <v>5</v>
      </c>
      <c r="B13" s="3323" t="s">
        <v>2518</v>
      </c>
      <c r="C13" s="3323" t="s">
        <v>2519</v>
      </c>
      <c r="D13" s="3323" t="s">
        <v>2446</v>
      </c>
      <c r="E13" s="3323" t="s">
        <v>368</v>
      </c>
      <c r="F13" s="3323">
        <v>19156.5</v>
      </c>
      <c r="G13" s="3323">
        <v>30626.6</v>
      </c>
      <c r="H13" s="3323">
        <v>30626.6</v>
      </c>
      <c r="I13" s="3324">
        <v>1.6</v>
      </c>
      <c r="J13" s="3323">
        <v>2.5</v>
      </c>
      <c r="K13" s="3323" t="s">
        <v>2520</v>
      </c>
      <c r="L13" s="3323" t="s">
        <v>2521</v>
      </c>
      <c r="M13" s="3323" t="s">
        <v>2522</v>
      </c>
      <c r="N13" s="3323">
        <v>14096</v>
      </c>
      <c r="O13" s="3323">
        <v>3524</v>
      </c>
      <c r="P13" s="3323" t="s">
        <v>2523</v>
      </c>
      <c r="Q13" s="3323">
        <v>3536</v>
      </c>
      <c r="R13" s="3323">
        <v>14119</v>
      </c>
      <c r="S13" s="3323" t="s">
        <v>2524</v>
      </c>
      <c r="T13" s="3321">
        <v>1952</v>
      </c>
      <c r="U13" s="3328" t="s">
        <v>2525</v>
      </c>
      <c r="V13" s="3322">
        <v>43835</v>
      </c>
      <c r="W13" s="3323"/>
      <c r="X13" s="3323"/>
      <c r="Y13" s="3323"/>
      <c r="Z13" s="3323"/>
      <c r="AA13" s="3323"/>
      <c r="AB13" s="3323"/>
      <c r="AC13" s="3323"/>
    </row>
    <row r="14" spans="1:29" ht="63" hidden="1" customHeight="1">
      <c r="A14" s="3320">
        <v>5</v>
      </c>
      <c r="B14" s="3323" t="s">
        <v>2526</v>
      </c>
      <c r="C14" s="3323" t="s">
        <v>2527</v>
      </c>
      <c r="D14" s="3323" t="s">
        <v>2528</v>
      </c>
      <c r="E14" s="3323" t="s">
        <v>2529</v>
      </c>
      <c r="F14" s="3323">
        <v>54889.73</v>
      </c>
      <c r="G14" s="3323" t="s">
        <v>2530</v>
      </c>
      <c r="H14" s="3323" t="s">
        <v>2531</v>
      </c>
      <c r="I14" s="3324">
        <v>2.69</v>
      </c>
      <c r="J14" s="3323">
        <v>2.5</v>
      </c>
      <c r="K14" s="3323" t="s">
        <v>2532</v>
      </c>
      <c r="L14" s="3321" t="s">
        <v>2533</v>
      </c>
      <c r="M14" s="3323" t="s">
        <v>2534</v>
      </c>
      <c r="N14" s="3323" t="s">
        <v>2535</v>
      </c>
      <c r="O14" s="3323" t="s">
        <v>2536</v>
      </c>
      <c r="P14" s="3323" t="s">
        <v>2537</v>
      </c>
      <c r="Q14" s="3323" t="s">
        <v>2538</v>
      </c>
      <c r="R14" s="3323" t="s">
        <v>2539</v>
      </c>
      <c r="S14" s="3323" t="s">
        <v>2540</v>
      </c>
      <c r="T14" s="3321">
        <v>3857</v>
      </c>
      <c r="U14" s="3323" t="s">
        <v>2541</v>
      </c>
      <c r="V14" s="3322">
        <v>43987</v>
      </c>
      <c r="W14" s="3323"/>
      <c r="X14" s="3323"/>
      <c r="Y14" s="3323"/>
      <c r="Z14" s="3323"/>
      <c r="AA14" s="3323"/>
      <c r="AB14" s="3323"/>
      <c r="AC14" s="3323"/>
    </row>
    <row r="15" spans="1:29" ht="63" hidden="1" customHeight="1">
      <c r="A15" s="3320">
        <v>6</v>
      </c>
      <c r="B15" s="3323" t="s">
        <v>2542</v>
      </c>
      <c r="C15" s="3323" t="s">
        <v>2543</v>
      </c>
      <c r="D15" s="3323" t="s">
        <v>2446</v>
      </c>
      <c r="E15" s="3323" t="s">
        <v>2544</v>
      </c>
      <c r="F15" s="3323">
        <v>30181.38</v>
      </c>
      <c r="G15" s="3323" t="s">
        <v>2545</v>
      </c>
      <c r="H15" s="3323" t="s">
        <v>2546</v>
      </c>
      <c r="I15" s="3324">
        <v>2</v>
      </c>
      <c r="J15" s="3323">
        <v>2.5</v>
      </c>
      <c r="K15" s="3321" t="s">
        <v>2547</v>
      </c>
      <c r="L15" s="3323" t="s">
        <v>2548</v>
      </c>
      <c r="M15" s="3323" t="s">
        <v>2453</v>
      </c>
      <c r="N15" s="3323" t="s">
        <v>2549</v>
      </c>
      <c r="O15" s="3323" t="s">
        <v>2550</v>
      </c>
      <c r="P15" s="3323" t="s">
        <v>2551</v>
      </c>
      <c r="Q15" s="3323" t="s">
        <v>2552</v>
      </c>
      <c r="R15" s="3323" t="s">
        <v>2553</v>
      </c>
      <c r="S15" s="3323" t="s">
        <v>2554</v>
      </c>
      <c r="T15" s="3321">
        <v>2067.0500000000002</v>
      </c>
      <c r="U15" s="3323" t="s">
        <v>2555</v>
      </c>
      <c r="V15" s="3322">
        <v>43988</v>
      </c>
      <c r="W15" s="3323"/>
      <c r="X15" s="3323"/>
      <c r="Y15" s="3323"/>
      <c r="Z15" s="3323"/>
      <c r="AA15" s="3323"/>
      <c r="AB15" s="3323"/>
      <c r="AC15" s="3323"/>
    </row>
    <row r="16" spans="1:29" ht="63" hidden="1" customHeight="1">
      <c r="A16" s="3320">
        <v>7</v>
      </c>
      <c r="B16" s="3323" t="s">
        <v>2556</v>
      </c>
      <c r="C16" s="3323" t="s">
        <v>2557</v>
      </c>
      <c r="D16" s="3323" t="s">
        <v>2446</v>
      </c>
      <c r="E16" s="3323" t="s">
        <v>2544</v>
      </c>
      <c r="F16" s="3323">
        <v>32798.879999999997</v>
      </c>
      <c r="G16" s="3323" t="s">
        <v>2558</v>
      </c>
      <c r="H16" s="3323" t="s">
        <v>2559</v>
      </c>
      <c r="I16" s="3324">
        <v>2</v>
      </c>
      <c r="J16" s="3323">
        <v>2.5</v>
      </c>
      <c r="K16" s="3321" t="s">
        <v>2547</v>
      </c>
      <c r="L16" s="3323" t="s">
        <v>2548</v>
      </c>
      <c r="M16" s="3323" t="s">
        <v>2453</v>
      </c>
      <c r="N16" s="3323" t="s">
        <v>2560</v>
      </c>
      <c r="O16" s="3323" t="s">
        <v>2561</v>
      </c>
      <c r="P16" s="3323" t="s">
        <v>2562</v>
      </c>
      <c r="Q16" s="3323" t="s">
        <v>2563</v>
      </c>
      <c r="R16" s="3323" t="s">
        <v>2564</v>
      </c>
      <c r="S16" s="3323" t="s">
        <v>2565</v>
      </c>
      <c r="T16" s="3321">
        <v>2649.42</v>
      </c>
      <c r="U16" s="3323" t="s">
        <v>2566</v>
      </c>
      <c r="V16" s="3322">
        <v>43989</v>
      </c>
      <c r="W16" s="3323"/>
      <c r="X16" s="3323"/>
      <c r="Y16" s="3323"/>
      <c r="Z16" s="3323"/>
      <c r="AA16" s="3323"/>
      <c r="AB16" s="3323"/>
      <c r="AC16" s="3323"/>
    </row>
    <row r="17" spans="1:16371" ht="63" hidden="1" customHeight="1">
      <c r="A17" s="3320">
        <v>8</v>
      </c>
      <c r="B17" s="3329" t="s">
        <v>2567</v>
      </c>
      <c r="C17" s="3329" t="s">
        <v>2568</v>
      </c>
      <c r="D17" s="3329" t="s">
        <v>2569</v>
      </c>
      <c r="E17" s="3329" t="s">
        <v>2570</v>
      </c>
      <c r="F17" s="3329">
        <v>82528.800000000003</v>
      </c>
      <c r="G17" s="3329" t="s">
        <v>2571</v>
      </c>
      <c r="H17" s="3329" t="s">
        <v>2572</v>
      </c>
      <c r="I17" s="3329">
        <v>1.3</v>
      </c>
      <c r="J17" s="3329" t="s">
        <v>2573</v>
      </c>
      <c r="K17" s="3329" t="s">
        <v>2574</v>
      </c>
      <c r="L17" s="3329"/>
      <c r="M17" s="3329" t="s">
        <v>2575</v>
      </c>
      <c r="N17" s="3329" t="s">
        <v>2576</v>
      </c>
      <c r="O17" s="3329"/>
      <c r="P17" s="3329" t="s">
        <v>2577</v>
      </c>
      <c r="Q17" s="3329"/>
      <c r="R17" s="3329" t="s">
        <v>2578</v>
      </c>
      <c r="S17" s="3329"/>
      <c r="T17" s="3329" t="s">
        <v>2579</v>
      </c>
      <c r="U17" s="3323" t="s">
        <v>2580</v>
      </c>
      <c r="V17" s="3322">
        <v>43990</v>
      </c>
      <c r="W17" s="3323"/>
      <c r="X17" s="3323"/>
      <c r="Y17" s="3323"/>
      <c r="Z17" s="3323"/>
      <c r="AA17" s="3323"/>
      <c r="AB17" s="3323"/>
      <c r="AC17" s="3323"/>
    </row>
    <row r="18" spans="1:16371" ht="63" hidden="1" customHeight="1">
      <c r="A18" s="3330">
        <v>39</v>
      </c>
      <c r="B18" s="3323" t="s">
        <v>2635</v>
      </c>
      <c r="C18" s="3323" t="s">
        <v>2636</v>
      </c>
      <c r="D18" s="3323" t="s">
        <v>2637</v>
      </c>
      <c r="E18" s="3323" t="s">
        <v>2638</v>
      </c>
      <c r="F18" s="3323">
        <v>17.37</v>
      </c>
      <c r="G18" s="3323">
        <v>17.37</v>
      </c>
      <c r="H18" s="3323">
        <v>17.37</v>
      </c>
      <c r="I18" s="3324">
        <v>1</v>
      </c>
      <c r="J18" s="3323" t="s">
        <v>2639</v>
      </c>
      <c r="K18" s="3323" t="s">
        <v>2640</v>
      </c>
      <c r="L18" s="3323">
        <v>10240</v>
      </c>
      <c r="M18" s="3323" t="s">
        <v>2641</v>
      </c>
      <c r="N18" s="3323">
        <v>21497</v>
      </c>
      <c r="O18" s="3323">
        <v>5374</v>
      </c>
      <c r="P18" s="3323" t="s">
        <v>2642</v>
      </c>
      <c r="Q18" s="3323" t="s">
        <v>2643</v>
      </c>
      <c r="R18" s="3323">
        <v>20590</v>
      </c>
      <c r="S18" s="3323">
        <v>5148</v>
      </c>
      <c r="T18" s="3323"/>
      <c r="U18" s="3323" t="s">
        <v>2644</v>
      </c>
      <c r="V18" s="3322">
        <v>44044</v>
      </c>
      <c r="W18" s="3323"/>
      <c r="X18" s="3323"/>
      <c r="Y18" s="3323"/>
      <c r="Z18" s="3323"/>
      <c r="AA18" s="3323"/>
      <c r="AB18" s="3323"/>
      <c r="AC18" s="3323"/>
    </row>
    <row r="19" spans="1:16371" ht="63" hidden="1" customHeight="1">
      <c r="A19" s="3330">
        <v>40</v>
      </c>
      <c r="B19" s="3323" t="s">
        <v>2581</v>
      </c>
      <c r="C19" s="3323" t="s">
        <v>2582</v>
      </c>
      <c r="D19" s="3323" t="s">
        <v>2446</v>
      </c>
      <c r="E19" s="3323" t="s">
        <v>2529</v>
      </c>
      <c r="F19" s="3323">
        <v>181871.01699999999</v>
      </c>
      <c r="G19" s="3323" t="s">
        <v>2583</v>
      </c>
      <c r="H19" s="3323" t="s">
        <v>2584</v>
      </c>
      <c r="I19" s="3324">
        <v>1.92</v>
      </c>
      <c r="J19" s="3323" t="s">
        <v>2491</v>
      </c>
      <c r="K19" s="3323" t="s">
        <v>2585</v>
      </c>
      <c r="L19" s="3323" t="s">
        <v>2586</v>
      </c>
      <c r="M19" s="3323" t="s">
        <v>2534</v>
      </c>
      <c r="N19" s="3323" t="s">
        <v>2587</v>
      </c>
      <c r="O19" s="3323" t="s">
        <v>2588</v>
      </c>
      <c r="P19" s="3323" t="s">
        <v>2589</v>
      </c>
      <c r="Q19" s="3323" t="s">
        <v>2590</v>
      </c>
      <c r="R19" s="3323" t="s">
        <v>2591</v>
      </c>
      <c r="S19" s="3323" t="s">
        <v>2592</v>
      </c>
      <c r="T19" s="3323">
        <v>16000</v>
      </c>
      <c r="U19" s="3323" t="s">
        <v>2593</v>
      </c>
      <c r="V19" s="3322">
        <v>44045</v>
      </c>
      <c r="W19" s="3323"/>
      <c r="X19" s="3323"/>
      <c r="Y19" s="3323"/>
      <c r="Z19" s="3323"/>
      <c r="AA19" s="3323"/>
      <c r="AB19" s="3323"/>
      <c r="AC19" s="3323"/>
    </row>
    <row r="20" spans="1:16371" ht="63" hidden="1" customHeight="1">
      <c r="A20" s="3331">
        <v>3</v>
      </c>
      <c r="B20" s="3325" t="s">
        <v>2594</v>
      </c>
      <c r="C20" s="3325" t="s">
        <v>2595</v>
      </c>
      <c r="D20" s="3325" t="s">
        <v>2446</v>
      </c>
      <c r="E20" s="3325" t="s">
        <v>2596</v>
      </c>
      <c r="F20" s="3325">
        <v>63005.366999999998</v>
      </c>
      <c r="G20" s="3325" t="s">
        <v>2597</v>
      </c>
      <c r="H20" s="3325" t="s">
        <v>2598</v>
      </c>
      <c r="I20" s="3326">
        <v>2.72</v>
      </c>
      <c r="J20" s="3332" t="s">
        <v>2478</v>
      </c>
      <c r="K20" s="3332" t="s">
        <v>2479</v>
      </c>
      <c r="L20" s="3332" t="s">
        <v>2480</v>
      </c>
      <c r="M20" s="3332" t="s">
        <v>2481</v>
      </c>
      <c r="N20" s="3325" t="s">
        <v>2599</v>
      </c>
      <c r="O20" s="3325" t="s">
        <v>2600</v>
      </c>
      <c r="P20" s="3325" t="s">
        <v>2601</v>
      </c>
      <c r="Q20" s="3325" t="s">
        <v>2602</v>
      </c>
      <c r="R20" s="3325" t="s">
        <v>2603</v>
      </c>
      <c r="S20" s="3325" t="s">
        <v>2604</v>
      </c>
      <c r="T20" s="3325">
        <v>10446</v>
      </c>
      <c r="U20" s="3325" t="s">
        <v>2605</v>
      </c>
      <c r="V20" s="3327">
        <v>44107</v>
      </c>
      <c r="W20" s="3333"/>
      <c r="X20" s="3333"/>
      <c r="Y20" s="3333"/>
      <c r="Z20" s="3333"/>
      <c r="AA20" s="3333"/>
      <c r="AB20" s="3333"/>
      <c r="AC20" s="3333"/>
    </row>
    <row r="21" spans="1:16371" ht="63" hidden="1" customHeight="1">
      <c r="A21" s="3331">
        <v>4</v>
      </c>
      <c r="B21" s="3325" t="s">
        <v>2606</v>
      </c>
      <c r="C21" s="3325" t="s">
        <v>2607</v>
      </c>
      <c r="D21" s="3325" t="s">
        <v>2446</v>
      </c>
      <c r="E21" s="3325" t="s">
        <v>2608</v>
      </c>
      <c r="F21" s="3325">
        <v>58300</v>
      </c>
      <c r="G21" s="3325" t="s">
        <v>2609</v>
      </c>
      <c r="H21" s="3325" t="s">
        <v>2610</v>
      </c>
      <c r="I21" s="3326">
        <v>1.8</v>
      </c>
      <c r="J21" s="3325">
        <v>2.5</v>
      </c>
      <c r="K21" s="3325" t="s">
        <v>2611</v>
      </c>
      <c r="L21" s="3325" t="s">
        <v>2612</v>
      </c>
      <c r="M21" s="3325" t="s">
        <v>2500</v>
      </c>
      <c r="N21" s="3325" t="s">
        <v>2613</v>
      </c>
      <c r="O21" s="3325" t="s">
        <v>2614</v>
      </c>
      <c r="P21" s="3325" t="s">
        <v>2615</v>
      </c>
      <c r="Q21" s="3325" t="s">
        <v>2616</v>
      </c>
      <c r="R21" s="3325" t="s">
        <v>2617</v>
      </c>
      <c r="S21" s="3325" t="s">
        <v>2618</v>
      </c>
      <c r="T21" s="3325">
        <v>7896.42</v>
      </c>
      <c r="U21" s="3325" t="s">
        <v>2619</v>
      </c>
      <c r="V21" s="3327">
        <v>44108</v>
      </c>
      <c r="W21" s="3333"/>
      <c r="X21" s="3333"/>
      <c r="Y21" s="3333"/>
      <c r="Z21" s="3333"/>
      <c r="AA21" s="3333"/>
      <c r="AB21" s="3333"/>
      <c r="AC21" s="3333"/>
    </row>
    <row r="22" spans="1:16371" ht="63" hidden="1" customHeight="1">
      <c r="A22" s="3338">
        <v>7</v>
      </c>
      <c r="B22" s="3339" t="s">
        <v>2645</v>
      </c>
      <c r="C22" s="3339" t="s">
        <v>2646</v>
      </c>
      <c r="D22" s="3339" t="s">
        <v>2422</v>
      </c>
      <c r="E22" s="3339">
        <v>266.67</v>
      </c>
      <c r="F22" s="3339">
        <v>122.3</v>
      </c>
      <c r="G22" s="3340">
        <v>0.46</v>
      </c>
      <c r="H22" s="3339">
        <v>1.5</v>
      </c>
      <c r="I22" s="3341" t="s">
        <v>2647</v>
      </c>
      <c r="J22" s="3339">
        <v>4640</v>
      </c>
      <c r="K22" s="3339" t="s">
        <v>2648</v>
      </c>
      <c r="L22" s="3341"/>
      <c r="M22" s="3339" t="s">
        <v>2649</v>
      </c>
      <c r="N22" s="3339" t="s">
        <v>2650</v>
      </c>
      <c r="O22" s="3339"/>
      <c r="P22" s="3339"/>
      <c r="Q22" s="3339"/>
      <c r="R22" s="3339"/>
      <c r="S22" s="3339"/>
      <c r="T22" s="3339"/>
      <c r="U22" s="3339"/>
      <c r="V22" s="3339"/>
      <c r="W22" s="3339"/>
      <c r="X22" s="3339"/>
      <c r="Y22" s="3339"/>
      <c r="Z22" s="3339"/>
      <c r="AA22" s="3339"/>
      <c r="AB22" s="3339"/>
      <c r="AC22" s="3339"/>
    </row>
    <row r="23" spans="1:16371" ht="63" hidden="1" customHeight="1">
      <c r="A23" s="3342">
        <v>6</v>
      </c>
      <c r="B23" s="3343" t="s">
        <v>2651</v>
      </c>
      <c r="C23" s="3343" t="s">
        <v>2652</v>
      </c>
      <c r="D23" s="3343" t="s">
        <v>2653</v>
      </c>
      <c r="E23" s="3343">
        <v>18431.756000000001</v>
      </c>
      <c r="F23" s="3343" t="s">
        <v>2654</v>
      </c>
      <c r="G23" s="3344" t="s">
        <v>2655</v>
      </c>
      <c r="H23" s="3343" t="s">
        <v>2491</v>
      </c>
      <c r="I23" s="3343" t="s">
        <v>2656</v>
      </c>
      <c r="J23" s="3343" t="s">
        <v>2657</v>
      </c>
      <c r="K23" s="3343" t="s">
        <v>2658</v>
      </c>
      <c r="L23" s="3343">
        <v>7313</v>
      </c>
      <c r="M23" s="3339" t="s">
        <v>2659</v>
      </c>
      <c r="N23" s="3339" t="s">
        <v>2660</v>
      </c>
      <c r="O23" s="3345"/>
      <c r="P23" s="3344"/>
      <c r="Q23" s="3344"/>
      <c r="R23" s="3343"/>
      <c r="S23" s="3343"/>
      <c r="T23" s="3343"/>
      <c r="U23" s="3343"/>
      <c r="V23" s="3343"/>
      <c r="W23" s="3343"/>
      <c r="X23" s="3343"/>
      <c r="Y23" s="3343"/>
      <c r="Z23" s="3343"/>
      <c r="AA23" s="3343"/>
      <c r="AB23" s="3343"/>
      <c r="AC23" s="3343"/>
    </row>
    <row r="25" spans="1:16371" s="3472" customFormat="1" ht="171.75" customHeight="1">
      <c r="A25" s="3469">
        <v>1</v>
      </c>
      <c r="B25" s="3470" t="s">
        <v>2819</v>
      </c>
      <c r="C25" s="3470" t="s">
        <v>2820</v>
      </c>
      <c r="D25" s="3470" t="s">
        <v>2446</v>
      </c>
      <c r="E25" s="3470" t="s">
        <v>2488</v>
      </c>
      <c r="F25" s="3470">
        <v>38062.076999999997</v>
      </c>
      <c r="G25" s="3470" t="s">
        <v>2821</v>
      </c>
      <c r="H25" s="3470" t="s">
        <v>2822</v>
      </c>
      <c r="I25" s="3471" t="s">
        <v>2823</v>
      </c>
      <c r="J25" s="3470">
        <v>2.5</v>
      </c>
      <c r="K25" s="3470" t="s">
        <v>2824</v>
      </c>
      <c r="L25" s="3470" t="s">
        <v>2825</v>
      </c>
      <c r="M25" s="3470" t="s">
        <v>2453</v>
      </c>
      <c r="N25" s="3472" t="s">
        <v>2826</v>
      </c>
      <c r="O25" s="3472" t="s">
        <v>2827</v>
      </c>
      <c r="P25" s="3472" t="s">
        <v>2828</v>
      </c>
      <c r="Q25" s="3472" t="s">
        <v>2829</v>
      </c>
      <c r="R25" s="3472" t="s">
        <v>2830</v>
      </c>
      <c r="S25" s="3472" t="s">
        <v>2831</v>
      </c>
      <c r="T25" s="3472" t="s">
        <v>2832</v>
      </c>
      <c r="U25" s="3472" t="s">
        <v>2833</v>
      </c>
      <c r="V25" s="3473">
        <v>43952</v>
      </c>
      <c r="Y25" s="3473">
        <v>43952</v>
      </c>
      <c r="Z25" s="3472">
        <v>19622</v>
      </c>
    </row>
    <row r="26" spans="1:16371" ht="15" thickBot="1">
      <c r="B26" s="3868" t="s">
        <v>302</v>
      </c>
      <c r="C26" s="3379" t="s">
        <v>2710</v>
      </c>
      <c r="D26" s="3380" t="s">
        <v>2711</v>
      </c>
      <c r="E26" s="3380" t="s">
        <v>2712</v>
      </c>
      <c r="F26" s="3381" t="s">
        <v>2713</v>
      </c>
      <c r="G26" s="3380" t="s">
        <v>2714</v>
      </c>
    </row>
    <row r="27" spans="1:16371" ht="15" thickBot="1">
      <c r="B27" s="3869"/>
      <c r="C27" s="3379" t="s">
        <v>2715</v>
      </c>
      <c r="D27" s="3380">
        <v>5150</v>
      </c>
      <c r="E27" s="3380">
        <v>5090</v>
      </c>
      <c r="F27" s="3380">
        <v>5050</v>
      </c>
      <c r="G27" s="3380">
        <v>970</v>
      </c>
    </row>
    <row r="28" spans="1:16371" ht="130.5">
      <c r="A28" s="3461">
        <v>3</v>
      </c>
      <c r="B28" s="3462" t="s">
        <v>2812</v>
      </c>
      <c r="C28" s="3462" t="s">
        <v>2813</v>
      </c>
      <c r="D28" s="3462" t="s">
        <v>2814</v>
      </c>
      <c r="E28" s="3462">
        <v>27.22</v>
      </c>
      <c r="F28" s="3462">
        <v>27.22</v>
      </c>
      <c r="G28" s="3463">
        <v>1</v>
      </c>
      <c r="H28" s="3462">
        <v>2.5</v>
      </c>
      <c r="I28" s="3462" t="s">
        <v>2815</v>
      </c>
      <c r="J28" s="3462">
        <v>13860</v>
      </c>
      <c r="K28" s="3462" t="s">
        <v>2816</v>
      </c>
      <c r="L28" s="3464"/>
      <c r="M28" s="3462" t="s">
        <v>2817</v>
      </c>
      <c r="N28" s="3465">
        <v>44214</v>
      </c>
      <c r="O28" s="3466"/>
      <c r="P28" s="3466"/>
      <c r="Q28" s="3466"/>
      <c r="R28" s="3466" t="s">
        <v>2818</v>
      </c>
      <c r="S28" s="3466"/>
      <c r="T28" s="3466"/>
      <c r="U28" s="3466"/>
      <c r="V28" s="3466"/>
      <c r="W28" s="3467"/>
      <c r="X28" s="3467"/>
      <c r="Y28" s="3467"/>
      <c r="Z28" s="3467"/>
      <c r="AA28" s="3467"/>
      <c r="AB28" s="3468"/>
      <c r="AC28" s="3468"/>
      <c r="AD28" s="3468"/>
      <c r="AE28" s="3468"/>
      <c r="AF28" s="3468"/>
      <c r="AG28" s="3468"/>
      <c r="AH28" s="3468"/>
      <c r="AI28" s="3468"/>
      <c r="AJ28" s="3468"/>
      <c r="AK28" s="3468"/>
      <c r="AL28" s="3468"/>
      <c r="AM28" s="3468"/>
      <c r="AN28" s="3468"/>
      <c r="AO28" s="3468"/>
      <c r="AP28" s="3468"/>
      <c r="AQ28" s="3468"/>
      <c r="AR28" s="3468"/>
      <c r="AS28" s="3468"/>
      <c r="AT28" s="3468"/>
      <c r="AU28" s="3468"/>
      <c r="AV28" s="3468"/>
      <c r="AW28" s="3468"/>
      <c r="AX28" s="3468"/>
      <c r="AY28" s="3468"/>
      <c r="AZ28" s="3468"/>
      <c r="BA28" s="3468"/>
      <c r="BB28" s="3468"/>
      <c r="BC28" s="3468"/>
      <c r="BD28" s="3468"/>
      <c r="BE28" s="3468"/>
      <c r="BF28" s="3468"/>
      <c r="BG28" s="3468"/>
      <c r="BH28" s="3468"/>
      <c r="BI28" s="3468"/>
      <c r="BJ28" s="3468"/>
      <c r="BK28" s="3468"/>
      <c r="BL28" s="3468"/>
      <c r="BM28" s="3468"/>
      <c r="BN28" s="3468"/>
      <c r="BO28" s="3468"/>
      <c r="BP28" s="3468"/>
      <c r="BQ28" s="3468"/>
      <c r="BR28" s="3468"/>
      <c r="BS28" s="3468"/>
      <c r="BT28" s="3468"/>
      <c r="BU28" s="3468"/>
      <c r="BV28" s="3468"/>
      <c r="BW28" s="3468"/>
      <c r="BX28" s="3468"/>
      <c r="BY28" s="3468"/>
      <c r="BZ28" s="3468"/>
      <c r="CA28" s="3468"/>
      <c r="CB28" s="3468"/>
      <c r="CC28" s="3468"/>
      <c r="CD28" s="3468"/>
      <c r="CE28" s="3468"/>
      <c r="CF28" s="3468"/>
      <c r="CG28" s="3468"/>
      <c r="CH28" s="3468"/>
      <c r="CI28" s="3468"/>
      <c r="CJ28" s="3468"/>
      <c r="CK28" s="3468"/>
      <c r="CL28" s="3468"/>
      <c r="CM28" s="3468"/>
      <c r="CN28" s="3468"/>
      <c r="CO28" s="3468"/>
      <c r="CP28" s="3468"/>
      <c r="CQ28" s="3468"/>
      <c r="CR28" s="3468"/>
      <c r="CS28" s="3468"/>
      <c r="CT28" s="3468"/>
      <c r="CU28" s="3468"/>
      <c r="CV28" s="3468"/>
      <c r="CW28" s="3468"/>
      <c r="CX28" s="3468"/>
      <c r="CY28" s="3468"/>
      <c r="CZ28" s="3468"/>
      <c r="DA28" s="3468"/>
      <c r="DB28" s="3468"/>
      <c r="DC28" s="3468"/>
      <c r="DD28" s="3468"/>
      <c r="DE28" s="3468"/>
      <c r="DF28" s="3468"/>
      <c r="DG28" s="3468"/>
      <c r="DH28" s="3468"/>
      <c r="DI28" s="3468"/>
      <c r="DJ28" s="3468"/>
      <c r="DK28" s="3468"/>
      <c r="DL28" s="3468"/>
      <c r="DM28" s="3468"/>
      <c r="DN28" s="3468"/>
      <c r="DO28" s="3468"/>
      <c r="DP28" s="3468"/>
      <c r="DQ28" s="3468"/>
      <c r="DR28" s="3468"/>
      <c r="DS28" s="3468"/>
      <c r="DT28" s="3468"/>
      <c r="DU28" s="3468"/>
      <c r="DV28" s="3468"/>
      <c r="DW28" s="3468"/>
      <c r="DX28" s="3468"/>
      <c r="DY28" s="3468"/>
      <c r="DZ28" s="3468"/>
      <c r="EA28" s="3468"/>
      <c r="EB28" s="3468"/>
      <c r="EC28" s="3468"/>
      <c r="ED28" s="3468"/>
      <c r="EE28" s="3468"/>
      <c r="EF28" s="3468"/>
      <c r="EG28" s="3468"/>
      <c r="EH28" s="3468"/>
      <c r="EI28" s="3468"/>
      <c r="EJ28" s="3468"/>
      <c r="EK28" s="3468"/>
      <c r="EL28" s="3468"/>
      <c r="EM28" s="3468"/>
      <c r="EN28" s="3468"/>
      <c r="EO28" s="3468"/>
      <c r="EP28" s="3468"/>
      <c r="EQ28" s="3468"/>
      <c r="ER28" s="3468"/>
      <c r="ES28" s="3468"/>
      <c r="ET28" s="3468"/>
      <c r="EU28" s="3468"/>
      <c r="EV28" s="3468"/>
      <c r="EW28" s="3468"/>
      <c r="EX28" s="3468"/>
      <c r="EY28" s="3468"/>
      <c r="EZ28" s="3468"/>
      <c r="FA28" s="3468"/>
      <c r="FB28" s="3468"/>
      <c r="FC28" s="3468"/>
      <c r="FD28" s="3468"/>
      <c r="FE28" s="3468"/>
      <c r="FF28" s="3468"/>
      <c r="FG28" s="3468"/>
      <c r="FH28" s="3468"/>
      <c r="FI28" s="3468"/>
      <c r="FJ28" s="3468"/>
      <c r="FK28" s="3468"/>
      <c r="FL28" s="3468"/>
      <c r="FM28" s="3468"/>
      <c r="FN28" s="3468"/>
      <c r="FO28" s="3468"/>
      <c r="FP28" s="3468"/>
      <c r="FQ28" s="3468"/>
      <c r="FR28" s="3468"/>
      <c r="FS28" s="3468"/>
      <c r="FT28" s="3468"/>
      <c r="FU28" s="3468"/>
      <c r="FV28" s="3468"/>
      <c r="FW28" s="3468"/>
      <c r="FX28" s="3468"/>
      <c r="FY28" s="3468"/>
      <c r="FZ28" s="3468"/>
      <c r="GA28" s="3468"/>
      <c r="GB28" s="3468"/>
      <c r="GC28" s="3468"/>
      <c r="GD28" s="3468"/>
      <c r="GE28" s="3468"/>
      <c r="GF28" s="3468"/>
      <c r="GG28" s="3468"/>
      <c r="GH28" s="3468"/>
      <c r="GI28" s="3468"/>
      <c r="GJ28" s="3468"/>
      <c r="GK28" s="3468"/>
      <c r="GL28" s="3468"/>
      <c r="GM28" s="3468"/>
      <c r="GN28" s="3468"/>
      <c r="GO28" s="3468"/>
      <c r="GP28" s="3468"/>
      <c r="GQ28" s="3468"/>
      <c r="GR28" s="3468"/>
      <c r="GS28" s="3468"/>
      <c r="GT28" s="3468"/>
      <c r="GU28" s="3468"/>
      <c r="GV28" s="3468"/>
      <c r="GW28" s="3468"/>
      <c r="GX28" s="3468"/>
      <c r="GY28" s="3468"/>
      <c r="GZ28" s="3468"/>
      <c r="HA28" s="3468"/>
      <c r="HB28" s="3468"/>
      <c r="HC28" s="3468"/>
      <c r="HD28" s="3468"/>
      <c r="HE28" s="3468"/>
      <c r="HF28" s="3468"/>
      <c r="HG28" s="3468"/>
      <c r="HH28" s="3468"/>
      <c r="HI28" s="3468"/>
      <c r="HJ28" s="3468"/>
      <c r="HK28" s="3468"/>
      <c r="HL28" s="3468"/>
      <c r="HM28" s="3468"/>
      <c r="HN28" s="3468"/>
      <c r="HO28" s="3468"/>
      <c r="HP28" s="3468"/>
      <c r="HQ28" s="3468"/>
      <c r="HR28" s="3468"/>
      <c r="HS28" s="3468"/>
      <c r="HT28" s="3468"/>
      <c r="HU28" s="3468"/>
      <c r="HV28" s="3468"/>
      <c r="HW28" s="3468"/>
      <c r="HX28" s="3468"/>
      <c r="HY28" s="3468"/>
      <c r="HZ28" s="3468"/>
      <c r="IA28" s="3468"/>
      <c r="IB28" s="3468"/>
      <c r="IC28" s="3468"/>
      <c r="ID28" s="3468"/>
      <c r="IE28" s="3468"/>
      <c r="IF28" s="3468"/>
      <c r="IG28" s="3468"/>
      <c r="IH28" s="3468"/>
      <c r="II28" s="3468"/>
      <c r="IJ28" s="3468"/>
      <c r="IK28" s="3468"/>
      <c r="IL28" s="3468"/>
      <c r="IM28" s="3468"/>
      <c r="IN28" s="3468"/>
      <c r="IO28" s="3468"/>
      <c r="IP28" s="3468"/>
      <c r="IQ28" s="3468"/>
      <c r="IR28" s="3468"/>
      <c r="IS28" s="3468"/>
      <c r="IT28" s="3468"/>
      <c r="IU28" s="3468"/>
      <c r="IV28" s="3468"/>
      <c r="IW28" s="3468"/>
      <c r="IX28" s="3468"/>
      <c r="IY28" s="3468"/>
      <c r="IZ28" s="3468"/>
      <c r="JA28" s="3468"/>
      <c r="JB28" s="3468"/>
      <c r="JC28" s="3468"/>
      <c r="JD28" s="3468"/>
      <c r="JE28" s="3468"/>
      <c r="JF28" s="3468"/>
      <c r="JG28" s="3468"/>
      <c r="JH28" s="3468"/>
      <c r="JI28" s="3468"/>
      <c r="JJ28" s="3468"/>
      <c r="JK28" s="3468"/>
      <c r="JL28" s="3468"/>
      <c r="JM28" s="3468"/>
      <c r="JN28" s="3468"/>
      <c r="JO28" s="3468"/>
      <c r="JP28" s="3468"/>
      <c r="JQ28" s="3468"/>
      <c r="JR28" s="3468"/>
      <c r="JS28" s="3468"/>
      <c r="JT28" s="3468"/>
      <c r="JU28" s="3468"/>
      <c r="JV28" s="3468"/>
      <c r="JW28" s="3468"/>
      <c r="JX28" s="3468"/>
      <c r="JY28" s="3468"/>
      <c r="JZ28" s="3468"/>
      <c r="KA28" s="3468"/>
      <c r="KB28" s="3468"/>
      <c r="KC28" s="3468"/>
      <c r="KD28" s="3468"/>
      <c r="KE28" s="3468"/>
      <c r="KF28" s="3468"/>
      <c r="KG28" s="3468"/>
      <c r="KH28" s="3468"/>
      <c r="KI28" s="3468"/>
      <c r="KJ28" s="3468"/>
      <c r="KK28" s="3468"/>
      <c r="KL28" s="3468"/>
      <c r="KM28" s="3468"/>
      <c r="KN28" s="3468"/>
      <c r="KO28" s="3468"/>
      <c r="KP28" s="3468"/>
      <c r="KQ28" s="3468"/>
      <c r="KR28" s="3468"/>
      <c r="KS28" s="3468"/>
      <c r="KT28" s="3468"/>
      <c r="KU28" s="3468"/>
      <c r="KV28" s="3468"/>
      <c r="KW28" s="3468"/>
      <c r="KX28" s="3468"/>
      <c r="KY28" s="3468"/>
      <c r="KZ28" s="3468"/>
      <c r="LA28" s="3468"/>
      <c r="LB28" s="3468"/>
      <c r="LC28" s="3468"/>
      <c r="LD28" s="3468"/>
      <c r="LE28" s="3468"/>
      <c r="LF28" s="3468"/>
      <c r="LG28" s="3468"/>
      <c r="LH28" s="3468"/>
      <c r="LI28" s="3468"/>
      <c r="LJ28" s="3468"/>
      <c r="LK28" s="3468"/>
      <c r="LL28" s="3468"/>
      <c r="LM28" s="3468"/>
      <c r="LN28" s="3468"/>
      <c r="LO28" s="3468"/>
      <c r="LP28" s="3468"/>
      <c r="LQ28" s="3468"/>
      <c r="LR28" s="3468"/>
      <c r="LS28" s="3468"/>
      <c r="LT28" s="3468"/>
      <c r="LU28" s="3468"/>
      <c r="LV28" s="3468"/>
      <c r="LW28" s="3468"/>
      <c r="LX28" s="3468"/>
      <c r="LY28" s="3468"/>
      <c r="LZ28" s="3468"/>
      <c r="MA28" s="3468"/>
      <c r="MB28" s="3468"/>
      <c r="MC28" s="3468"/>
      <c r="MD28" s="3468"/>
      <c r="ME28" s="3468"/>
      <c r="MF28" s="3468"/>
      <c r="MG28" s="3468"/>
      <c r="MH28" s="3468"/>
      <c r="MI28" s="3468"/>
      <c r="MJ28" s="3468"/>
      <c r="MK28" s="3468"/>
      <c r="ML28" s="3468"/>
      <c r="MM28" s="3468"/>
      <c r="MN28" s="3468"/>
      <c r="MO28" s="3468"/>
      <c r="MP28" s="3468"/>
      <c r="MQ28" s="3468"/>
      <c r="MR28" s="3468"/>
      <c r="MS28" s="3468"/>
      <c r="MT28" s="3468"/>
      <c r="MU28" s="3468"/>
      <c r="MV28" s="3468"/>
      <c r="MW28" s="3468"/>
      <c r="MX28" s="3468"/>
      <c r="MY28" s="3468"/>
      <c r="MZ28" s="3468"/>
      <c r="NA28" s="3468"/>
      <c r="NB28" s="3468"/>
      <c r="NC28" s="3468"/>
      <c r="ND28" s="3468"/>
      <c r="NE28" s="3468"/>
      <c r="NF28" s="3468"/>
      <c r="NG28" s="3468"/>
      <c r="NH28" s="3468"/>
      <c r="NI28" s="3468"/>
      <c r="NJ28" s="3468"/>
      <c r="NK28" s="3468"/>
      <c r="NL28" s="3468"/>
      <c r="NM28" s="3468"/>
      <c r="NN28" s="3468"/>
      <c r="NO28" s="3468"/>
      <c r="NP28" s="3468"/>
      <c r="NQ28" s="3468"/>
      <c r="NR28" s="3468"/>
      <c r="NS28" s="3468"/>
      <c r="NT28" s="3468"/>
      <c r="NU28" s="3468"/>
      <c r="NV28" s="3468"/>
      <c r="NW28" s="3468"/>
      <c r="NX28" s="3468"/>
      <c r="NY28" s="3468"/>
      <c r="NZ28" s="3468"/>
      <c r="OA28" s="3468"/>
      <c r="OB28" s="3468"/>
      <c r="OC28" s="3468"/>
      <c r="OD28" s="3468"/>
      <c r="OE28" s="3468"/>
      <c r="OF28" s="3468"/>
      <c r="OG28" s="3468"/>
      <c r="OH28" s="3468"/>
      <c r="OI28" s="3468"/>
      <c r="OJ28" s="3468"/>
      <c r="OK28" s="3468"/>
      <c r="OL28" s="3468"/>
      <c r="OM28" s="3468"/>
      <c r="ON28" s="3468"/>
      <c r="OO28" s="3468"/>
      <c r="OP28" s="3468"/>
      <c r="OQ28" s="3468"/>
      <c r="OR28" s="3468"/>
      <c r="OS28" s="3468"/>
      <c r="OT28" s="3468"/>
      <c r="OU28" s="3468"/>
      <c r="OV28" s="3468"/>
      <c r="OW28" s="3468"/>
      <c r="OX28" s="3468"/>
      <c r="OY28" s="3468"/>
      <c r="OZ28" s="3468"/>
      <c r="PA28" s="3468"/>
      <c r="PB28" s="3468"/>
      <c r="PC28" s="3468"/>
      <c r="PD28" s="3468"/>
      <c r="PE28" s="3468"/>
      <c r="PF28" s="3468"/>
      <c r="PG28" s="3468"/>
      <c r="PH28" s="3468"/>
      <c r="PI28" s="3468"/>
      <c r="PJ28" s="3468"/>
      <c r="PK28" s="3468"/>
      <c r="PL28" s="3468"/>
      <c r="PM28" s="3468"/>
      <c r="PN28" s="3468"/>
      <c r="PO28" s="3468"/>
      <c r="PP28" s="3468"/>
      <c r="PQ28" s="3468"/>
      <c r="PR28" s="3468"/>
      <c r="PS28" s="3468"/>
      <c r="PT28" s="3468"/>
      <c r="PU28" s="3468"/>
      <c r="PV28" s="3468"/>
      <c r="PW28" s="3468"/>
      <c r="PX28" s="3468"/>
      <c r="PY28" s="3468"/>
      <c r="PZ28" s="3468"/>
      <c r="QA28" s="3468"/>
      <c r="QB28" s="3468"/>
      <c r="QC28" s="3468"/>
      <c r="QD28" s="3468"/>
      <c r="QE28" s="3468"/>
      <c r="QF28" s="3468"/>
      <c r="QG28" s="3468"/>
      <c r="QH28" s="3468"/>
      <c r="QI28" s="3468"/>
      <c r="QJ28" s="3468"/>
      <c r="QK28" s="3468"/>
      <c r="QL28" s="3468"/>
      <c r="QM28" s="3468"/>
      <c r="QN28" s="3468"/>
      <c r="QO28" s="3468"/>
      <c r="QP28" s="3468"/>
      <c r="QQ28" s="3468"/>
      <c r="QR28" s="3468"/>
      <c r="QS28" s="3468"/>
      <c r="QT28" s="3468"/>
      <c r="QU28" s="3468"/>
      <c r="QV28" s="3468"/>
      <c r="QW28" s="3468"/>
      <c r="QX28" s="3468"/>
      <c r="QY28" s="3468"/>
      <c r="QZ28" s="3468"/>
      <c r="RA28" s="3468"/>
      <c r="RB28" s="3468"/>
      <c r="RC28" s="3468"/>
      <c r="RD28" s="3468"/>
      <c r="RE28" s="3468"/>
      <c r="RF28" s="3468"/>
      <c r="RG28" s="3468"/>
      <c r="RH28" s="3468"/>
      <c r="RI28" s="3468"/>
      <c r="RJ28" s="3468"/>
      <c r="RK28" s="3468"/>
      <c r="RL28" s="3468"/>
      <c r="RM28" s="3468"/>
      <c r="RN28" s="3468"/>
      <c r="RO28" s="3468"/>
      <c r="RP28" s="3468"/>
      <c r="RQ28" s="3468"/>
      <c r="RR28" s="3468"/>
      <c r="RS28" s="3468"/>
      <c r="RT28" s="3468"/>
      <c r="RU28" s="3468"/>
      <c r="RV28" s="3468"/>
      <c r="RW28" s="3468"/>
      <c r="RX28" s="3468"/>
      <c r="RY28" s="3468"/>
      <c r="RZ28" s="3468"/>
      <c r="SA28" s="3468"/>
      <c r="SB28" s="3468"/>
      <c r="SC28" s="3468"/>
      <c r="SD28" s="3468"/>
      <c r="SE28" s="3468"/>
      <c r="SF28" s="3468"/>
      <c r="SG28" s="3468"/>
      <c r="SH28" s="3468"/>
      <c r="SI28" s="3468"/>
      <c r="SJ28" s="3468"/>
      <c r="SK28" s="3468"/>
      <c r="SL28" s="3468"/>
      <c r="SM28" s="3468"/>
      <c r="SN28" s="3468"/>
      <c r="SO28" s="3468"/>
      <c r="SP28" s="3468"/>
      <c r="SQ28" s="3468"/>
      <c r="SR28" s="3468"/>
      <c r="SS28" s="3468"/>
      <c r="ST28" s="3468"/>
      <c r="SU28" s="3468"/>
      <c r="SV28" s="3468"/>
      <c r="SW28" s="3468"/>
      <c r="SX28" s="3468"/>
      <c r="SY28" s="3468"/>
      <c r="SZ28" s="3468"/>
      <c r="TA28" s="3468"/>
      <c r="TB28" s="3468"/>
      <c r="TC28" s="3468"/>
      <c r="TD28" s="3468"/>
      <c r="TE28" s="3468"/>
      <c r="TF28" s="3468"/>
      <c r="TG28" s="3468"/>
      <c r="TH28" s="3468"/>
      <c r="TI28" s="3468"/>
      <c r="TJ28" s="3468"/>
      <c r="TK28" s="3468"/>
      <c r="TL28" s="3468"/>
      <c r="TM28" s="3468"/>
      <c r="TN28" s="3468"/>
      <c r="TO28" s="3468"/>
      <c r="TP28" s="3468"/>
      <c r="TQ28" s="3468"/>
      <c r="TR28" s="3468"/>
      <c r="TS28" s="3468"/>
      <c r="TT28" s="3468"/>
      <c r="TU28" s="3468"/>
      <c r="TV28" s="3468"/>
      <c r="TW28" s="3468"/>
      <c r="TX28" s="3468"/>
      <c r="TY28" s="3468"/>
      <c r="TZ28" s="3468"/>
      <c r="UA28" s="3468"/>
      <c r="UB28" s="3468"/>
      <c r="UC28" s="3468"/>
      <c r="UD28" s="3468"/>
      <c r="UE28" s="3468"/>
      <c r="UF28" s="3468"/>
      <c r="UG28" s="3468"/>
      <c r="UH28" s="3468"/>
      <c r="UI28" s="3468"/>
      <c r="UJ28" s="3468"/>
      <c r="UK28" s="3468"/>
      <c r="UL28" s="3468"/>
      <c r="UM28" s="3468"/>
      <c r="UN28" s="3468"/>
      <c r="UO28" s="3468"/>
      <c r="UP28" s="3468"/>
      <c r="UQ28" s="3468"/>
      <c r="UR28" s="3468"/>
      <c r="US28" s="3468"/>
      <c r="UT28" s="3468"/>
      <c r="UU28" s="3468"/>
      <c r="UV28" s="3468"/>
      <c r="UW28" s="3468"/>
      <c r="UX28" s="3468"/>
      <c r="UY28" s="3468"/>
      <c r="UZ28" s="3468"/>
      <c r="VA28" s="3468"/>
      <c r="VB28" s="3468"/>
      <c r="VC28" s="3468"/>
      <c r="VD28" s="3468"/>
      <c r="VE28" s="3468"/>
      <c r="VF28" s="3468"/>
      <c r="VG28" s="3468"/>
      <c r="VH28" s="3468"/>
      <c r="VI28" s="3468"/>
      <c r="VJ28" s="3468"/>
      <c r="VK28" s="3468"/>
      <c r="VL28" s="3468"/>
      <c r="VM28" s="3468"/>
      <c r="VN28" s="3468"/>
      <c r="VO28" s="3468"/>
      <c r="VP28" s="3468"/>
      <c r="VQ28" s="3468"/>
      <c r="VR28" s="3468"/>
      <c r="VS28" s="3468"/>
      <c r="VT28" s="3468"/>
      <c r="VU28" s="3468"/>
      <c r="VV28" s="3468"/>
      <c r="VW28" s="3468"/>
      <c r="VX28" s="3468"/>
      <c r="VY28" s="3468"/>
      <c r="VZ28" s="3468"/>
      <c r="WA28" s="3468"/>
      <c r="WB28" s="3468"/>
      <c r="WC28" s="3468"/>
      <c r="WD28" s="3468"/>
      <c r="WE28" s="3468"/>
      <c r="WF28" s="3468"/>
      <c r="WG28" s="3468"/>
      <c r="WH28" s="3468"/>
      <c r="WI28" s="3468"/>
      <c r="WJ28" s="3468"/>
      <c r="WK28" s="3468"/>
      <c r="WL28" s="3468"/>
      <c r="WM28" s="3468"/>
      <c r="WN28" s="3468"/>
      <c r="WO28" s="3468"/>
      <c r="WP28" s="3468"/>
      <c r="WQ28" s="3468"/>
      <c r="WR28" s="3468"/>
      <c r="WS28" s="3468"/>
      <c r="WT28" s="3468"/>
      <c r="WU28" s="3468"/>
      <c r="WV28" s="3468"/>
      <c r="WW28" s="3468"/>
      <c r="WX28" s="3468"/>
      <c r="WY28" s="3468"/>
      <c r="WZ28" s="3468"/>
      <c r="XA28" s="3468"/>
      <c r="XB28" s="3468"/>
      <c r="XC28" s="3468"/>
      <c r="XD28" s="3468"/>
      <c r="XE28" s="3468"/>
      <c r="XF28" s="3468"/>
      <c r="XG28" s="3468"/>
      <c r="XH28" s="3468"/>
      <c r="XI28" s="3468"/>
      <c r="XJ28" s="3468"/>
      <c r="XK28" s="3468"/>
      <c r="XL28" s="3468"/>
      <c r="XM28" s="3468"/>
      <c r="XN28" s="3468"/>
      <c r="XO28" s="3468"/>
      <c r="XP28" s="3468"/>
      <c r="XQ28" s="3468"/>
      <c r="XR28" s="3468"/>
      <c r="XS28" s="3468"/>
      <c r="XT28" s="3468"/>
      <c r="XU28" s="3468"/>
      <c r="XV28" s="3468"/>
      <c r="XW28" s="3468"/>
      <c r="XX28" s="3468"/>
      <c r="XY28" s="3468"/>
      <c r="XZ28" s="3468"/>
      <c r="YA28" s="3468"/>
      <c r="YB28" s="3468"/>
      <c r="YC28" s="3468"/>
      <c r="YD28" s="3468"/>
      <c r="YE28" s="3468"/>
      <c r="YF28" s="3468"/>
      <c r="YG28" s="3468"/>
      <c r="YH28" s="3468"/>
      <c r="YI28" s="3468"/>
      <c r="YJ28" s="3468"/>
      <c r="YK28" s="3468"/>
      <c r="YL28" s="3468"/>
      <c r="YM28" s="3468"/>
      <c r="YN28" s="3468"/>
      <c r="YO28" s="3468"/>
      <c r="YP28" s="3468"/>
      <c r="YQ28" s="3468"/>
      <c r="YR28" s="3468"/>
      <c r="YS28" s="3468"/>
      <c r="YT28" s="3468"/>
      <c r="YU28" s="3468"/>
      <c r="YV28" s="3468"/>
      <c r="YW28" s="3468"/>
      <c r="YX28" s="3468"/>
      <c r="YY28" s="3468"/>
      <c r="YZ28" s="3468"/>
      <c r="ZA28" s="3468"/>
      <c r="ZB28" s="3468"/>
      <c r="ZC28" s="3468"/>
      <c r="ZD28" s="3468"/>
      <c r="ZE28" s="3468"/>
      <c r="ZF28" s="3468"/>
      <c r="ZG28" s="3468"/>
      <c r="ZH28" s="3468"/>
      <c r="ZI28" s="3468"/>
      <c r="ZJ28" s="3468"/>
      <c r="ZK28" s="3468"/>
      <c r="ZL28" s="3468"/>
      <c r="ZM28" s="3468"/>
      <c r="ZN28" s="3468"/>
      <c r="ZO28" s="3468"/>
      <c r="ZP28" s="3468"/>
      <c r="ZQ28" s="3468"/>
      <c r="ZR28" s="3468"/>
      <c r="ZS28" s="3468"/>
      <c r="ZT28" s="3468"/>
      <c r="ZU28" s="3468"/>
      <c r="ZV28" s="3468"/>
      <c r="ZW28" s="3468"/>
      <c r="ZX28" s="3468"/>
      <c r="ZY28" s="3468"/>
      <c r="ZZ28" s="3468"/>
      <c r="AAA28" s="3468"/>
      <c r="AAB28" s="3468"/>
      <c r="AAC28" s="3468"/>
      <c r="AAD28" s="3468"/>
      <c r="AAE28" s="3468"/>
      <c r="AAF28" s="3468"/>
      <c r="AAG28" s="3468"/>
      <c r="AAH28" s="3468"/>
      <c r="AAI28" s="3468"/>
      <c r="AAJ28" s="3468"/>
      <c r="AAK28" s="3468"/>
      <c r="AAL28" s="3468"/>
      <c r="AAM28" s="3468"/>
      <c r="AAN28" s="3468"/>
      <c r="AAO28" s="3468"/>
      <c r="AAP28" s="3468"/>
      <c r="AAQ28" s="3468"/>
      <c r="AAR28" s="3468"/>
      <c r="AAS28" s="3468"/>
      <c r="AAT28" s="3468"/>
      <c r="AAU28" s="3468"/>
      <c r="AAV28" s="3468"/>
      <c r="AAW28" s="3468"/>
      <c r="AAX28" s="3468"/>
      <c r="AAY28" s="3468"/>
      <c r="AAZ28" s="3468"/>
      <c r="ABA28" s="3468"/>
      <c r="ABB28" s="3468"/>
      <c r="ABC28" s="3468"/>
      <c r="ABD28" s="3468"/>
      <c r="ABE28" s="3468"/>
      <c r="ABF28" s="3468"/>
      <c r="ABG28" s="3468"/>
      <c r="ABH28" s="3468"/>
      <c r="ABI28" s="3468"/>
      <c r="ABJ28" s="3468"/>
      <c r="ABK28" s="3468"/>
      <c r="ABL28" s="3468"/>
      <c r="ABM28" s="3468"/>
      <c r="ABN28" s="3468"/>
      <c r="ABO28" s="3468"/>
      <c r="ABP28" s="3468"/>
      <c r="ABQ28" s="3468"/>
      <c r="ABR28" s="3468"/>
      <c r="ABS28" s="3468"/>
      <c r="ABT28" s="3468"/>
      <c r="ABU28" s="3468"/>
      <c r="ABV28" s="3468"/>
      <c r="ABW28" s="3468"/>
      <c r="ABX28" s="3468"/>
      <c r="ABY28" s="3468"/>
      <c r="ABZ28" s="3468"/>
      <c r="ACA28" s="3468"/>
      <c r="ACB28" s="3468"/>
      <c r="ACC28" s="3468"/>
      <c r="ACD28" s="3468"/>
      <c r="ACE28" s="3468"/>
      <c r="ACF28" s="3468"/>
      <c r="ACG28" s="3468"/>
      <c r="ACH28" s="3468"/>
      <c r="ACI28" s="3468"/>
      <c r="ACJ28" s="3468"/>
      <c r="ACK28" s="3468"/>
      <c r="ACL28" s="3468"/>
      <c r="ACM28" s="3468"/>
      <c r="ACN28" s="3468"/>
      <c r="ACO28" s="3468"/>
      <c r="ACP28" s="3468"/>
      <c r="ACQ28" s="3468"/>
      <c r="ACR28" s="3468"/>
      <c r="ACS28" s="3468"/>
      <c r="ACT28" s="3468"/>
      <c r="ACU28" s="3468"/>
      <c r="ACV28" s="3468"/>
      <c r="ACW28" s="3468"/>
      <c r="ACX28" s="3468"/>
      <c r="ACY28" s="3468"/>
      <c r="ACZ28" s="3468"/>
      <c r="ADA28" s="3468"/>
      <c r="ADB28" s="3468"/>
      <c r="ADC28" s="3468"/>
      <c r="ADD28" s="3468"/>
      <c r="ADE28" s="3468"/>
      <c r="ADF28" s="3468"/>
      <c r="ADG28" s="3468"/>
      <c r="ADH28" s="3468"/>
      <c r="ADI28" s="3468"/>
      <c r="ADJ28" s="3468"/>
      <c r="ADK28" s="3468"/>
      <c r="ADL28" s="3468"/>
      <c r="ADM28" s="3468"/>
      <c r="ADN28" s="3468"/>
      <c r="ADO28" s="3468"/>
      <c r="ADP28" s="3468"/>
      <c r="ADQ28" s="3468"/>
      <c r="ADR28" s="3468"/>
      <c r="ADS28" s="3468"/>
      <c r="ADT28" s="3468"/>
      <c r="ADU28" s="3468"/>
      <c r="ADV28" s="3468"/>
      <c r="ADW28" s="3468"/>
      <c r="ADX28" s="3468"/>
      <c r="ADY28" s="3468"/>
      <c r="ADZ28" s="3468"/>
      <c r="AEA28" s="3468"/>
      <c r="AEB28" s="3468"/>
      <c r="AEC28" s="3468"/>
      <c r="AED28" s="3468"/>
      <c r="AEE28" s="3468"/>
      <c r="AEF28" s="3468"/>
      <c r="AEG28" s="3468"/>
      <c r="AEH28" s="3468"/>
      <c r="AEI28" s="3468"/>
      <c r="AEJ28" s="3468"/>
      <c r="AEK28" s="3468"/>
      <c r="AEL28" s="3468"/>
      <c r="AEM28" s="3468"/>
      <c r="AEN28" s="3468"/>
      <c r="AEO28" s="3468"/>
      <c r="AEP28" s="3468"/>
      <c r="AEQ28" s="3468"/>
      <c r="AER28" s="3468"/>
      <c r="AES28" s="3468"/>
      <c r="AET28" s="3468"/>
      <c r="AEU28" s="3468"/>
      <c r="AEV28" s="3468"/>
      <c r="AEW28" s="3468"/>
      <c r="AEX28" s="3468"/>
      <c r="AEY28" s="3468"/>
      <c r="AEZ28" s="3468"/>
      <c r="AFA28" s="3468"/>
      <c r="AFB28" s="3468"/>
      <c r="AFC28" s="3468"/>
      <c r="AFD28" s="3468"/>
      <c r="AFE28" s="3468"/>
      <c r="AFF28" s="3468"/>
      <c r="AFG28" s="3468"/>
      <c r="AFH28" s="3468"/>
      <c r="AFI28" s="3468"/>
      <c r="AFJ28" s="3468"/>
      <c r="AFK28" s="3468"/>
      <c r="AFL28" s="3468"/>
      <c r="AFM28" s="3468"/>
      <c r="AFN28" s="3468"/>
      <c r="AFO28" s="3468"/>
      <c r="AFP28" s="3468"/>
      <c r="AFQ28" s="3468"/>
      <c r="AFR28" s="3468"/>
      <c r="AFS28" s="3468"/>
      <c r="AFT28" s="3468"/>
      <c r="AFU28" s="3468"/>
      <c r="AFV28" s="3468"/>
      <c r="AFW28" s="3468"/>
      <c r="AFX28" s="3468"/>
      <c r="AFY28" s="3468"/>
      <c r="AFZ28" s="3468"/>
      <c r="AGA28" s="3468"/>
      <c r="AGB28" s="3468"/>
      <c r="AGC28" s="3468"/>
      <c r="AGD28" s="3468"/>
      <c r="AGE28" s="3468"/>
      <c r="AGF28" s="3468"/>
      <c r="AGG28" s="3468"/>
      <c r="AGH28" s="3468"/>
      <c r="AGI28" s="3468"/>
      <c r="AGJ28" s="3468"/>
      <c r="AGK28" s="3468"/>
      <c r="AGL28" s="3468"/>
      <c r="AGM28" s="3468"/>
      <c r="AGN28" s="3468"/>
      <c r="AGO28" s="3468"/>
      <c r="AGP28" s="3468"/>
      <c r="AGQ28" s="3468"/>
      <c r="AGR28" s="3468"/>
      <c r="AGS28" s="3468"/>
      <c r="AGT28" s="3468"/>
      <c r="AGU28" s="3468"/>
      <c r="AGV28" s="3468"/>
      <c r="AGW28" s="3468"/>
      <c r="AGX28" s="3468"/>
      <c r="AGY28" s="3468"/>
      <c r="AGZ28" s="3468"/>
      <c r="AHA28" s="3468"/>
      <c r="AHB28" s="3468"/>
      <c r="AHC28" s="3468"/>
      <c r="AHD28" s="3468"/>
      <c r="AHE28" s="3468"/>
      <c r="AHF28" s="3468"/>
      <c r="AHG28" s="3468"/>
      <c r="AHH28" s="3468"/>
      <c r="AHI28" s="3468"/>
      <c r="AHJ28" s="3468"/>
      <c r="AHK28" s="3468"/>
      <c r="AHL28" s="3468"/>
      <c r="AHM28" s="3468"/>
      <c r="AHN28" s="3468"/>
      <c r="AHO28" s="3468"/>
      <c r="AHP28" s="3468"/>
      <c r="AHQ28" s="3468"/>
      <c r="AHR28" s="3468"/>
      <c r="AHS28" s="3468"/>
      <c r="AHT28" s="3468"/>
      <c r="AHU28" s="3468"/>
      <c r="AHV28" s="3468"/>
      <c r="AHW28" s="3468"/>
      <c r="AHX28" s="3468"/>
      <c r="AHY28" s="3468"/>
      <c r="AHZ28" s="3468"/>
      <c r="AIA28" s="3468"/>
      <c r="AIB28" s="3468"/>
      <c r="AIC28" s="3468"/>
      <c r="AID28" s="3468"/>
      <c r="AIE28" s="3468"/>
      <c r="AIF28" s="3468"/>
      <c r="AIG28" s="3468"/>
      <c r="AIH28" s="3468"/>
      <c r="AII28" s="3468"/>
      <c r="AIJ28" s="3468"/>
      <c r="AIK28" s="3468"/>
      <c r="AIL28" s="3468"/>
      <c r="AIM28" s="3468"/>
      <c r="AIN28" s="3468"/>
      <c r="AIO28" s="3468"/>
      <c r="AIP28" s="3468"/>
      <c r="AIQ28" s="3468"/>
      <c r="AIR28" s="3468"/>
      <c r="AIS28" s="3468"/>
      <c r="AIT28" s="3468"/>
      <c r="AIU28" s="3468"/>
      <c r="AIV28" s="3468"/>
      <c r="AIW28" s="3468"/>
      <c r="AIX28" s="3468"/>
      <c r="AIY28" s="3468"/>
      <c r="AIZ28" s="3468"/>
      <c r="AJA28" s="3468"/>
      <c r="AJB28" s="3468"/>
      <c r="AJC28" s="3468"/>
      <c r="AJD28" s="3468"/>
      <c r="AJE28" s="3468"/>
      <c r="AJF28" s="3468"/>
      <c r="AJG28" s="3468"/>
      <c r="AJH28" s="3468"/>
      <c r="AJI28" s="3468"/>
      <c r="AJJ28" s="3468"/>
      <c r="AJK28" s="3468"/>
      <c r="AJL28" s="3468"/>
      <c r="AJM28" s="3468"/>
      <c r="AJN28" s="3468"/>
      <c r="AJO28" s="3468"/>
      <c r="AJP28" s="3468"/>
      <c r="AJQ28" s="3468"/>
      <c r="AJR28" s="3468"/>
      <c r="AJS28" s="3468"/>
      <c r="AJT28" s="3468"/>
      <c r="AJU28" s="3468"/>
      <c r="AJV28" s="3468"/>
      <c r="AJW28" s="3468"/>
      <c r="AJX28" s="3468"/>
      <c r="AJY28" s="3468"/>
      <c r="AJZ28" s="3468"/>
      <c r="AKA28" s="3468"/>
      <c r="AKB28" s="3468"/>
      <c r="AKC28" s="3468"/>
      <c r="AKD28" s="3468"/>
      <c r="AKE28" s="3468"/>
      <c r="AKF28" s="3468"/>
      <c r="AKG28" s="3468"/>
      <c r="AKH28" s="3468"/>
      <c r="AKI28" s="3468"/>
      <c r="AKJ28" s="3468"/>
      <c r="AKK28" s="3468"/>
      <c r="AKL28" s="3468"/>
      <c r="AKM28" s="3468"/>
      <c r="AKN28" s="3468"/>
      <c r="AKO28" s="3468"/>
      <c r="AKP28" s="3468"/>
      <c r="AKQ28" s="3468"/>
      <c r="AKR28" s="3468"/>
      <c r="AKS28" s="3468"/>
      <c r="AKT28" s="3468"/>
      <c r="AKU28" s="3468"/>
      <c r="AKV28" s="3468"/>
      <c r="AKW28" s="3468"/>
      <c r="AKX28" s="3468"/>
      <c r="AKY28" s="3468"/>
      <c r="AKZ28" s="3468"/>
      <c r="ALA28" s="3468"/>
      <c r="ALB28" s="3468"/>
      <c r="ALC28" s="3468"/>
      <c r="ALD28" s="3468"/>
      <c r="ALE28" s="3468"/>
      <c r="ALF28" s="3468"/>
      <c r="ALG28" s="3468"/>
      <c r="ALH28" s="3468"/>
      <c r="ALI28" s="3468"/>
      <c r="ALJ28" s="3468"/>
      <c r="ALK28" s="3468"/>
      <c r="ALL28" s="3468"/>
      <c r="ALM28" s="3468"/>
      <c r="ALN28" s="3468"/>
      <c r="ALO28" s="3468"/>
      <c r="ALP28" s="3468"/>
      <c r="ALQ28" s="3468"/>
      <c r="ALR28" s="3468"/>
      <c r="ALS28" s="3468"/>
      <c r="ALT28" s="3468"/>
      <c r="ALU28" s="3468"/>
      <c r="ALV28" s="3468"/>
      <c r="ALW28" s="3468"/>
      <c r="ALX28" s="3468"/>
      <c r="ALY28" s="3468"/>
      <c r="ALZ28" s="3468"/>
      <c r="AMA28" s="3468"/>
      <c r="AMB28" s="3468"/>
      <c r="AMC28" s="3468"/>
      <c r="AMD28" s="3468"/>
      <c r="AME28" s="3468"/>
      <c r="AMF28" s="3468"/>
      <c r="AMG28" s="3468"/>
      <c r="AMH28" s="3468"/>
      <c r="AMI28" s="3468"/>
      <c r="AMJ28" s="3468"/>
      <c r="AMK28" s="3468"/>
      <c r="AML28" s="3468"/>
      <c r="AMM28" s="3468"/>
      <c r="AMN28" s="3468"/>
      <c r="AMO28" s="3468"/>
      <c r="AMP28" s="3468"/>
      <c r="AMQ28" s="3468"/>
      <c r="AMR28" s="3468"/>
      <c r="AMS28" s="3468"/>
      <c r="AMT28" s="3468"/>
      <c r="AMU28" s="3468"/>
      <c r="AMV28" s="3468"/>
      <c r="AMW28" s="3468"/>
      <c r="AMX28" s="3468"/>
      <c r="AMY28" s="3468"/>
      <c r="AMZ28" s="3468"/>
      <c r="ANA28" s="3468"/>
      <c r="ANB28" s="3468"/>
      <c r="ANC28" s="3468"/>
      <c r="AND28" s="3468"/>
      <c r="ANE28" s="3468"/>
      <c r="ANF28" s="3468"/>
      <c r="ANG28" s="3468"/>
      <c r="ANH28" s="3468"/>
      <c r="ANI28" s="3468"/>
      <c r="ANJ28" s="3468"/>
      <c r="ANK28" s="3468"/>
      <c r="ANL28" s="3468"/>
      <c r="ANM28" s="3468"/>
      <c r="ANN28" s="3468"/>
      <c r="ANO28" s="3468"/>
      <c r="ANP28" s="3468"/>
      <c r="ANQ28" s="3468"/>
      <c r="ANR28" s="3468"/>
      <c r="ANS28" s="3468"/>
      <c r="ANT28" s="3468"/>
      <c r="ANU28" s="3468"/>
      <c r="ANV28" s="3468"/>
      <c r="ANW28" s="3468"/>
      <c r="ANX28" s="3468"/>
      <c r="ANY28" s="3468"/>
      <c r="ANZ28" s="3468"/>
      <c r="AOA28" s="3468"/>
      <c r="AOB28" s="3468"/>
      <c r="AOC28" s="3468"/>
      <c r="AOD28" s="3468"/>
      <c r="AOE28" s="3468"/>
      <c r="AOF28" s="3468"/>
      <c r="AOG28" s="3468"/>
      <c r="AOH28" s="3468"/>
      <c r="AOI28" s="3468"/>
      <c r="AOJ28" s="3468"/>
      <c r="AOK28" s="3468"/>
      <c r="AOL28" s="3468"/>
      <c r="AOM28" s="3468"/>
      <c r="AON28" s="3468"/>
      <c r="AOO28" s="3468"/>
      <c r="AOP28" s="3468"/>
      <c r="AOQ28" s="3468"/>
      <c r="AOR28" s="3468"/>
      <c r="AOS28" s="3468"/>
      <c r="AOT28" s="3468"/>
      <c r="AOU28" s="3468"/>
      <c r="AOV28" s="3468"/>
      <c r="AOW28" s="3468"/>
      <c r="AOX28" s="3468"/>
      <c r="AOY28" s="3468"/>
      <c r="AOZ28" s="3468"/>
      <c r="APA28" s="3468"/>
      <c r="APB28" s="3468"/>
      <c r="APC28" s="3468"/>
      <c r="APD28" s="3468"/>
      <c r="APE28" s="3468"/>
      <c r="APF28" s="3468"/>
      <c r="APG28" s="3468"/>
      <c r="APH28" s="3468"/>
      <c r="API28" s="3468"/>
      <c r="APJ28" s="3468"/>
      <c r="APK28" s="3468"/>
      <c r="APL28" s="3468"/>
      <c r="APM28" s="3468"/>
      <c r="APN28" s="3468"/>
      <c r="APO28" s="3468"/>
      <c r="APP28" s="3468"/>
      <c r="APQ28" s="3468"/>
      <c r="APR28" s="3468"/>
      <c r="APS28" s="3468"/>
      <c r="APT28" s="3468"/>
      <c r="APU28" s="3468"/>
      <c r="APV28" s="3468"/>
      <c r="APW28" s="3468"/>
      <c r="APX28" s="3468"/>
      <c r="APY28" s="3468"/>
      <c r="APZ28" s="3468"/>
      <c r="AQA28" s="3468"/>
      <c r="AQB28" s="3468"/>
      <c r="AQC28" s="3468"/>
      <c r="AQD28" s="3468"/>
      <c r="AQE28" s="3468"/>
      <c r="AQF28" s="3468"/>
      <c r="AQG28" s="3468"/>
      <c r="AQH28" s="3468"/>
      <c r="AQI28" s="3468"/>
      <c r="AQJ28" s="3468"/>
      <c r="AQK28" s="3468"/>
      <c r="AQL28" s="3468"/>
      <c r="AQM28" s="3468"/>
      <c r="AQN28" s="3468"/>
      <c r="AQO28" s="3468"/>
      <c r="AQP28" s="3468"/>
      <c r="AQQ28" s="3468"/>
      <c r="AQR28" s="3468"/>
      <c r="AQS28" s="3468"/>
      <c r="AQT28" s="3468"/>
      <c r="AQU28" s="3468"/>
      <c r="AQV28" s="3468"/>
      <c r="AQW28" s="3468"/>
      <c r="AQX28" s="3468"/>
      <c r="AQY28" s="3468"/>
      <c r="AQZ28" s="3468"/>
      <c r="ARA28" s="3468"/>
      <c r="ARB28" s="3468"/>
      <c r="ARC28" s="3468"/>
      <c r="ARD28" s="3468"/>
      <c r="ARE28" s="3468"/>
      <c r="ARF28" s="3468"/>
      <c r="ARG28" s="3468"/>
      <c r="ARH28" s="3468"/>
      <c r="ARI28" s="3468"/>
      <c r="ARJ28" s="3468"/>
      <c r="ARK28" s="3468"/>
      <c r="ARL28" s="3468"/>
      <c r="ARM28" s="3468"/>
      <c r="ARN28" s="3468"/>
      <c r="ARO28" s="3468"/>
      <c r="ARP28" s="3468"/>
      <c r="ARQ28" s="3468"/>
      <c r="ARR28" s="3468"/>
      <c r="ARS28" s="3468"/>
      <c r="ART28" s="3468"/>
      <c r="ARU28" s="3468"/>
      <c r="ARV28" s="3468"/>
      <c r="ARW28" s="3468"/>
      <c r="ARX28" s="3468"/>
      <c r="ARY28" s="3468"/>
      <c r="ARZ28" s="3468"/>
      <c r="ASA28" s="3468"/>
      <c r="ASB28" s="3468"/>
      <c r="ASC28" s="3468"/>
      <c r="ASD28" s="3468"/>
      <c r="ASE28" s="3468"/>
      <c r="ASF28" s="3468"/>
      <c r="ASG28" s="3468"/>
      <c r="ASH28" s="3468"/>
      <c r="ASI28" s="3468"/>
      <c r="ASJ28" s="3468"/>
      <c r="ASK28" s="3468"/>
      <c r="ASL28" s="3468"/>
      <c r="ASM28" s="3468"/>
      <c r="ASN28" s="3468"/>
      <c r="ASO28" s="3468"/>
      <c r="ASP28" s="3468"/>
      <c r="ASQ28" s="3468"/>
      <c r="ASR28" s="3468"/>
      <c r="ASS28" s="3468"/>
      <c r="AST28" s="3468"/>
      <c r="ASU28" s="3468"/>
      <c r="ASV28" s="3468"/>
      <c r="ASW28" s="3468"/>
      <c r="ASX28" s="3468"/>
      <c r="ASY28" s="3468"/>
      <c r="ASZ28" s="3468"/>
      <c r="ATA28" s="3468"/>
      <c r="ATB28" s="3468"/>
      <c r="ATC28" s="3468"/>
      <c r="ATD28" s="3468"/>
      <c r="ATE28" s="3468"/>
      <c r="ATF28" s="3468"/>
      <c r="ATG28" s="3468"/>
      <c r="ATH28" s="3468"/>
      <c r="ATI28" s="3468"/>
      <c r="ATJ28" s="3468"/>
      <c r="ATK28" s="3468"/>
      <c r="ATL28" s="3468"/>
      <c r="ATM28" s="3468"/>
      <c r="ATN28" s="3468"/>
      <c r="ATO28" s="3468"/>
      <c r="ATP28" s="3468"/>
      <c r="ATQ28" s="3468"/>
      <c r="ATR28" s="3468"/>
      <c r="ATS28" s="3468"/>
      <c r="ATT28" s="3468"/>
      <c r="ATU28" s="3468"/>
      <c r="ATV28" s="3468"/>
      <c r="ATW28" s="3468"/>
      <c r="ATX28" s="3468"/>
      <c r="ATY28" s="3468"/>
      <c r="ATZ28" s="3468"/>
      <c r="AUA28" s="3468"/>
      <c r="AUB28" s="3468"/>
      <c r="AUC28" s="3468"/>
      <c r="AUD28" s="3468"/>
      <c r="AUE28" s="3468"/>
      <c r="AUF28" s="3468"/>
      <c r="AUG28" s="3468"/>
      <c r="AUH28" s="3468"/>
      <c r="AUI28" s="3468"/>
      <c r="AUJ28" s="3468"/>
      <c r="AUK28" s="3468"/>
      <c r="AUL28" s="3468"/>
      <c r="AUM28" s="3468"/>
      <c r="AUN28" s="3468"/>
      <c r="AUO28" s="3468"/>
      <c r="AUP28" s="3468"/>
      <c r="AUQ28" s="3468"/>
      <c r="AUR28" s="3468"/>
      <c r="AUS28" s="3468"/>
      <c r="AUT28" s="3468"/>
      <c r="AUU28" s="3468"/>
      <c r="AUV28" s="3468"/>
      <c r="AUW28" s="3468"/>
      <c r="AUX28" s="3468"/>
      <c r="AUY28" s="3468"/>
      <c r="AUZ28" s="3468"/>
      <c r="AVA28" s="3468"/>
      <c r="AVB28" s="3468"/>
      <c r="AVC28" s="3468"/>
      <c r="AVD28" s="3468"/>
      <c r="AVE28" s="3468"/>
      <c r="AVF28" s="3468"/>
      <c r="AVG28" s="3468"/>
      <c r="AVH28" s="3468"/>
      <c r="AVI28" s="3468"/>
      <c r="AVJ28" s="3468"/>
      <c r="AVK28" s="3468"/>
      <c r="AVL28" s="3468"/>
      <c r="AVM28" s="3468"/>
      <c r="AVN28" s="3468"/>
      <c r="AVO28" s="3468"/>
      <c r="AVP28" s="3468"/>
      <c r="AVQ28" s="3468"/>
      <c r="AVR28" s="3468"/>
      <c r="AVS28" s="3468"/>
      <c r="AVT28" s="3468"/>
      <c r="AVU28" s="3468"/>
      <c r="AVV28" s="3468"/>
      <c r="AVW28" s="3468"/>
      <c r="AVX28" s="3468"/>
      <c r="AVY28" s="3468"/>
      <c r="AVZ28" s="3468"/>
      <c r="AWA28" s="3468"/>
      <c r="AWB28" s="3468"/>
      <c r="AWC28" s="3468"/>
      <c r="AWD28" s="3468"/>
      <c r="AWE28" s="3468"/>
      <c r="AWF28" s="3468"/>
      <c r="AWG28" s="3468"/>
      <c r="AWH28" s="3468"/>
      <c r="AWI28" s="3468"/>
      <c r="AWJ28" s="3468"/>
      <c r="AWK28" s="3468"/>
      <c r="AWL28" s="3468"/>
      <c r="AWM28" s="3468"/>
      <c r="AWN28" s="3468"/>
      <c r="AWO28" s="3468"/>
      <c r="AWP28" s="3468"/>
      <c r="AWQ28" s="3468"/>
      <c r="AWR28" s="3468"/>
      <c r="AWS28" s="3468"/>
      <c r="AWT28" s="3468"/>
      <c r="AWU28" s="3468"/>
      <c r="AWV28" s="3468"/>
      <c r="AWW28" s="3468"/>
      <c r="AWX28" s="3468"/>
      <c r="AWY28" s="3468"/>
      <c r="AWZ28" s="3468"/>
      <c r="AXA28" s="3468"/>
      <c r="AXB28" s="3468"/>
      <c r="AXC28" s="3468"/>
      <c r="AXD28" s="3468"/>
      <c r="AXE28" s="3468"/>
      <c r="AXF28" s="3468"/>
      <c r="AXG28" s="3468"/>
      <c r="AXH28" s="3468"/>
      <c r="AXI28" s="3468"/>
      <c r="AXJ28" s="3468"/>
      <c r="AXK28" s="3468"/>
      <c r="AXL28" s="3468"/>
      <c r="AXM28" s="3468"/>
      <c r="AXN28" s="3468"/>
      <c r="AXO28" s="3468"/>
      <c r="AXP28" s="3468"/>
      <c r="AXQ28" s="3468"/>
      <c r="AXR28" s="3468"/>
      <c r="AXS28" s="3468"/>
      <c r="AXT28" s="3468"/>
      <c r="AXU28" s="3468"/>
      <c r="AXV28" s="3468"/>
      <c r="AXW28" s="3468"/>
      <c r="AXX28" s="3468"/>
      <c r="AXY28" s="3468"/>
      <c r="AXZ28" s="3468"/>
      <c r="AYA28" s="3468"/>
      <c r="AYB28" s="3468"/>
      <c r="AYC28" s="3468"/>
      <c r="AYD28" s="3468"/>
      <c r="AYE28" s="3468"/>
      <c r="AYF28" s="3468"/>
      <c r="AYG28" s="3468"/>
      <c r="AYH28" s="3468"/>
      <c r="AYI28" s="3468"/>
      <c r="AYJ28" s="3468"/>
      <c r="AYK28" s="3468"/>
      <c r="AYL28" s="3468"/>
      <c r="AYM28" s="3468"/>
      <c r="AYN28" s="3468"/>
      <c r="AYO28" s="3468"/>
      <c r="AYP28" s="3468"/>
      <c r="AYQ28" s="3468"/>
      <c r="AYR28" s="3468"/>
      <c r="AYS28" s="3468"/>
      <c r="AYT28" s="3468"/>
      <c r="AYU28" s="3468"/>
      <c r="AYV28" s="3468"/>
      <c r="AYW28" s="3468"/>
      <c r="AYX28" s="3468"/>
      <c r="AYY28" s="3468"/>
      <c r="AYZ28" s="3468"/>
      <c r="AZA28" s="3468"/>
      <c r="AZB28" s="3468"/>
      <c r="AZC28" s="3468"/>
      <c r="AZD28" s="3468"/>
      <c r="AZE28" s="3468"/>
      <c r="AZF28" s="3468"/>
      <c r="AZG28" s="3468"/>
      <c r="AZH28" s="3468"/>
      <c r="AZI28" s="3468"/>
      <c r="AZJ28" s="3468"/>
      <c r="AZK28" s="3468"/>
      <c r="AZL28" s="3468"/>
      <c r="AZM28" s="3468"/>
      <c r="AZN28" s="3468"/>
      <c r="AZO28" s="3468"/>
      <c r="AZP28" s="3468"/>
      <c r="AZQ28" s="3468"/>
      <c r="AZR28" s="3468"/>
      <c r="AZS28" s="3468"/>
      <c r="AZT28" s="3468"/>
      <c r="AZU28" s="3468"/>
      <c r="AZV28" s="3468"/>
      <c r="AZW28" s="3468"/>
      <c r="AZX28" s="3468"/>
      <c r="AZY28" s="3468"/>
      <c r="AZZ28" s="3468"/>
      <c r="BAA28" s="3468"/>
      <c r="BAB28" s="3468"/>
      <c r="BAC28" s="3468"/>
      <c r="BAD28" s="3468"/>
      <c r="BAE28" s="3468"/>
      <c r="BAF28" s="3468"/>
      <c r="BAG28" s="3468"/>
      <c r="BAH28" s="3468"/>
      <c r="BAI28" s="3468"/>
      <c r="BAJ28" s="3468"/>
      <c r="BAK28" s="3468"/>
      <c r="BAL28" s="3468"/>
      <c r="BAM28" s="3468"/>
      <c r="BAN28" s="3468"/>
      <c r="BAO28" s="3468"/>
      <c r="BAP28" s="3468"/>
      <c r="BAQ28" s="3468"/>
      <c r="BAR28" s="3468"/>
      <c r="BAS28" s="3468"/>
      <c r="BAT28" s="3468"/>
      <c r="BAU28" s="3468"/>
      <c r="BAV28" s="3468"/>
      <c r="BAW28" s="3468"/>
      <c r="BAX28" s="3468"/>
      <c r="BAY28" s="3468"/>
      <c r="BAZ28" s="3468"/>
      <c r="BBA28" s="3468"/>
      <c r="BBB28" s="3468"/>
      <c r="BBC28" s="3468"/>
      <c r="BBD28" s="3468"/>
      <c r="BBE28" s="3468"/>
      <c r="BBF28" s="3468"/>
      <c r="BBG28" s="3468"/>
      <c r="BBH28" s="3468"/>
      <c r="BBI28" s="3468"/>
      <c r="BBJ28" s="3468"/>
      <c r="BBK28" s="3468"/>
      <c r="BBL28" s="3468"/>
      <c r="BBM28" s="3468"/>
      <c r="BBN28" s="3468"/>
      <c r="BBO28" s="3468"/>
      <c r="BBP28" s="3468"/>
      <c r="BBQ28" s="3468"/>
      <c r="BBR28" s="3468"/>
      <c r="BBS28" s="3468"/>
      <c r="BBT28" s="3468"/>
      <c r="BBU28" s="3468"/>
      <c r="BBV28" s="3468"/>
      <c r="BBW28" s="3468"/>
      <c r="BBX28" s="3468"/>
      <c r="BBY28" s="3468"/>
      <c r="BBZ28" s="3468"/>
      <c r="BCA28" s="3468"/>
      <c r="BCB28" s="3468"/>
      <c r="BCC28" s="3468"/>
      <c r="BCD28" s="3468"/>
      <c r="BCE28" s="3468"/>
      <c r="BCF28" s="3468"/>
      <c r="BCG28" s="3468"/>
      <c r="BCH28" s="3468"/>
      <c r="BCI28" s="3468"/>
      <c r="BCJ28" s="3468"/>
      <c r="BCK28" s="3468"/>
      <c r="BCL28" s="3468"/>
      <c r="BCM28" s="3468"/>
      <c r="BCN28" s="3468"/>
      <c r="BCO28" s="3468"/>
      <c r="BCP28" s="3468"/>
      <c r="BCQ28" s="3468"/>
      <c r="BCR28" s="3468"/>
      <c r="BCS28" s="3468"/>
      <c r="BCT28" s="3468"/>
      <c r="BCU28" s="3468"/>
      <c r="BCV28" s="3468"/>
      <c r="BCW28" s="3468"/>
      <c r="BCX28" s="3468"/>
      <c r="BCY28" s="3468"/>
      <c r="BCZ28" s="3468"/>
      <c r="BDA28" s="3468"/>
      <c r="BDB28" s="3468"/>
      <c r="BDC28" s="3468"/>
      <c r="BDD28" s="3468"/>
      <c r="BDE28" s="3468"/>
      <c r="BDF28" s="3468"/>
      <c r="BDG28" s="3468"/>
      <c r="BDH28" s="3468"/>
      <c r="BDI28" s="3468"/>
      <c r="BDJ28" s="3468"/>
      <c r="BDK28" s="3468"/>
      <c r="BDL28" s="3468"/>
      <c r="BDM28" s="3468"/>
      <c r="BDN28" s="3468"/>
      <c r="BDO28" s="3468"/>
      <c r="BDP28" s="3468"/>
      <c r="BDQ28" s="3468"/>
      <c r="BDR28" s="3468"/>
      <c r="BDS28" s="3468"/>
      <c r="BDT28" s="3468"/>
      <c r="BDU28" s="3468"/>
      <c r="BDV28" s="3468"/>
      <c r="BDW28" s="3468"/>
      <c r="BDX28" s="3468"/>
      <c r="BDY28" s="3468"/>
      <c r="BDZ28" s="3468"/>
      <c r="BEA28" s="3468"/>
      <c r="BEB28" s="3468"/>
      <c r="BEC28" s="3468"/>
      <c r="BED28" s="3468"/>
      <c r="BEE28" s="3468"/>
      <c r="BEF28" s="3468"/>
      <c r="BEG28" s="3468"/>
      <c r="BEH28" s="3468"/>
      <c r="BEI28" s="3468"/>
      <c r="BEJ28" s="3468"/>
      <c r="BEK28" s="3468"/>
      <c r="BEL28" s="3468"/>
      <c r="BEM28" s="3468"/>
      <c r="BEN28" s="3468"/>
      <c r="BEO28" s="3468"/>
      <c r="BEP28" s="3468"/>
      <c r="BEQ28" s="3468"/>
      <c r="BER28" s="3468"/>
      <c r="BES28" s="3468"/>
      <c r="BET28" s="3468"/>
      <c r="BEU28" s="3468"/>
      <c r="BEV28" s="3468"/>
      <c r="BEW28" s="3468"/>
      <c r="BEX28" s="3468"/>
      <c r="BEY28" s="3468"/>
      <c r="BEZ28" s="3468"/>
      <c r="BFA28" s="3468"/>
      <c r="BFB28" s="3468"/>
      <c r="BFC28" s="3468"/>
      <c r="BFD28" s="3468"/>
      <c r="BFE28" s="3468"/>
      <c r="BFF28" s="3468"/>
      <c r="BFG28" s="3468"/>
      <c r="BFH28" s="3468"/>
      <c r="BFI28" s="3468"/>
      <c r="BFJ28" s="3468"/>
      <c r="BFK28" s="3468"/>
      <c r="BFL28" s="3468"/>
      <c r="BFM28" s="3468"/>
      <c r="BFN28" s="3468"/>
      <c r="BFO28" s="3468"/>
      <c r="BFP28" s="3468"/>
      <c r="BFQ28" s="3468"/>
      <c r="BFR28" s="3468"/>
      <c r="BFS28" s="3468"/>
      <c r="BFT28" s="3468"/>
      <c r="BFU28" s="3468"/>
      <c r="BFV28" s="3468"/>
      <c r="BFW28" s="3468"/>
      <c r="BFX28" s="3468"/>
      <c r="BFY28" s="3468"/>
      <c r="BFZ28" s="3468"/>
      <c r="BGA28" s="3468"/>
      <c r="BGB28" s="3468"/>
      <c r="BGC28" s="3468"/>
      <c r="BGD28" s="3468"/>
      <c r="BGE28" s="3468"/>
      <c r="BGF28" s="3468"/>
      <c r="BGG28" s="3468"/>
      <c r="BGH28" s="3468"/>
      <c r="BGI28" s="3468"/>
      <c r="BGJ28" s="3468"/>
      <c r="BGK28" s="3468"/>
      <c r="BGL28" s="3468"/>
      <c r="BGM28" s="3468"/>
      <c r="BGN28" s="3468"/>
      <c r="BGO28" s="3468"/>
      <c r="BGP28" s="3468"/>
      <c r="BGQ28" s="3468"/>
      <c r="BGR28" s="3468"/>
      <c r="BGS28" s="3468"/>
      <c r="BGT28" s="3468"/>
      <c r="BGU28" s="3468"/>
      <c r="BGV28" s="3468"/>
      <c r="BGW28" s="3468"/>
      <c r="BGX28" s="3468"/>
      <c r="BGY28" s="3468"/>
      <c r="BGZ28" s="3468"/>
      <c r="BHA28" s="3468"/>
      <c r="BHB28" s="3468"/>
      <c r="BHC28" s="3468"/>
      <c r="BHD28" s="3468"/>
      <c r="BHE28" s="3468"/>
      <c r="BHF28" s="3468"/>
      <c r="BHG28" s="3468"/>
      <c r="BHH28" s="3468"/>
      <c r="BHI28" s="3468"/>
      <c r="BHJ28" s="3468"/>
      <c r="BHK28" s="3468"/>
      <c r="BHL28" s="3468"/>
      <c r="BHM28" s="3468"/>
      <c r="BHN28" s="3468"/>
      <c r="BHO28" s="3468"/>
      <c r="BHP28" s="3468"/>
      <c r="BHQ28" s="3468"/>
      <c r="BHR28" s="3468"/>
      <c r="BHS28" s="3468"/>
      <c r="BHT28" s="3468"/>
      <c r="BHU28" s="3468"/>
      <c r="BHV28" s="3468"/>
      <c r="BHW28" s="3468"/>
      <c r="BHX28" s="3468"/>
      <c r="BHY28" s="3468"/>
      <c r="BHZ28" s="3468"/>
      <c r="BIA28" s="3468"/>
      <c r="BIB28" s="3468"/>
      <c r="BIC28" s="3468"/>
      <c r="BID28" s="3468"/>
      <c r="BIE28" s="3468"/>
      <c r="BIF28" s="3468"/>
      <c r="BIG28" s="3468"/>
      <c r="BIH28" s="3468"/>
      <c r="BII28" s="3468"/>
      <c r="BIJ28" s="3468"/>
      <c r="BIK28" s="3468"/>
      <c r="BIL28" s="3468"/>
      <c r="BIM28" s="3468"/>
      <c r="BIN28" s="3468"/>
      <c r="BIO28" s="3468"/>
      <c r="BIP28" s="3468"/>
      <c r="BIQ28" s="3468"/>
      <c r="BIR28" s="3468"/>
      <c r="BIS28" s="3468"/>
      <c r="BIT28" s="3468"/>
      <c r="BIU28" s="3468"/>
      <c r="BIV28" s="3468"/>
      <c r="BIW28" s="3468"/>
      <c r="BIX28" s="3468"/>
      <c r="BIY28" s="3468"/>
      <c r="BIZ28" s="3468"/>
      <c r="BJA28" s="3468"/>
      <c r="BJB28" s="3468"/>
      <c r="BJC28" s="3468"/>
      <c r="BJD28" s="3468"/>
      <c r="BJE28" s="3468"/>
      <c r="BJF28" s="3468"/>
      <c r="BJG28" s="3468"/>
      <c r="BJH28" s="3468"/>
      <c r="BJI28" s="3468"/>
      <c r="BJJ28" s="3468"/>
      <c r="BJK28" s="3468"/>
      <c r="BJL28" s="3468"/>
      <c r="BJM28" s="3468"/>
      <c r="BJN28" s="3468"/>
      <c r="BJO28" s="3468"/>
      <c r="BJP28" s="3468"/>
      <c r="BJQ28" s="3468"/>
      <c r="BJR28" s="3468"/>
      <c r="BJS28" s="3468"/>
      <c r="BJT28" s="3468"/>
      <c r="BJU28" s="3468"/>
      <c r="BJV28" s="3468"/>
      <c r="BJW28" s="3468"/>
      <c r="BJX28" s="3468"/>
      <c r="BJY28" s="3468"/>
      <c r="BJZ28" s="3468"/>
      <c r="BKA28" s="3468"/>
      <c r="BKB28" s="3468"/>
      <c r="BKC28" s="3468"/>
      <c r="BKD28" s="3468"/>
      <c r="BKE28" s="3468"/>
      <c r="BKF28" s="3468"/>
      <c r="BKG28" s="3468"/>
      <c r="BKH28" s="3468"/>
      <c r="BKI28" s="3468"/>
      <c r="BKJ28" s="3468"/>
      <c r="BKK28" s="3468"/>
      <c r="BKL28" s="3468"/>
      <c r="BKM28" s="3468"/>
      <c r="BKN28" s="3468"/>
      <c r="BKO28" s="3468"/>
      <c r="BKP28" s="3468"/>
      <c r="BKQ28" s="3468"/>
      <c r="BKR28" s="3468"/>
      <c r="BKS28" s="3468"/>
      <c r="BKT28" s="3468"/>
      <c r="BKU28" s="3468"/>
      <c r="BKV28" s="3468"/>
      <c r="BKW28" s="3468"/>
      <c r="BKX28" s="3468"/>
      <c r="BKY28" s="3468"/>
      <c r="BKZ28" s="3468"/>
      <c r="BLA28" s="3468"/>
      <c r="BLB28" s="3468"/>
      <c r="BLC28" s="3468"/>
      <c r="BLD28" s="3468"/>
      <c r="BLE28" s="3468"/>
      <c r="BLF28" s="3468"/>
      <c r="BLG28" s="3468"/>
      <c r="BLH28" s="3468"/>
      <c r="BLI28" s="3468"/>
      <c r="BLJ28" s="3468"/>
      <c r="BLK28" s="3468"/>
      <c r="BLL28" s="3468"/>
      <c r="BLM28" s="3468"/>
      <c r="BLN28" s="3468"/>
      <c r="BLO28" s="3468"/>
      <c r="BLP28" s="3468"/>
      <c r="BLQ28" s="3468"/>
      <c r="BLR28" s="3468"/>
      <c r="BLS28" s="3468"/>
      <c r="BLT28" s="3468"/>
      <c r="BLU28" s="3468"/>
      <c r="BLV28" s="3468"/>
      <c r="BLW28" s="3468"/>
      <c r="BLX28" s="3468"/>
      <c r="BLY28" s="3468"/>
      <c r="BLZ28" s="3468"/>
      <c r="BMA28" s="3468"/>
      <c r="BMB28" s="3468"/>
      <c r="BMC28" s="3468"/>
      <c r="BMD28" s="3468"/>
      <c r="BME28" s="3468"/>
      <c r="BMF28" s="3468"/>
      <c r="BMG28" s="3468"/>
      <c r="BMH28" s="3468"/>
      <c r="BMI28" s="3468"/>
      <c r="BMJ28" s="3468"/>
      <c r="BMK28" s="3468"/>
      <c r="BML28" s="3468"/>
      <c r="BMM28" s="3468"/>
      <c r="BMN28" s="3468"/>
      <c r="BMO28" s="3468"/>
      <c r="BMP28" s="3468"/>
      <c r="BMQ28" s="3468"/>
      <c r="BMR28" s="3468"/>
      <c r="BMS28" s="3468"/>
      <c r="BMT28" s="3468"/>
      <c r="BMU28" s="3468"/>
      <c r="BMV28" s="3468"/>
      <c r="BMW28" s="3468"/>
      <c r="BMX28" s="3468"/>
      <c r="BMY28" s="3468"/>
      <c r="BMZ28" s="3468"/>
      <c r="BNA28" s="3468"/>
      <c r="BNB28" s="3468"/>
      <c r="BNC28" s="3468"/>
      <c r="BND28" s="3468"/>
      <c r="BNE28" s="3468"/>
      <c r="BNF28" s="3468"/>
      <c r="BNG28" s="3468"/>
      <c r="BNH28" s="3468"/>
      <c r="BNI28" s="3468"/>
      <c r="BNJ28" s="3468"/>
      <c r="BNK28" s="3468"/>
      <c r="BNL28" s="3468"/>
      <c r="BNM28" s="3468"/>
      <c r="BNN28" s="3468"/>
      <c r="BNO28" s="3468"/>
      <c r="BNP28" s="3468"/>
      <c r="BNQ28" s="3468"/>
      <c r="BNR28" s="3468"/>
      <c r="BNS28" s="3468"/>
      <c r="BNT28" s="3468"/>
      <c r="BNU28" s="3468"/>
      <c r="BNV28" s="3468"/>
      <c r="BNW28" s="3468"/>
      <c r="BNX28" s="3468"/>
      <c r="BNY28" s="3468"/>
      <c r="BNZ28" s="3468"/>
      <c r="BOA28" s="3468"/>
      <c r="BOB28" s="3468"/>
      <c r="BOC28" s="3468"/>
      <c r="BOD28" s="3468"/>
      <c r="BOE28" s="3468"/>
      <c r="BOF28" s="3468"/>
      <c r="BOG28" s="3468"/>
      <c r="BOH28" s="3468"/>
      <c r="BOI28" s="3468"/>
      <c r="BOJ28" s="3468"/>
      <c r="BOK28" s="3468"/>
      <c r="BOL28" s="3468"/>
      <c r="BOM28" s="3468"/>
      <c r="BON28" s="3468"/>
      <c r="BOO28" s="3468"/>
      <c r="BOP28" s="3468"/>
      <c r="BOQ28" s="3468"/>
      <c r="BOR28" s="3468"/>
      <c r="BOS28" s="3468"/>
      <c r="BOT28" s="3468"/>
      <c r="BOU28" s="3468"/>
      <c r="BOV28" s="3468"/>
      <c r="BOW28" s="3468"/>
      <c r="BOX28" s="3468"/>
      <c r="BOY28" s="3468"/>
      <c r="BOZ28" s="3468"/>
      <c r="BPA28" s="3468"/>
      <c r="BPB28" s="3468"/>
      <c r="BPC28" s="3468"/>
      <c r="BPD28" s="3468"/>
      <c r="BPE28" s="3468"/>
      <c r="BPF28" s="3468"/>
      <c r="BPG28" s="3468"/>
      <c r="BPH28" s="3468"/>
      <c r="BPI28" s="3468"/>
      <c r="BPJ28" s="3468"/>
      <c r="BPK28" s="3468"/>
      <c r="BPL28" s="3468"/>
      <c r="BPM28" s="3468"/>
      <c r="BPN28" s="3468"/>
      <c r="BPO28" s="3468"/>
      <c r="BPP28" s="3468"/>
      <c r="BPQ28" s="3468"/>
      <c r="BPR28" s="3468"/>
      <c r="BPS28" s="3468"/>
      <c r="BPT28" s="3468"/>
      <c r="BPU28" s="3468"/>
      <c r="BPV28" s="3468"/>
      <c r="BPW28" s="3468"/>
      <c r="BPX28" s="3468"/>
      <c r="BPY28" s="3468"/>
      <c r="BPZ28" s="3468"/>
      <c r="BQA28" s="3468"/>
      <c r="BQB28" s="3468"/>
      <c r="BQC28" s="3468"/>
      <c r="BQD28" s="3468"/>
      <c r="BQE28" s="3468"/>
      <c r="BQF28" s="3468"/>
      <c r="BQG28" s="3468"/>
      <c r="BQH28" s="3468"/>
      <c r="BQI28" s="3468"/>
      <c r="BQJ28" s="3468"/>
      <c r="BQK28" s="3468"/>
      <c r="BQL28" s="3468"/>
      <c r="BQM28" s="3468"/>
      <c r="BQN28" s="3468"/>
      <c r="BQO28" s="3468"/>
      <c r="BQP28" s="3468"/>
      <c r="BQQ28" s="3468"/>
      <c r="BQR28" s="3468"/>
      <c r="BQS28" s="3468"/>
      <c r="BQT28" s="3468"/>
      <c r="BQU28" s="3468"/>
      <c r="BQV28" s="3468"/>
      <c r="BQW28" s="3468"/>
      <c r="BQX28" s="3468"/>
      <c r="BQY28" s="3468"/>
      <c r="BQZ28" s="3468"/>
      <c r="BRA28" s="3468"/>
      <c r="BRB28" s="3468"/>
      <c r="BRC28" s="3468"/>
      <c r="BRD28" s="3468"/>
      <c r="BRE28" s="3468"/>
      <c r="BRF28" s="3468"/>
      <c r="BRG28" s="3468"/>
      <c r="BRH28" s="3468"/>
      <c r="BRI28" s="3468"/>
      <c r="BRJ28" s="3468"/>
      <c r="BRK28" s="3468"/>
      <c r="BRL28" s="3468"/>
      <c r="BRM28" s="3468"/>
      <c r="BRN28" s="3468"/>
      <c r="BRO28" s="3468"/>
      <c r="BRP28" s="3468"/>
      <c r="BRQ28" s="3468"/>
      <c r="BRR28" s="3468"/>
      <c r="BRS28" s="3468"/>
      <c r="BRT28" s="3468"/>
      <c r="BRU28" s="3468"/>
      <c r="BRV28" s="3468"/>
      <c r="BRW28" s="3468"/>
      <c r="BRX28" s="3468"/>
      <c r="BRY28" s="3468"/>
      <c r="BRZ28" s="3468"/>
      <c r="BSA28" s="3468"/>
      <c r="BSB28" s="3468"/>
      <c r="BSC28" s="3468"/>
      <c r="BSD28" s="3468"/>
      <c r="BSE28" s="3468"/>
      <c r="BSF28" s="3468"/>
      <c r="BSG28" s="3468"/>
      <c r="BSH28" s="3468"/>
      <c r="BSI28" s="3468"/>
      <c r="BSJ28" s="3468"/>
      <c r="BSK28" s="3468"/>
      <c r="BSL28" s="3468"/>
      <c r="BSM28" s="3468"/>
      <c r="BSN28" s="3468"/>
      <c r="BSO28" s="3468"/>
      <c r="BSP28" s="3468"/>
      <c r="BSQ28" s="3468"/>
      <c r="BSR28" s="3468"/>
      <c r="BSS28" s="3468"/>
      <c r="BST28" s="3468"/>
      <c r="BSU28" s="3468"/>
      <c r="BSV28" s="3468"/>
      <c r="BSW28" s="3468"/>
      <c r="BSX28" s="3468"/>
      <c r="BSY28" s="3468"/>
      <c r="BSZ28" s="3468"/>
      <c r="BTA28" s="3468"/>
      <c r="BTB28" s="3468"/>
      <c r="BTC28" s="3468"/>
      <c r="BTD28" s="3468"/>
      <c r="BTE28" s="3468"/>
      <c r="BTF28" s="3468"/>
      <c r="BTG28" s="3468"/>
      <c r="BTH28" s="3468"/>
      <c r="BTI28" s="3468"/>
      <c r="BTJ28" s="3468"/>
      <c r="BTK28" s="3468"/>
      <c r="BTL28" s="3468"/>
      <c r="BTM28" s="3468"/>
      <c r="BTN28" s="3468"/>
      <c r="BTO28" s="3468"/>
      <c r="BTP28" s="3468"/>
      <c r="BTQ28" s="3468"/>
      <c r="BTR28" s="3468"/>
      <c r="BTS28" s="3468"/>
      <c r="BTT28" s="3468"/>
      <c r="BTU28" s="3468"/>
      <c r="BTV28" s="3468"/>
      <c r="BTW28" s="3468"/>
      <c r="BTX28" s="3468"/>
      <c r="BTY28" s="3468"/>
      <c r="BTZ28" s="3468"/>
      <c r="BUA28" s="3468"/>
      <c r="BUB28" s="3468"/>
      <c r="BUC28" s="3468"/>
      <c r="BUD28" s="3468"/>
      <c r="BUE28" s="3468"/>
      <c r="BUF28" s="3468"/>
      <c r="BUG28" s="3468"/>
      <c r="BUH28" s="3468"/>
      <c r="BUI28" s="3468"/>
      <c r="BUJ28" s="3468"/>
      <c r="BUK28" s="3468"/>
      <c r="BUL28" s="3468"/>
      <c r="BUM28" s="3468"/>
      <c r="BUN28" s="3468"/>
      <c r="BUO28" s="3468"/>
      <c r="BUP28" s="3468"/>
      <c r="BUQ28" s="3468"/>
      <c r="BUR28" s="3468"/>
      <c r="BUS28" s="3468"/>
      <c r="BUT28" s="3468"/>
      <c r="BUU28" s="3468"/>
      <c r="BUV28" s="3468"/>
      <c r="BUW28" s="3468"/>
      <c r="BUX28" s="3468"/>
      <c r="BUY28" s="3468"/>
      <c r="BUZ28" s="3468"/>
      <c r="BVA28" s="3468"/>
      <c r="BVB28" s="3468"/>
      <c r="BVC28" s="3468"/>
      <c r="BVD28" s="3468"/>
      <c r="BVE28" s="3468"/>
      <c r="BVF28" s="3468"/>
      <c r="BVG28" s="3468"/>
      <c r="BVH28" s="3468"/>
      <c r="BVI28" s="3468"/>
      <c r="BVJ28" s="3468"/>
      <c r="BVK28" s="3468"/>
      <c r="BVL28" s="3468"/>
      <c r="BVM28" s="3468"/>
      <c r="BVN28" s="3468"/>
      <c r="BVO28" s="3468"/>
      <c r="BVP28" s="3468"/>
      <c r="BVQ28" s="3468"/>
      <c r="BVR28" s="3468"/>
      <c r="BVS28" s="3468"/>
      <c r="BVT28" s="3468"/>
      <c r="BVU28" s="3468"/>
      <c r="BVV28" s="3468"/>
      <c r="BVW28" s="3468"/>
      <c r="BVX28" s="3468"/>
      <c r="BVY28" s="3468"/>
      <c r="BVZ28" s="3468"/>
      <c r="BWA28" s="3468"/>
      <c r="BWB28" s="3468"/>
      <c r="BWC28" s="3468"/>
      <c r="BWD28" s="3468"/>
      <c r="BWE28" s="3468"/>
      <c r="BWF28" s="3468"/>
      <c r="BWG28" s="3468"/>
      <c r="BWH28" s="3468"/>
      <c r="BWI28" s="3468"/>
      <c r="BWJ28" s="3468"/>
      <c r="BWK28" s="3468"/>
      <c r="BWL28" s="3468"/>
      <c r="BWM28" s="3468"/>
      <c r="BWN28" s="3468"/>
      <c r="BWO28" s="3468"/>
      <c r="BWP28" s="3468"/>
      <c r="BWQ28" s="3468"/>
      <c r="BWR28" s="3468"/>
      <c r="BWS28" s="3468"/>
      <c r="BWT28" s="3468"/>
      <c r="BWU28" s="3468"/>
      <c r="BWV28" s="3468"/>
      <c r="BWW28" s="3468"/>
      <c r="BWX28" s="3468"/>
      <c r="BWY28" s="3468"/>
      <c r="BWZ28" s="3468"/>
      <c r="BXA28" s="3468"/>
      <c r="BXB28" s="3468"/>
      <c r="BXC28" s="3468"/>
      <c r="BXD28" s="3468"/>
      <c r="BXE28" s="3468"/>
      <c r="BXF28" s="3468"/>
      <c r="BXG28" s="3468"/>
      <c r="BXH28" s="3468"/>
      <c r="BXI28" s="3468"/>
      <c r="BXJ28" s="3468"/>
      <c r="BXK28" s="3468"/>
      <c r="BXL28" s="3468"/>
      <c r="BXM28" s="3468"/>
      <c r="BXN28" s="3468"/>
      <c r="BXO28" s="3468"/>
      <c r="BXP28" s="3468"/>
      <c r="BXQ28" s="3468"/>
      <c r="BXR28" s="3468"/>
      <c r="BXS28" s="3468"/>
      <c r="BXT28" s="3468"/>
      <c r="BXU28" s="3468"/>
      <c r="BXV28" s="3468"/>
      <c r="BXW28" s="3468"/>
      <c r="BXX28" s="3468"/>
      <c r="BXY28" s="3468"/>
      <c r="BXZ28" s="3468"/>
      <c r="BYA28" s="3468"/>
      <c r="BYB28" s="3468"/>
      <c r="BYC28" s="3468"/>
      <c r="BYD28" s="3468"/>
      <c r="BYE28" s="3468"/>
      <c r="BYF28" s="3468"/>
      <c r="BYG28" s="3468"/>
      <c r="BYH28" s="3468"/>
      <c r="BYI28" s="3468"/>
      <c r="BYJ28" s="3468"/>
      <c r="BYK28" s="3468"/>
      <c r="BYL28" s="3468"/>
      <c r="BYM28" s="3468"/>
      <c r="BYN28" s="3468"/>
      <c r="BYO28" s="3468"/>
      <c r="BYP28" s="3468"/>
      <c r="BYQ28" s="3468"/>
      <c r="BYR28" s="3468"/>
      <c r="BYS28" s="3468"/>
      <c r="BYT28" s="3468"/>
      <c r="BYU28" s="3468"/>
      <c r="BYV28" s="3468"/>
      <c r="BYW28" s="3468"/>
      <c r="BYX28" s="3468"/>
      <c r="BYY28" s="3468"/>
      <c r="BYZ28" s="3468"/>
      <c r="BZA28" s="3468"/>
      <c r="BZB28" s="3468"/>
      <c r="BZC28" s="3468"/>
      <c r="BZD28" s="3468"/>
      <c r="BZE28" s="3468"/>
      <c r="BZF28" s="3468"/>
      <c r="BZG28" s="3468"/>
      <c r="BZH28" s="3468"/>
      <c r="BZI28" s="3468"/>
      <c r="BZJ28" s="3468"/>
      <c r="BZK28" s="3468"/>
      <c r="BZL28" s="3468"/>
      <c r="BZM28" s="3468"/>
      <c r="BZN28" s="3468"/>
      <c r="BZO28" s="3468"/>
      <c r="BZP28" s="3468"/>
      <c r="BZQ28" s="3468"/>
      <c r="BZR28" s="3468"/>
      <c r="BZS28" s="3468"/>
      <c r="BZT28" s="3468"/>
      <c r="BZU28" s="3468"/>
      <c r="BZV28" s="3468"/>
      <c r="BZW28" s="3468"/>
      <c r="BZX28" s="3468"/>
      <c r="BZY28" s="3468"/>
      <c r="BZZ28" s="3468"/>
      <c r="CAA28" s="3468"/>
      <c r="CAB28" s="3468"/>
      <c r="CAC28" s="3468"/>
      <c r="CAD28" s="3468"/>
      <c r="CAE28" s="3468"/>
      <c r="CAF28" s="3468"/>
      <c r="CAG28" s="3468"/>
      <c r="CAH28" s="3468"/>
      <c r="CAI28" s="3468"/>
      <c r="CAJ28" s="3468"/>
      <c r="CAK28" s="3468"/>
      <c r="CAL28" s="3468"/>
      <c r="CAM28" s="3468"/>
      <c r="CAN28" s="3468"/>
      <c r="CAO28" s="3468"/>
      <c r="CAP28" s="3468"/>
      <c r="CAQ28" s="3468"/>
      <c r="CAR28" s="3468"/>
      <c r="CAS28" s="3468"/>
      <c r="CAT28" s="3468"/>
      <c r="CAU28" s="3468"/>
      <c r="CAV28" s="3468"/>
      <c r="CAW28" s="3468"/>
      <c r="CAX28" s="3468"/>
      <c r="CAY28" s="3468"/>
      <c r="CAZ28" s="3468"/>
      <c r="CBA28" s="3468"/>
      <c r="CBB28" s="3468"/>
      <c r="CBC28" s="3468"/>
      <c r="CBD28" s="3468"/>
      <c r="CBE28" s="3468"/>
      <c r="CBF28" s="3468"/>
      <c r="CBG28" s="3468"/>
      <c r="CBH28" s="3468"/>
      <c r="CBI28" s="3468"/>
      <c r="CBJ28" s="3468"/>
      <c r="CBK28" s="3468"/>
      <c r="CBL28" s="3468"/>
      <c r="CBM28" s="3468"/>
      <c r="CBN28" s="3468"/>
      <c r="CBO28" s="3468"/>
      <c r="CBP28" s="3468"/>
      <c r="CBQ28" s="3468"/>
      <c r="CBR28" s="3468"/>
      <c r="CBS28" s="3468"/>
      <c r="CBT28" s="3468"/>
      <c r="CBU28" s="3468"/>
      <c r="CBV28" s="3468"/>
      <c r="CBW28" s="3468"/>
      <c r="CBX28" s="3468"/>
      <c r="CBY28" s="3468"/>
      <c r="CBZ28" s="3468"/>
      <c r="CCA28" s="3468"/>
      <c r="CCB28" s="3468"/>
      <c r="CCC28" s="3468"/>
      <c r="CCD28" s="3468"/>
      <c r="CCE28" s="3468"/>
      <c r="CCF28" s="3468"/>
      <c r="CCG28" s="3468"/>
      <c r="CCH28" s="3468"/>
      <c r="CCI28" s="3468"/>
      <c r="CCJ28" s="3468"/>
      <c r="CCK28" s="3468"/>
      <c r="CCL28" s="3468"/>
      <c r="CCM28" s="3468"/>
      <c r="CCN28" s="3468"/>
      <c r="CCO28" s="3468"/>
      <c r="CCP28" s="3468"/>
      <c r="CCQ28" s="3468"/>
      <c r="CCR28" s="3468"/>
      <c r="CCS28" s="3468"/>
      <c r="CCT28" s="3468"/>
      <c r="CCU28" s="3468"/>
      <c r="CCV28" s="3468"/>
      <c r="CCW28" s="3468"/>
      <c r="CCX28" s="3468"/>
      <c r="CCY28" s="3468"/>
      <c r="CCZ28" s="3468"/>
      <c r="CDA28" s="3468"/>
      <c r="CDB28" s="3468"/>
      <c r="CDC28" s="3468"/>
      <c r="CDD28" s="3468"/>
      <c r="CDE28" s="3468"/>
      <c r="CDF28" s="3468"/>
      <c r="CDG28" s="3468"/>
      <c r="CDH28" s="3468"/>
      <c r="CDI28" s="3468"/>
      <c r="CDJ28" s="3468"/>
      <c r="CDK28" s="3468"/>
      <c r="CDL28" s="3468"/>
      <c r="CDM28" s="3468"/>
      <c r="CDN28" s="3468"/>
      <c r="CDO28" s="3468"/>
      <c r="CDP28" s="3468"/>
      <c r="CDQ28" s="3468"/>
      <c r="CDR28" s="3468"/>
      <c r="CDS28" s="3468"/>
      <c r="CDT28" s="3468"/>
      <c r="CDU28" s="3468"/>
      <c r="CDV28" s="3468"/>
      <c r="CDW28" s="3468"/>
      <c r="CDX28" s="3468"/>
      <c r="CDY28" s="3468"/>
      <c r="CDZ28" s="3468"/>
      <c r="CEA28" s="3468"/>
      <c r="CEB28" s="3468"/>
      <c r="CEC28" s="3468"/>
      <c r="CED28" s="3468"/>
      <c r="CEE28" s="3468"/>
      <c r="CEF28" s="3468"/>
      <c r="CEG28" s="3468"/>
      <c r="CEH28" s="3468"/>
      <c r="CEI28" s="3468"/>
      <c r="CEJ28" s="3468"/>
      <c r="CEK28" s="3468"/>
      <c r="CEL28" s="3468"/>
      <c r="CEM28" s="3468"/>
      <c r="CEN28" s="3468"/>
      <c r="CEO28" s="3468"/>
      <c r="CEP28" s="3468"/>
      <c r="CEQ28" s="3468"/>
      <c r="CER28" s="3468"/>
      <c r="CES28" s="3468"/>
      <c r="CET28" s="3468"/>
      <c r="CEU28" s="3468"/>
      <c r="CEV28" s="3468"/>
      <c r="CEW28" s="3468"/>
      <c r="CEX28" s="3468"/>
      <c r="CEY28" s="3468"/>
      <c r="CEZ28" s="3468"/>
      <c r="CFA28" s="3468"/>
      <c r="CFB28" s="3468"/>
      <c r="CFC28" s="3468"/>
      <c r="CFD28" s="3468"/>
      <c r="CFE28" s="3468"/>
      <c r="CFF28" s="3468"/>
      <c r="CFG28" s="3468"/>
      <c r="CFH28" s="3468"/>
      <c r="CFI28" s="3468"/>
      <c r="CFJ28" s="3468"/>
      <c r="CFK28" s="3468"/>
      <c r="CFL28" s="3468"/>
      <c r="CFM28" s="3468"/>
      <c r="CFN28" s="3468"/>
      <c r="CFO28" s="3468"/>
      <c r="CFP28" s="3468"/>
      <c r="CFQ28" s="3468"/>
      <c r="CFR28" s="3468"/>
      <c r="CFS28" s="3468"/>
      <c r="CFT28" s="3468"/>
      <c r="CFU28" s="3468"/>
      <c r="CFV28" s="3468"/>
      <c r="CFW28" s="3468"/>
      <c r="CFX28" s="3468"/>
      <c r="CFY28" s="3468"/>
      <c r="CFZ28" s="3468"/>
      <c r="CGA28" s="3468"/>
      <c r="CGB28" s="3468"/>
      <c r="CGC28" s="3468"/>
      <c r="CGD28" s="3468"/>
      <c r="CGE28" s="3468"/>
      <c r="CGF28" s="3468"/>
      <c r="CGG28" s="3468"/>
      <c r="CGH28" s="3468"/>
      <c r="CGI28" s="3468"/>
      <c r="CGJ28" s="3468"/>
      <c r="CGK28" s="3468"/>
      <c r="CGL28" s="3468"/>
      <c r="CGM28" s="3468"/>
      <c r="CGN28" s="3468"/>
      <c r="CGO28" s="3468"/>
      <c r="CGP28" s="3468"/>
      <c r="CGQ28" s="3468"/>
      <c r="CGR28" s="3468"/>
      <c r="CGS28" s="3468"/>
      <c r="CGT28" s="3468"/>
      <c r="CGU28" s="3468"/>
      <c r="CGV28" s="3468"/>
      <c r="CGW28" s="3468"/>
      <c r="CGX28" s="3468"/>
      <c r="CGY28" s="3468"/>
      <c r="CGZ28" s="3468"/>
      <c r="CHA28" s="3468"/>
      <c r="CHB28" s="3468"/>
      <c r="CHC28" s="3468"/>
      <c r="CHD28" s="3468"/>
      <c r="CHE28" s="3468"/>
      <c r="CHF28" s="3468"/>
      <c r="CHG28" s="3468"/>
      <c r="CHH28" s="3468"/>
      <c r="CHI28" s="3468"/>
      <c r="CHJ28" s="3468"/>
      <c r="CHK28" s="3468"/>
      <c r="CHL28" s="3468"/>
      <c r="CHM28" s="3468"/>
      <c r="CHN28" s="3468"/>
      <c r="CHO28" s="3468"/>
      <c r="CHP28" s="3468"/>
      <c r="CHQ28" s="3468"/>
      <c r="CHR28" s="3468"/>
      <c r="CHS28" s="3468"/>
      <c r="CHT28" s="3468"/>
      <c r="CHU28" s="3468"/>
      <c r="CHV28" s="3468"/>
      <c r="CHW28" s="3468"/>
      <c r="CHX28" s="3468"/>
      <c r="CHY28" s="3468"/>
      <c r="CHZ28" s="3468"/>
      <c r="CIA28" s="3468"/>
      <c r="CIB28" s="3468"/>
      <c r="CIC28" s="3468"/>
      <c r="CID28" s="3468"/>
      <c r="CIE28" s="3468"/>
      <c r="CIF28" s="3468"/>
      <c r="CIG28" s="3468"/>
      <c r="CIH28" s="3468"/>
      <c r="CII28" s="3468"/>
      <c r="CIJ28" s="3468"/>
      <c r="CIK28" s="3468"/>
      <c r="CIL28" s="3468"/>
      <c r="CIM28" s="3468"/>
      <c r="CIN28" s="3468"/>
      <c r="CIO28" s="3468"/>
      <c r="CIP28" s="3468"/>
      <c r="CIQ28" s="3468"/>
      <c r="CIR28" s="3468"/>
      <c r="CIS28" s="3468"/>
      <c r="CIT28" s="3468"/>
      <c r="CIU28" s="3468"/>
      <c r="CIV28" s="3468"/>
      <c r="CIW28" s="3468"/>
      <c r="CIX28" s="3468"/>
      <c r="CIY28" s="3468"/>
      <c r="CIZ28" s="3468"/>
      <c r="CJA28" s="3468"/>
      <c r="CJB28" s="3468"/>
      <c r="CJC28" s="3468"/>
      <c r="CJD28" s="3468"/>
      <c r="CJE28" s="3468"/>
      <c r="CJF28" s="3468"/>
      <c r="CJG28" s="3468"/>
      <c r="CJH28" s="3468"/>
      <c r="CJI28" s="3468"/>
      <c r="CJJ28" s="3468"/>
      <c r="CJK28" s="3468"/>
      <c r="CJL28" s="3468"/>
      <c r="CJM28" s="3468"/>
      <c r="CJN28" s="3468"/>
      <c r="CJO28" s="3468"/>
      <c r="CJP28" s="3468"/>
      <c r="CJQ28" s="3468"/>
      <c r="CJR28" s="3468"/>
      <c r="CJS28" s="3468"/>
      <c r="CJT28" s="3468"/>
      <c r="CJU28" s="3468"/>
      <c r="CJV28" s="3468"/>
      <c r="CJW28" s="3468"/>
      <c r="CJX28" s="3468"/>
      <c r="CJY28" s="3468"/>
      <c r="CJZ28" s="3468"/>
      <c r="CKA28" s="3468"/>
      <c r="CKB28" s="3468"/>
      <c r="CKC28" s="3468"/>
      <c r="CKD28" s="3468"/>
      <c r="CKE28" s="3468"/>
      <c r="CKF28" s="3468"/>
      <c r="CKG28" s="3468"/>
      <c r="CKH28" s="3468"/>
      <c r="CKI28" s="3468"/>
      <c r="CKJ28" s="3468"/>
      <c r="CKK28" s="3468"/>
      <c r="CKL28" s="3468"/>
      <c r="CKM28" s="3468"/>
      <c r="CKN28" s="3468"/>
      <c r="CKO28" s="3468"/>
      <c r="CKP28" s="3468"/>
      <c r="CKQ28" s="3468"/>
      <c r="CKR28" s="3468"/>
      <c r="CKS28" s="3468"/>
      <c r="CKT28" s="3468"/>
      <c r="CKU28" s="3468"/>
      <c r="CKV28" s="3468"/>
      <c r="CKW28" s="3468"/>
      <c r="CKX28" s="3468"/>
      <c r="CKY28" s="3468"/>
      <c r="CKZ28" s="3468"/>
      <c r="CLA28" s="3468"/>
      <c r="CLB28" s="3468"/>
      <c r="CLC28" s="3468"/>
      <c r="CLD28" s="3468"/>
      <c r="CLE28" s="3468"/>
      <c r="CLF28" s="3468"/>
      <c r="CLG28" s="3468"/>
      <c r="CLH28" s="3468"/>
      <c r="CLI28" s="3468"/>
      <c r="CLJ28" s="3468"/>
      <c r="CLK28" s="3468"/>
      <c r="CLL28" s="3468"/>
      <c r="CLM28" s="3468"/>
      <c r="CLN28" s="3468"/>
      <c r="CLO28" s="3468"/>
      <c r="CLP28" s="3468"/>
      <c r="CLQ28" s="3468"/>
      <c r="CLR28" s="3468"/>
      <c r="CLS28" s="3468"/>
      <c r="CLT28" s="3468"/>
      <c r="CLU28" s="3468"/>
      <c r="CLV28" s="3468"/>
      <c r="CLW28" s="3468"/>
      <c r="CLX28" s="3468"/>
      <c r="CLY28" s="3468"/>
      <c r="CLZ28" s="3468"/>
      <c r="CMA28" s="3468"/>
      <c r="CMB28" s="3468"/>
      <c r="CMC28" s="3468"/>
      <c r="CMD28" s="3468"/>
      <c r="CME28" s="3468"/>
      <c r="CMF28" s="3468"/>
      <c r="CMG28" s="3468"/>
      <c r="CMH28" s="3468"/>
      <c r="CMI28" s="3468"/>
      <c r="CMJ28" s="3468"/>
      <c r="CMK28" s="3468"/>
      <c r="CML28" s="3468"/>
      <c r="CMM28" s="3468"/>
      <c r="CMN28" s="3468"/>
      <c r="CMO28" s="3468"/>
      <c r="CMP28" s="3468"/>
      <c r="CMQ28" s="3468"/>
      <c r="CMR28" s="3468"/>
      <c r="CMS28" s="3468"/>
      <c r="CMT28" s="3468"/>
      <c r="CMU28" s="3468"/>
      <c r="CMV28" s="3468"/>
      <c r="CMW28" s="3468"/>
      <c r="CMX28" s="3468"/>
      <c r="CMY28" s="3468"/>
      <c r="CMZ28" s="3468"/>
      <c r="CNA28" s="3468"/>
      <c r="CNB28" s="3468"/>
      <c r="CNC28" s="3468"/>
      <c r="CND28" s="3468"/>
      <c r="CNE28" s="3468"/>
      <c r="CNF28" s="3468"/>
      <c r="CNG28" s="3468"/>
      <c r="CNH28" s="3468"/>
      <c r="CNI28" s="3468"/>
      <c r="CNJ28" s="3468"/>
      <c r="CNK28" s="3468"/>
      <c r="CNL28" s="3468"/>
      <c r="CNM28" s="3468"/>
      <c r="CNN28" s="3468"/>
      <c r="CNO28" s="3468"/>
      <c r="CNP28" s="3468"/>
      <c r="CNQ28" s="3468"/>
      <c r="CNR28" s="3468"/>
      <c r="CNS28" s="3468"/>
      <c r="CNT28" s="3468"/>
      <c r="CNU28" s="3468"/>
      <c r="CNV28" s="3468"/>
      <c r="CNW28" s="3468"/>
      <c r="CNX28" s="3468"/>
      <c r="CNY28" s="3468"/>
      <c r="CNZ28" s="3468"/>
      <c r="COA28" s="3468"/>
      <c r="COB28" s="3468"/>
      <c r="COC28" s="3468"/>
      <c r="COD28" s="3468"/>
      <c r="COE28" s="3468"/>
      <c r="COF28" s="3468"/>
      <c r="COG28" s="3468"/>
      <c r="COH28" s="3468"/>
      <c r="COI28" s="3468"/>
      <c r="COJ28" s="3468"/>
      <c r="COK28" s="3468"/>
      <c r="COL28" s="3468"/>
      <c r="COM28" s="3468"/>
      <c r="CON28" s="3468"/>
      <c r="COO28" s="3468"/>
      <c r="COP28" s="3468"/>
      <c r="COQ28" s="3468"/>
      <c r="COR28" s="3468"/>
      <c r="COS28" s="3468"/>
      <c r="COT28" s="3468"/>
      <c r="COU28" s="3468"/>
      <c r="COV28" s="3468"/>
      <c r="COW28" s="3468"/>
      <c r="COX28" s="3468"/>
      <c r="COY28" s="3468"/>
      <c r="COZ28" s="3468"/>
      <c r="CPA28" s="3468"/>
      <c r="CPB28" s="3468"/>
      <c r="CPC28" s="3468"/>
      <c r="CPD28" s="3468"/>
      <c r="CPE28" s="3468"/>
      <c r="CPF28" s="3468"/>
      <c r="CPG28" s="3468"/>
      <c r="CPH28" s="3468"/>
      <c r="CPI28" s="3468"/>
      <c r="CPJ28" s="3468"/>
      <c r="CPK28" s="3468"/>
      <c r="CPL28" s="3468"/>
      <c r="CPM28" s="3468"/>
      <c r="CPN28" s="3468"/>
      <c r="CPO28" s="3468"/>
      <c r="CPP28" s="3468"/>
      <c r="CPQ28" s="3468"/>
      <c r="CPR28" s="3468"/>
      <c r="CPS28" s="3468"/>
      <c r="CPT28" s="3468"/>
      <c r="CPU28" s="3468"/>
      <c r="CPV28" s="3468"/>
      <c r="CPW28" s="3468"/>
      <c r="CPX28" s="3468"/>
      <c r="CPY28" s="3468"/>
      <c r="CPZ28" s="3468"/>
      <c r="CQA28" s="3468"/>
      <c r="CQB28" s="3468"/>
      <c r="CQC28" s="3468"/>
      <c r="CQD28" s="3468"/>
      <c r="CQE28" s="3468"/>
      <c r="CQF28" s="3468"/>
      <c r="CQG28" s="3468"/>
      <c r="CQH28" s="3468"/>
      <c r="CQI28" s="3468"/>
      <c r="CQJ28" s="3468"/>
      <c r="CQK28" s="3468"/>
      <c r="CQL28" s="3468"/>
      <c r="CQM28" s="3468"/>
      <c r="CQN28" s="3468"/>
      <c r="CQO28" s="3468"/>
      <c r="CQP28" s="3468"/>
      <c r="CQQ28" s="3468"/>
      <c r="CQR28" s="3468"/>
      <c r="CQS28" s="3468"/>
      <c r="CQT28" s="3468"/>
      <c r="CQU28" s="3468"/>
      <c r="CQV28" s="3468"/>
      <c r="CQW28" s="3468"/>
      <c r="CQX28" s="3468"/>
      <c r="CQY28" s="3468"/>
      <c r="CQZ28" s="3468"/>
      <c r="CRA28" s="3468"/>
      <c r="CRB28" s="3468"/>
      <c r="CRC28" s="3468"/>
      <c r="CRD28" s="3468"/>
      <c r="CRE28" s="3468"/>
      <c r="CRF28" s="3468"/>
      <c r="CRG28" s="3468"/>
      <c r="CRH28" s="3468"/>
      <c r="CRI28" s="3468"/>
      <c r="CRJ28" s="3468"/>
      <c r="CRK28" s="3468"/>
      <c r="CRL28" s="3468"/>
      <c r="CRM28" s="3468"/>
      <c r="CRN28" s="3468"/>
      <c r="CRO28" s="3468"/>
      <c r="CRP28" s="3468"/>
      <c r="CRQ28" s="3468"/>
      <c r="CRR28" s="3468"/>
      <c r="CRS28" s="3468"/>
      <c r="CRT28" s="3468"/>
      <c r="CRU28" s="3468"/>
      <c r="CRV28" s="3468"/>
      <c r="CRW28" s="3468"/>
      <c r="CRX28" s="3468"/>
      <c r="CRY28" s="3468"/>
      <c r="CRZ28" s="3468"/>
      <c r="CSA28" s="3468"/>
      <c r="CSB28" s="3468"/>
      <c r="CSC28" s="3468"/>
      <c r="CSD28" s="3468"/>
      <c r="CSE28" s="3468"/>
      <c r="CSF28" s="3468"/>
      <c r="CSG28" s="3468"/>
      <c r="CSH28" s="3468"/>
      <c r="CSI28" s="3468"/>
      <c r="CSJ28" s="3468"/>
      <c r="CSK28" s="3468"/>
      <c r="CSL28" s="3468"/>
      <c r="CSM28" s="3468"/>
      <c r="CSN28" s="3468"/>
      <c r="CSO28" s="3468"/>
      <c r="CSP28" s="3468"/>
      <c r="CSQ28" s="3468"/>
      <c r="CSR28" s="3468"/>
      <c r="CSS28" s="3468"/>
      <c r="CST28" s="3468"/>
      <c r="CSU28" s="3468"/>
      <c r="CSV28" s="3468"/>
      <c r="CSW28" s="3468"/>
      <c r="CSX28" s="3468"/>
      <c r="CSY28" s="3468"/>
      <c r="CSZ28" s="3468"/>
      <c r="CTA28" s="3468"/>
      <c r="CTB28" s="3468"/>
      <c r="CTC28" s="3468"/>
      <c r="CTD28" s="3468"/>
      <c r="CTE28" s="3468"/>
      <c r="CTF28" s="3468"/>
      <c r="CTG28" s="3468"/>
      <c r="CTH28" s="3468"/>
      <c r="CTI28" s="3468"/>
      <c r="CTJ28" s="3468"/>
      <c r="CTK28" s="3468"/>
      <c r="CTL28" s="3468"/>
      <c r="CTM28" s="3468"/>
      <c r="CTN28" s="3468"/>
      <c r="CTO28" s="3468"/>
      <c r="CTP28" s="3468"/>
      <c r="CTQ28" s="3468"/>
      <c r="CTR28" s="3468"/>
      <c r="CTS28" s="3468"/>
      <c r="CTT28" s="3468"/>
      <c r="CTU28" s="3468"/>
      <c r="CTV28" s="3468"/>
      <c r="CTW28" s="3468"/>
      <c r="CTX28" s="3468"/>
      <c r="CTY28" s="3468"/>
      <c r="CTZ28" s="3468"/>
      <c r="CUA28" s="3468"/>
      <c r="CUB28" s="3468"/>
      <c r="CUC28" s="3468"/>
      <c r="CUD28" s="3468"/>
      <c r="CUE28" s="3468"/>
      <c r="CUF28" s="3468"/>
      <c r="CUG28" s="3468"/>
      <c r="CUH28" s="3468"/>
      <c r="CUI28" s="3468"/>
      <c r="CUJ28" s="3468"/>
      <c r="CUK28" s="3468"/>
      <c r="CUL28" s="3468"/>
      <c r="CUM28" s="3468"/>
      <c r="CUN28" s="3468"/>
      <c r="CUO28" s="3468"/>
      <c r="CUP28" s="3468"/>
      <c r="CUQ28" s="3468"/>
      <c r="CUR28" s="3468"/>
      <c r="CUS28" s="3468"/>
      <c r="CUT28" s="3468"/>
      <c r="CUU28" s="3468"/>
      <c r="CUV28" s="3468"/>
      <c r="CUW28" s="3468"/>
      <c r="CUX28" s="3468"/>
      <c r="CUY28" s="3468"/>
      <c r="CUZ28" s="3468"/>
      <c r="CVA28" s="3468"/>
      <c r="CVB28" s="3468"/>
      <c r="CVC28" s="3468"/>
      <c r="CVD28" s="3468"/>
      <c r="CVE28" s="3468"/>
      <c r="CVF28" s="3468"/>
      <c r="CVG28" s="3468"/>
      <c r="CVH28" s="3468"/>
      <c r="CVI28" s="3468"/>
      <c r="CVJ28" s="3468"/>
      <c r="CVK28" s="3468"/>
      <c r="CVL28" s="3468"/>
      <c r="CVM28" s="3468"/>
      <c r="CVN28" s="3468"/>
      <c r="CVO28" s="3468"/>
      <c r="CVP28" s="3468"/>
      <c r="CVQ28" s="3468"/>
      <c r="CVR28" s="3468"/>
      <c r="CVS28" s="3468"/>
      <c r="CVT28" s="3468"/>
      <c r="CVU28" s="3468"/>
      <c r="CVV28" s="3468"/>
      <c r="CVW28" s="3468"/>
      <c r="CVX28" s="3468"/>
      <c r="CVY28" s="3468"/>
      <c r="CVZ28" s="3468"/>
      <c r="CWA28" s="3468"/>
      <c r="CWB28" s="3468"/>
      <c r="CWC28" s="3468"/>
      <c r="CWD28" s="3468"/>
      <c r="CWE28" s="3468"/>
      <c r="CWF28" s="3468"/>
      <c r="CWG28" s="3468"/>
      <c r="CWH28" s="3468"/>
      <c r="CWI28" s="3468"/>
      <c r="CWJ28" s="3468"/>
      <c r="CWK28" s="3468"/>
      <c r="CWL28" s="3468"/>
      <c r="CWM28" s="3468"/>
      <c r="CWN28" s="3468"/>
      <c r="CWO28" s="3468"/>
      <c r="CWP28" s="3468"/>
      <c r="CWQ28" s="3468"/>
      <c r="CWR28" s="3468"/>
      <c r="CWS28" s="3468"/>
      <c r="CWT28" s="3468"/>
      <c r="CWU28" s="3468"/>
      <c r="CWV28" s="3468"/>
      <c r="CWW28" s="3468"/>
      <c r="CWX28" s="3468"/>
      <c r="CWY28" s="3468"/>
      <c r="CWZ28" s="3468"/>
      <c r="CXA28" s="3468"/>
      <c r="CXB28" s="3468"/>
      <c r="CXC28" s="3468"/>
      <c r="CXD28" s="3468"/>
      <c r="CXE28" s="3468"/>
      <c r="CXF28" s="3468"/>
      <c r="CXG28" s="3468"/>
      <c r="CXH28" s="3468"/>
      <c r="CXI28" s="3468"/>
      <c r="CXJ28" s="3468"/>
      <c r="CXK28" s="3468"/>
      <c r="CXL28" s="3468"/>
      <c r="CXM28" s="3468"/>
      <c r="CXN28" s="3468"/>
      <c r="CXO28" s="3468"/>
      <c r="CXP28" s="3468"/>
      <c r="CXQ28" s="3468"/>
      <c r="CXR28" s="3468"/>
      <c r="CXS28" s="3468"/>
      <c r="CXT28" s="3468"/>
      <c r="CXU28" s="3468"/>
      <c r="CXV28" s="3468"/>
      <c r="CXW28" s="3468"/>
      <c r="CXX28" s="3468"/>
      <c r="CXY28" s="3468"/>
      <c r="CXZ28" s="3468"/>
      <c r="CYA28" s="3468"/>
      <c r="CYB28" s="3468"/>
      <c r="CYC28" s="3468"/>
      <c r="CYD28" s="3468"/>
      <c r="CYE28" s="3468"/>
      <c r="CYF28" s="3468"/>
      <c r="CYG28" s="3468"/>
      <c r="CYH28" s="3468"/>
      <c r="CYI28" s="3468"/>
      <c r="CYJ28" s="3468"/>
      <c r="CYK28" s="3468"/>
      <c r="CYL28" s="3468"/>
      <c r="CYM28" s="3468"/>
      <c r="CYN28" s="3468"/>
      <c r="CYO28" s="3468"/>
      <c r="CYP28" s="3468"/>
      <c r="CYQ28" s="3468"/>
      <c r="CYR28" s="3468"/>
      <c r="CYS28" s="3468"/>
      <c r="CYT28" s="3468"/>
      <c r="CYU28" s="3468"/>
      <c r="CYV28" s="3468"/>
      <c r="CYW28" s="3468"/>
      <c r="CYX28" s="3468"/>
      <c r="CYY28" s="3468"/>
      <c r="CYZ28" s="3468"/>
      <c r="CZA28" s="3468"/>
      <c r="CZB28" s="3468"/>
      <c r="CZC28" s="3468"/>
      <c r="CZD28" s="3468"/>
      <c r="CZE28" s="3468"/>
      <c r="CZF28" s="3468"/>
      <c r="CZG28" s="3468"/>
      <c r="CZH28" s="3468"/>
      <c r="CZI28" s="3468"/>
      <c r="CZJ28" s="3468"/>
      <c r="CZK28" s="3468"/>
      <c r="CZL28" s="3468"/>
      <c r="CZM28" s="3468"/>
      <c r="CZN28" s="3468"/>
      <c r="CZO28" s="3468"/>
      <c r="CZP28" s="3468"/>
      <c r="CZQ28" s="3468"/>
      <c r="CZR28" s="3468"/>
      <c r="CZS28" s="3468"/>
      <c r="CZT28" s="3468"/>
      <c r="CZU28" s="3468"/>
      <c r="CZV28" s="3468"/>
      <c r="CZW28" s="3468"/>
      <c r="CZX28" s="3468"/>
      <c r="CZY28" s="3468"/>
      <c r="CZZ28" s="3468"/>
      <c r="DAA28" s="3468"/>
      <c r="DAB28" s="3468"/>
      <c r="DAC28" s="3468"/>
      <c r="DAD28" s="3468"/>
      <c r="DAE28" s="3468"/>
      <c r="DAF28" s="3468"/>
      <c r="DAG28" s="3468"/>
      <c r="DAH28" s="3468"/>
      <c r="DAI28" s="3468"/>
      <c r="DAJ28" s="3468"/>
      <c r="DAK28" s="3468"/>
      <c r="DAL28" s="3468"/>
      <c r="DAM28" s="3468"/>
      <c r="DAN28" s="3468"/>
      <c r="DAO28" s="3468"/>
      <c r="DAP28" s="3468"/>
      <c r="DAQ28" s="3468"/>
      <c r="DAR28" s="3468"/>
      <c r="DAS28" s="3468"/>
      <c r="DAT28" s="3468"/>
      <c r="DAU28" s="3468"/>
      <c r="DAV28" s="3468"/>
      <c r="DAW28" s="3468"/>
      <c r="DAX28" s="3468"/>
      <c r="DAY28" s="3468"/>
      <c r="DAZ28" s="3468"/>
      <c r="DBA28" s="3468"/>
      <c r="DBB28" s="3468"/>
      <c r="DBC28" s="3468"/>
      <c r="DBD28" s="3468"/>
      <c r="DBE28" s="3468"/>
      <c r="DBF28" s="3468"/>
      <c r="DBG28" s="3468"/>
      <c r="DBH28" s="3468"/>
      <c r="DBI28" s="3468"/>
      <c r="DBJ28" s="3468"/>
      <c r="DBK28" s="3468"/>
      <c r="DBL28" s="3468"/>
      <c r="DBM28" s="3468"/>
      <c r="DBN28" s="3468"/>
      <c r="DBO28" s="3468"/>
      <c r="DBP28" s="3468"/>
      <c r="DBQ28" s="3468"/>
      <c r="DBR28" s="3468"/>
      <c r="DBS28" s="3468"/>
      <c r="DBT28" s="3468"/>
      <c r="DBU28" s="3468"/>
      <c r="DBV28" s="3468"/>
      <c r="DBW28" s="3468"/>
      <c r="DBX28" s="3468"/>
      <c r="DBY28" s="3468"/>
      <c r="DBZ28" s="3468"/>
      <c r="DCA28" s="3468"/>
      <c r="DCB28" s="3468"/>
      <c r="DCC28" s="3468"/>
      <c r="DCD28" s="3468"/>
      <c r="DCE28" s="3468"/>
      <c r="DCF28" s="3468"/>
      <c r="DCG28" s="3468"/>
      <c r="DCH28" s="3468"/>
      <c r="DCI28" s="3468"/>
      <c r="DCJ28" s="3468"/>
      <c r="DCK28" s="3468"/>
      <c r="DCL28" s="3468"/>
      <c r="DCM28" s="3468"/>
      <c r="DCN28" s="3468"/>
      <c r="DCO28" s="3468"/>
      <c r="DCP28" s="3468"/>
      <c r="DCQ28" s="3468"/>
      <c r="DCR28" s="3468"/>
      <c r="DCS28" s="3468"/>
      <c r="DCT28" s="3468"/>
      <c r="DCU28" s="3468"/>
      <c r="DCV28" s="3468"/>
      <c r="DCW28" s="3468"/>
      <c r="DCX28" s="3468"/>
      <c r="DCY28" s="3468"/>
      <c r="DCZ28" s="3468"/>
      <c r="DDA28" s="3468"/>
      <c r="DDB28" s="3468"/>
      <c r="DDC28" s="3468"/>
      <c r="DDD28" s="3468"/>
      <c r="DDE28" s="3468"/>
      <c r="DDF28" s="3468"/>
      <c r="DDG28" s="3468"/>
      <c r="DDH28" s="3468"/>
      <c r="DDI28" s="3468"/>
      <c r="DDJ28" s="3468"/>
      <c r="DDK28" s="3468"/>
      <c r="DDL28" s="3468"/>
      <c r="DDM28" s="3468"/>
      <c r="DDN28" s="3468"/>
      <c r="DDO28" s="3468"/>
      <c r="DDP28" s="3468"/>
      <c r="DDQ28" s="3468"/>
      <c r="DDR28" s="3468"/>
      <c r="DDS28" s="3468"/>
      <c r="DDT28" s="3468"/>
      <c r="DDU28" s="3468"/>
      <c r="DDV28" s="3468"/>
      <c r="DDW28" s="3468"/>
      <c r="DDX28" s="3468"/>
      <c r="DDY28" s="3468"/>
      <c r="DDZ28" s="3468"/>
      <c r="DEA28" s="3468"/>
      <c r="DEB28" s="3468"/>
      <c r="DEC28" s="3468"/>
      <c r="DED28" s="3468"/>
      <c r="DEE28" s="3468"/>
      <c r="DEF28" s="3468"/>
      <c r="DEG28" s="3468"/>
      <c r="DEH28" s="3468"/>
      <c r="DEI28" s="3468"/>
      <c r="DEJ28" s="3468"/>
      <c r="DEK28" s="3468"/>
      <c r="DEL28" s="3468"/>
      <c r="DEM28" s="3468"/>
      <c r="DEN28" s="3468"/>
      <c r="DEO28" s="3468"/>
      <c r="DEP28" s="3468"/>
      <c r="DEQ28" s="3468"/>
      <c r="DER28" s="3468"/>
      <c r="DES28" s="3468"/>
      <c r="DET28" s="3468"/>
      <c r="DEU28" s="3468"/>
      <c r="DEV28" s="3468"/>
      <c r="DEW28" s="3468"/>
      <c r="DEX28" s="3468"/>
      <c r="DEY28" s="3468"/>
      <c r="DEZ28" s="3468"/>
      <c r="DFA28" s="3468"/>
      <c r="DFB28" s="3468"/>
      <c r="DFC28" s="3468"/>
      <c r="DFD28" s="3468"/>
      <c r="DFE28" s="3468"/>
      <c r="DFF28" s="3468"/>
      <c r="DFG28" s="3468"/>
      <c r="DFH28" s="3468"/>
      <c r="DFI28" s="3468"/>
      <c r="DFJ28" s="3468"/>
      <c r="DFK28" s="3468"/>
      <c r="DFL28" s="3468"/>
      <c r="DFM28" s="3468"/>
      <c r="DFN28" s="3468"/>
      <c r="DFO28" s="3468"/>
      <c r="DFP28" s="3468"/>
      <c r="DFQ28" s="3468"/>
      <c r="DFR28" s="3468"/>
      <c r="DFS28" s="3468"/>
      <c r="DFT28" s="3468"/>
      <c r="DFU28" s="3468"/>
      <c r="DFV28" s="3468"/>
      <c r="DFW28" s="3468"/>
      <c r="DFX28" s="3468"/>
      <c r="DFY28" s="3468"/>
      <c r="DFZ28" s="3468"/>
      <c r="DGA28" s="3468"/>
      <c r="DGB28" s="3468"/>
      <c r="DGC28" s="3468"/>
      <c r="DGD28" s="3468"/>
      <c r="DGE28" s="3468"/>
      <c r="DGF28" s="3468"/>
      <c r="DGG28" s="3468"/>
      <c r="DGH28" s="3468"/>
      <c r="DGI28" s="3468"/>
      <c r="DGJ28" s="3468"/>
      <c r="DGK28" s="3468"/>
      <c r="DGL28" s="3468"/>
      <c r="DGM28" s="3468"/>
      <c r="DGN28" s="3468"/>
      <c r="DGO28" s="3468"/>
      <c r="DGP28" s="3468"/>
      <c r="DGQ28" s="3468"/>
      <c r="DGR28" s="3468"/>
      <c r="DGS28" s="3468"/>
      <c r="DGT28" s="3468"/>
      <c r="DGU28" s="3468"/>
      <c r="DGV28" s="3468"/>
      <c r="DGW28" s="3468"/>
      <c r="DGX28" s="3468"/>
      <c r="DGY28" s="3468"/>
      <c r="DGZ28" s="3468"/>
      <c r="DHA28" s="3468"/>
      <c r="DHB28" s="3468"/>
      <c r="DHC28" s="3468"/>
      <c r="DHD28" s="3468"/>
      <c r="DHE28" s="3468"/>
      <c r="DHF28" s="3468"/>
      <c r="DHG28" s="3468"/>
      <c r="DHH28" s="3468"/>
      <c r="DHI28" s="3468"/>
      <c r="DHJ28" s="3468"/>
      <c r="DHK28" s="3468"/>
      <c r="DHL28" s="3468"/>
      <c r="DHM28" s="3468"/>
      <c r="DHN28" s="3468"/>
      <c r="DHO28" s="3468"/>
      <c r="DHP28" s="3468"/>
      <c r="DHQ28" s="3468"/>
      <c r="DHR28" s="3468"/>
      <c r="DHS28" s="3468"/>
      <c r="DHT28" s="3468"/>
      <c r="DHU28" s="3468"/>
      <c r="DHV28" s="3468"/>
      <c r="DHW28" s="3468"/>
      <c r="DHX28" s="3468"/>
      <c r="DHY28" s="3468"/>
      <c r="DHZ28" s="3468"/>
      <c r="DIA28" s="3468"/>
      <c r="DIB28" s="3468"/>
      <c r="DIC28" s="3468"/>
      <c r="DID28" s="3468"/>
      <c r="DIE28" s="3468"/>
      <c r="DIF28" s="3468"/>
      <c r="DIG28" s="3468"/>
      <c r="DIH28" s="3468"/>
      <c r="DII28" s="3468"/>
      <c r="DIJ28" s="3468"/>
      <c r="DIK28" s="3468"/>
      <c r="DIL28" s="3468"/>
      <c r="DIM28" s="3468"/>
      <c r="DIN28" s="3468"/>
      <c r="DIO28" s="3468"/>
      <c r="DIP28" s="3468"/>
      <c r="DIQ28" s="3468"/>
      <c r="DIR28" s="3468"/>
      <c r="DIS28" s="3468"/>
      <c r="DIT28" s="3468"/>
      <c r="DIU28" s="3468"/>
      <c r="DIV28" s="3468"/>
      <c r="DIW28" s="3468"/>
      <c r="DIX28" s="3468"/>
      <c r="DIY28" s="3468"/>
      <c r="DIZ28" s="3468"/>
      <c r="DJA28" s="3468"/>
      <c r="DJB28" s="3468"/>
      <c r="DJC28" s="3468"/>
      <c r="DJD28" s="3468"/>
      <c r="DJE28" s="3468"/>
      <c r="DJF28" s="3468"/>
      <c r="DJG28" s="3468"/>
      <c r="DJH28" s="3468"/>
      <c r="DJI28" s="3468"/>
      <c r="DJJ28" s="3468"/>
      <c r="DJK28" s="3468"/>
      <c r="DJL28" s="3468"/>
      <c r="DJM28" s="3468"/>
      <c r="DJN28" s="3468"/>
      <c r="DJO28" s="3468"/>
      <c r="DJP28" s="3468"/>
      <c r="DJQ28" s="3468"/>
      <c r="DJR28" s="3468"/>
      <c r="DJS28" s="3468"/>
      <c r="DJT28" s="3468"/>
      <c r="DJU28" s="3468"/>
      <c r="DJV28" s="3468"/>
      <c r="DJW28" s="3468"/>
      <c r="DJX28" s="3468"/>
      <c r="DJY28" s="3468"/>
      <c r="DJZ28" s="3468"/>
      <c r="DKA28" s="3468"/>
      <c r="DKB28" s="3468"/>
      <c r="DKC28" s="3468"/>
      <c r="DKD28" s="3468"/>
      <c r="DKE28" s="3468"/>
      <c r="DKF28" s="3468"/>
      <c r="DKG28" s="3468"/>
      <c r="DKH28" s="3468"/>
      <c r="DKI28" s="3468"/>
      <c r="DKJ28" s="3468"/>
      <c r="DKK28" s="3468"/>
      <c r="DKL28" s="3468"/>
      <c r="DKM28" s="3468"/>
      <c r="DKN28" s="3468"/>
      <c r="DKO28" s="3468"/>
      <c r="DKP28" s="3468"/>
      <c r="DKQ28" s="3468"/>
      <c r="DKR28" s="3468"/>
      <c r="DKS28" s="3468"/>
      <c r="DKT28" s="3468"/>
      <c r="DKU28" s="3468"/>
      <c r="DKV28" s="3468"/>
      <c r="DKW28" s="3468"/>
      <c r="DKX28" s="3468"/>
      <c r="DKY28" s="3468"/>
      <c r="DKZ28" s="3468"/>
      <c r="DLA28" s="3468"/>
      <c r="DLB28" s="3468"/>
      <c r="DLC28" s="3468"/>
      <c r="DLD28" s="3468"/>
      <c r="DLE28" s="3468"/>
      <c r="DLF28" s="3468"/>
      <c r="DLG28" s="3468"/>
      <c r="DLH28" s="3468"/>
      <c r="DLI28" s="3468"/>
      <c r="DLJ28" s="3468"/>
      <c r="DLK28" s="3468"/>
      <c r="DLL28" s="3468"/>
      <c r="DLM28" s="3468"/>
      <c r="DLN28" s="3468"/>
      <c r="DLO28" s="3468"/>
      <c r="DLP28" s="3468"/>
      <c r="DLQ28" s="3468"/>
      <c r="DLR28" s="3468"/>
      <c r="DLS28" s="3468"/>
      <c r="DLT28" s="3468"/>
      <c r="DLU28" s="3468"/>
      <c r="DLV28" s="3468"/>
      <c r="DLW28" s="3468"/>
      <c r="DLX28" s="3468"/>
      <c r="DLY28" s="3468"/>
      <c r="DLZ28" s="3468"/>
      <c r="DMA28" s="3468"/>
      <c r="DMB28" s="3468"/>
      <c r="DMC28" s="3468"/>
      <c r="DMD28" s="3468"/>
      <c r="DME28" s="3468"/>
      <c r="DMF28" s="3468"/>
      <c r="DMG28" s="3468"/>
      <c r="DMH28" s="3468"/>
      <c r="DMI28" s="3468"/>
      <c r="DMJ28" s="3468"/>
      <c r="DMK28" s="3468"/>
      <c r="DML28" s="3468"/>
      <c r="DMM28" s="3468"/>
      <c r="DMN28" s="3468"/>
      <c r="DMO28" s="3468"/>
      <c r="DMP28" s="3468"/>
      <c r="DMQ28" s="3468"/>
      <c r="DMR28" s="3468"/>
      <c r="DMS28" s="3468"/>
      <c r="DMT28" s="3468"/>
      <c r="DMU28" s="3468"/>
      <c r="DMV28" s="3468"/>
      <c r="DMW28" s="3468"/>
      <c r="DMX28" s="3468"/>
      <c r="DMY28" s="3468"/>
      <c r="DMZ28" s="3468"/>
      <c r="DNA28" s="3468"/>
      <c r="DNB28" s="3468"/>
      <c r="DNC28" s="3468"/>
      <c r="DND28" s="3468"/>
      <c r="DNE28" s="3468"/>
      <c r="DNF28" s="3468"/>
      <c r="DNG28" s="3468"/>
      <c r="DNH28" s="3468"/>
      <c r="DNI28" s="3468"/>
      <c r="DNJ28" s="3468"/>
      <c r="DNK28" s="3468"/>
      <c r="DNL28" s="3468"/>
      <c r="DNM28" s="3468"/>
      <c r="DNN28" s="3468"/>
      <c r="DNO28" s="3468"/>
      <c r="DNP28" s="3468"/>
      <c r="DNQ28" s="3468"/>
      <c r="DNR28" s="3468"/>
      <c r="DNS28" s="3468"/>
      <c r="DNT28" s="3468"/>
      <c r="DNU28" s="3468"/>
      <c r="DNV28" s="3468"/>
      <c r="DNW28" s="3468"/>
      <c r="DNX28" s="3468"/>
      <c r="DNY28" s="3468"/>
      <c r="DNZ28" s="3468"/>
      <c r="DOA28" s="3468"/>
      <c r="DOB28" s="3468"/>
      <c r="DOC28" s="3468"/>
      <c r="DOD28" s="3468"/>
      <c r="DOE28" s="3468"/>
      <c r="DOF28" s="3468"/>
      <c r="DOG28" s="3468"/>
      <c r="DOH28" s="3468"/>
      <c r="DOI28" s="3468"/>
      <c r="DOJ28" s="3468"/>
      <c r="DOK28" s="3468"/>
      <c r="DOL28" s="3468"/>
      <c r="DOM28" s="3468"/>
      <c r="DON28" s="3468"/>
      <c r="DOO28" s="3468"/>
      <c r="DOP28" s="3468"/>
      <c r="DOQ28" s="3468"/>
      <c r="DOR28" s="3468"/>
      <c r="DOS28" s="3468"/>
      <c r="DOT28" s="3468"/>
      <c r="DOU28" s="3468"/>
      <c r="DOV28" s="3468"/>
      <c r="DOW28" s="3468"/>
      <c r="DOX28" s="3468"/>
      <c r="DOY28" s="3468"/>
      <c r="DOZ28" s="3468"/>
      <c r="DPA28" s="3468"/>
      <c r="DPB28" s="3468"/>
      <c r="DPC28" s="3468"/>
      <c r="DPD28" s="3468"/>
      <c r="DPE28" s="3468"/>
      <c r="DPF28" s="3468"/>
      <c r="DPG28" s="3468"/>
      <c r="DPH28" s="3468"/>
      <c r="DPI28" s="3468"/>
      <c r="DPJ28" s="3468"/>
      <c r="DPK28" s="3468"/>
      <c r="DPL28" s="3468"/>
      <c r="DPM28" s="3468"/>
      <c r="DPN28" s="3468"/>
      <c r="DPO28" s="3468"/>
      <c r="DPP28" s="3468"/>
      <c r="DPQ28" s="3468"/>
      <c r="DPR28" s="3468"/>
      <c r="DPS28" s="3468"/>
      <c r="DPT28" s="3468"/>
      <c r="DPU28" s="3468"/>
      <c r="DPV28" s="3468"/>
      <c r="DPW28" s="3468"/>
      <c r="DPX28" s="3468"/>
      <c r="DPY28" s="3468"/>
      <c r="DPZ28" s="3468"/>
      <c r="DQA28" s="3468"/>
      <c r="DQB28" s="3468"/>
      <c r="DQC28" s="3468"/>
      <c r="DQD28" s="3468"/>
      <c r="DQE28" s="3468"/>
      <c r="DQF28" s="3468"/>
      <c r="DQG28" s="3468"/>
      <c r="DQH28" s="3468"/>
      <c r="DQI28" s="3468"/>
      <c r="DQJ28" s="3468"/>
      <c r="DQK28" s="3468"/>
      <c r="DQL28" s="3468"/>
      <c r="DQM28" s="3468"/>
      <c r="DQN28" s="3468"/>
      <c r="DQO28" s="3468"/>
      <c r="DQP28" s="3468"/>
      <c r="DQQ28" s="3468"/>
      <c r="DQR28" s="3468"/>
      <c r="DQS28" s="3468"/>
      <c r="DQT28" s="3468"/>
      <c r="DQU28" s="3468"/>
      <c r="DQV28" s="3468"/>
      <c r="DQW28" s="3468"/>
      <c r="DQX28" s="3468"/>
      <c r="DQY28" s="3468"/>
      <c r="DQZ28" s="3468"/>
      <c r="DRA28" s="3468"/>
      <c r="DRB28" s="3468"/>
      <c r="DRC28" s="3468"/>
      <c r="DRD28" s="3468"/>
      <c r="DRE28" s="3468"/>
      <c r="DRF28" s="3468"/>
      <c r="DRG28" s="3468"/>
      <c r="DRH28" s="3468"/>
      <c r="DRI28" s="3468"/>
      <c r="DRJ28" s="3468"/>
      <c r="DRK28" s="3468"/>
      <c r="DRL28" s="3468"/>
      <c r="DRM28" s="3468"/>
      <c r="DRN28" s="3468"/>
      <c r="DRO28" s="3468"/>
      <c r="DRP28" s="3468"/>
      <c r="DRQ28" s="3468"/>
      <c r="DRR28" s="3468"/>
      <c r="DRS28" s="3468"/>
      <c r="DRT28" s="3468"/>
      <c r="DRU28" s="3468"/>
      <c r="DRV28" s="3468"/>
      <c r="DRW28" s="3468"/>
      <c r="DRX28" s="3468"/>
      <c r="DRY28" s="3468"/>
      <c r="DRZ28" s="3468"/>
      <c r="DSA28" s="3468"/>
      <c r="DSB28" s="3468"/>
      <c r="DSC28" s="3468"/>
      <c r="DSD28" s="3468"/>
      <c r="DSE28" s="3468"/>
      <c r="DSF28" s="3468"/>
      <c r="DSG28" s="3468"/>
      <c r="DSH28" s="3468"/>
      <c r="DSI28" s="3468"/>
      <c r="DSJ28" s="3468"/>
      <c r="DSK28" s="3468"/>
      <c r="DSL28" s="3468"/>
      <c r="DSM28" s="3468"/>
      <c r="DSN28" s="3468"/>
      <c r="DSO28" s="3468"/>
      <c r="DSP28" s="3468"/>
      <c r="DSQ28" s="3468"/>
      <c r="DSR28" s="3468"/>
      <c r="DSS28" s="3468"/>
      <c r="DST28" s="3468"/>
      <c r="DSU28" s="3468"/>
      <c r="DSV28" s="3468"/>
      <c r="DSW28" s="3468"/>
      <c r="DSX28" s="3468"/>
      <c r="DSY28" s="3468"/>
      <c r="DSZ28" s="3468"/>
      <c r="DTA28" s="3468"/>
      <c r="DTB28" s="3468"/>
      <c r="DTC28" s="3468"/>
      <c r="DTD28" s="3468"/>
      <c r="DTE28" s="3468"/>
      <c r="DTF28" s="3468"/>
      <c r="DTG28" s="3468"/>
      <c r="DTH28" s="3468"/>
      <c r="DTI28" s="3468"/>
      <c r="DTJ28" s="3468"/>
      <c r="DTK28" s="3468"/>
      <c r="DTL28" s="3468"/>
      <c r="DTM28" s="3468"/>
      <c r="DTN28" s="3468"/>
      <c r="DTO28" s="3468"/>
      <c r="DTP28" s="3468"/>
      <c r="DTQ28" s="3468"/>
      <c r="DTR28" s="3468"/>
      <c r="DTS28" s="3468"/>
      <c r="DTT28" s="3468"/>
      <c r="DTU28" s="3468"/>
      <c r="DTV28" s="3468"/>
      <c r="DTW28" s="3468"/>
      <c r="DTX28" s="3468"/>
      <c r="DTY28" s="3468"/>
      <c r="DTZ28" s="3468"/>
      <c r="DUA28" s="3468"/>
      <c r="DUB28" s="3468"/>
      <c r="DUC28" s="3468"/>
      <c r="DUD28" s="3468"/>
      <c r="DUE28" s="3468"/>
      <c r="DUF28" s="3468"/>
      <c r="DUG28" s="3468"/>
      <c r="DUH28" s="3468"/>
      <c r="DUI28" s="3468"/>
      <c r="DUJ28" s="3468"/>
      <c r="DUK28" s="3468"/>
      <c r="DUL28" s="3468"/>
      <c r="DUM28" s="3468"/>
      <c r="DUN28" s="3468"/>
      <c r="DUO28" s="3468"/>
      <c r="DUP28" s="3468"/>
      <c r="DUQ28" s="3468"/>
      <c r="DUR28" s="3468"/>
      <c r="DUS28" s="3468"/>
      <c r="DUT28" s="3468"/>
      <c r="DUU28" s="3468"/>
      <c r="DUV28" s="3468"/>
      <c r="DUW28" s="3468"/>
      <c r="DUX28" s="3468"/>
      <c r="DUY28" s="3468"/>
      <c r="DUZ28" s="3468"/>
      <c r="DVA28" s="3468"/>
      <c r="DVB28" s="3468"/>
      <c r="DVC28" s="3468"/>
      <c r="DVD28" s="3468"/>
      <c r="DVE28" s="3468"/>
      <c r="DVF28" s="3468"/>
      <c r="DVG28" s="3468"/>
      <c r="DVH28" s="3468"/>
      <c r="DVI28" s="3468"/>
      <c r="DVJ28" s="3468"/>
      <c r="DVK28" s="3468"/>
      <c r="DVL28" s="3468"/>
      <c r="DVM28" s="3468"/>
      <c r="DVN28" s="3468"/>
      <c r="DVO28" s="3468"/>
      <c r="DVP28" s="3468"/>
      <c r="DVQ28" s="3468"/>
      <c r="DVR28" s="3468"/>
      <c r="DVS28" s="3468"/>
      <c r="DVT28" s="3468"/>
      <c r="DVU28" s="3468"/>
      <c r="DVV28" s="3468"/>
      <c r="DVW28" s="3468"/>
      <c r="DVX28" s="3468"/>
      <c r="DVY28" s="3468"/>
      <c r="DVZ28" s="3468"/>
      <c r="DWA28" s="3468"/>
      <c r="DWB28" s="3468"/>
      <c r="DWC28" s="3468"/>
      <c r="DWD28" s="3468"/>
      <c r="DWE28" s="3468"/>
      <c r="DWF28" s="3468"/>
      <c r="DWG28" s="3468"/>
      <c r="DWH28" s="3468"/>
      <c r="DWI28" s="3468"/>
      <c r="DWJ28" s="3468"/>
      <c r="DWK28" s="3468"/>
      <c r="DWL28" s="3468"/>
      <c r="DWM28" s="3468"/>
      <c r="DWN28" s="3468"/>
      <c r="DWO28" s="3468"/>
      <c r="DWP28" s="3468"/>
      <c r="DWQ28" s="3468"/>
      <c r="DWR28" s="3468"/>
      <c r="DWS28" s="3468"/>
      <c r="DWT28" s="3468"/>
      <c r="DWU28" s="3468"/>
      <c r="DWV28" s="3468"/>
      <c r="DWW28" s="3468"/>
      <c r="DWX28" s="3468"/>
      <c r="DWY28" s="3468"/>
      <c r="DWZ28" s="3468"/>
      <c r="DXA28" s="3468"/>
      <c r="DXB28" s="3468"/>
      <c r="DXC28" s="3468"/>
      <c r="DXD28" s="3468"/>
      <c r="DXE28" s="3468"/>
      <c r="DXF28" s="3468"/>
      <c r="DXG28" s="3468"/>
      <c r="DXH28" s="3468"/>
      <c r="DXI28" s="3468"/>
      <c r="DXJ28" s="3468"/>
      <c r="DXK28" s="3468"/>
      <c r="DXL28" s="3468"/>
      <c r="DXM28" s="3468"/>
      <c r="DXN28" s="3468"/>
      <c r="DXO28" s="3468"/>
      <c r="DXP28" s="3468"/>
      <c r="DXQ28" s="3468"/>
      <c r="DXR28" s="3468"/>
      <c r="DXS28" s="3468"/>
      <c r="DXT28" s="3468"/>
      <c r="DXU28" s="3468"/>
      <c r="DXV28" s="3468"/>
      <c r="DXW28" s="3468"/>
      <c r="DXX28" s="3468"/>
      <c r="DXY28" s="3468"/>
      <c r="DXZ28" s="3468"/>
      <c r="DYA28" s="3468"/>
      <c r="DYB28" s="3468"/>
      <c r="DYC28" s="3468"/>
      <c r="DYD28" s="3468"/>
      <c r="DYE28" s="3468"/>
      <c r="DYF28" s="3468"/>
      <c r="DYG28" s="3468"/>
      <c r="DYH28" s="3468"/>
      <c r="DYI28" s="3468"/>
      <c r="DYJ28" s="3468"/>
      <c r="DYK28" s="3468"/>
      <c r="DYL28" s="3468"/>
      <c r="DYM28" s="3468"/>
      <c r="DYN28" s="3468"/>
      <c r="DYO28" s="3468"/>
      <c r="DYP28" s="3468"/>
      <c r="DYQ28" s="3468"/>
      <c r="DYR28" s="3468"/>
      <c r="DYS28" s="3468"/>
      <c r="DYT28" s="3468"/>
      <c r="DYU28" s="3468"/>
      <c r="DYV28" s="3468"/>
      <c r="DYW28" s="3468"/>
      <c r="DYX28" s="3468"/>
      <c r="DYY28" s="3468"/>
      <c r="DYZ28" s="3468"/>
      <c r="DZA28" s="3468"/>
      <c r="DZB28" s="3468"/>
      <c r="DZC28" s="3468"/>
      <c r="DZD28" s="3468"/>
      <c r="DZE28" s="3468"/>
      <c r="DZF28" s="3468"/>
      <c r="DZG28" s="3468"/>
      <c r="DZH28" s="3468"/>
      <c r="DZI28" s="3468"/>
      <c r="DZJ28" s="3468"/>
      <c r="DZK28" s="3468"/>
      <c r="DZL28" s="3468"/>
      <c r="DZM28" s="3468"/>
      <c r="DZN28" s="3468"/>
      <c r="DZO28" s="3468"/>
      <c r="DZP28" s="3468"/>
      <c r="DZQ28" s="3468"/>
      <c r="DZR28" s="3468"/>
      <c r="DZS28" s="3468"/>
      <c r="DZT28" s="3468"/>
      <c r="DZU28" s="3468"/>
      <c r="DZV28" s="3468"/>
      <c r="DZW28" s="3468"/>
      <c r="DZX28" s="3468"/>
      <c r="DZY28" s="3468"/>
      <c r="DZZ28" s="3468"/>
      <c r="EAA28" s="3468"/>
      <c r="EAB28" s="3468"/>
      <c r="EAC28" s="3468"/>
      <c r="EAD28" s="3468"/>
      <c r="EAE28" s="3468"/>
      <c r="EAF28" s="3468"/>
      <c r="EAG28" s="3468"/>
      <c r="EAH28" s="3468"/>
      <c r="EAI28" s="3468"/>
      <c r="EAJ28" s="3468"/>
      <c r="EAK28" s="3468"/>
      <c r="EAL28" s="3468"/>
      <c r="EAM28" s="3468"/>
      <c r="EAN28" s="3468"/>
      <c r="EAO28" s="3468"/>
      <c r="EAP28" s="3468"/>
      <c r="EAQ28" s="3468"/>
      <c r="EAR28" s="3468"/>
      <c r="EAS28" s="3468"/>
      <c r="EAT28" s="3468"/>
      <c r="EAU28" s="3468"/>
      <c r="EAV28" s="3468"/>
      <c r="EAW28" s="3468"/>
      <c r="EAX28" s="3468"/>
      <c r="EAY28" s="3468"/>
      <c r="EAZ28" s="3468"/>
      <c r="EBA28" s="3468"/>
      <c r="EBB28" s="3468"/>
      <c r="EBC28" s="3468"/>
      <c r="EBD28" s="3468"/>
      <c r="EBE28" s="3468"/>
      <c r="EBF28" s="3468"/>
      <c r="EBG28" s="3468"/>
      <c r="EBH28" s="3468"/>
      <c r="EBI28" s="3468"/>
      <c r="EBJ28" s="3468"/>
      <c r="EBK28" s="3468"/>
      <c r="EBL28" s="3468"/>
      <c r="EBM28" s="3468"/>
      <c r="EBN28" s="3468"/>
      <c r="EBO28" s="3468"/>
      <c r="EBP28" s="3468"/>
      <c r="EBQ28" s="3468"/>
      <c r="EBR28" s="3468"/>
      <c r="EBS28" s="3468"/>
      <c r="EBT28" s="3468"/>
      <c r="EBU28" s="3468"/>
      <c r="EBV28" s="3468"/>
      <c r="EBW28" s="3468"/>
      <c r="EBX28" s="3468"/>
      <c r="EBY28" s="3468"/>
      <c r="EBZ28" s="3468"/>
      <c r="ECA28" s="3468"/>
      <c r="ECB28" s="3468"/>
      <c r="ECC28" s="3468"/>
      <c r="ECD28" s="3468"/>
      <c r="ECE28" s="3468"/>
      <c r="ECF28" s="3468"/>
      <c r="ECG28" s="3468"/>
      <c r="ECH28" s="3468"/>
      <c r="ECI28" s="3468"/>
      <c r="ECJ28" s="3468"/>
      <c r="ECK28" s="3468"/>
      <c r="ECL28" s="3468"/>
      <c r="ECM28" s="3468"/>
      <c r="ECN28" s="3468"/>
      <c r="ECO28" s="3468"/>
      <c r="ECP28" s="3468"/>
      <c r="ECQ28" s="3468"/>
      <c r="ECR28" s="3468"/>
      <c r="ECS28" s="3468"/>
      <c r="ECT28" s="3468"/>
      <c r="ECU28" s="3468"/>
      <c r="ECV28" s="3468"/>
      <c r="ECW28" s="3468"/>
      <c r="ECX28" s="3468"/>
      <c r="ECY28" s="3468"/>
      <c r="ECZ28" s="3468"/>
      <c r="EDA28" s="3468"/>
      <c r="EDB28" s="3468"/>
      <c r="EDC28" s="3468"/>
      <c r="EDD28" s="3468"/>
      <c r="EDE28" s="3468"/>
      <c r="EDF28" s="3468"/>
      <c r="EDG28" s="3468"/>
      <c r="EDH28" s="3468"/>
      <c r="EDI28" s="3468"/>
      <c r="EDJ28" s="3468"/>
      <c r="EDK28" s="3468"/>
      <c r="EDL28" s="3468"/>
      <c r="EDM28" s="3468"/>
      <c r="EDN28" s="3468"/>
      <c r="EDO28" s="3468"/>
      <c r="EDP28" s="3468"/>
      <c r="EDQ28" s="3468"/>
      <c r="EDR28" s="3468"/>
      <c r="EDS28" s="3468"/>
      <c r="EDT28" s="3468"/>
      <c r="EDU28" s="3468"/>
      <c r="EDV28" s="3468"/>
      <c r="EDW28" s="3468"/>
      <c r="EDX28" s="3468"/>
      <c r="EDY28" s="3468"/>
      <c r="EDZ28" s="3468"/>
      <c r="EEA28" s="3468"/>
      <c r="EEB28" s="3468"/>
      <c r="EEC28" s="3468"/>
      <c r="EED28" s="3468"/>
      <c r="EEE28" s="3468"/>
      <c r="EEF28" s="3468"/>
      <c r="EEG28" s="3468"/>
      <c r="EEH28" s="3468"/>
      <c r="EEI28" s="3468"/>
      <c r="EEJ28" s="3468"/>
      <c r="EEK28" s="3468"/>
      <c r="EEL28" s="3468"/>
      <c r="EEM28" s="3468"/>
      <c r="EEN28" s="3468"/>
      <c r="EEO28" s="3468"/>
      <c r="EEP28" s="3468"/>
      <c r="EEQ28" s="3468"/>
      <c r="EER28" s="3468"/>
      <c r="EES28" s="3468"/>
      <c r="EET28" s="3468"/>
      <c r="EEU28" s="3468"/>
      <c r="EEV28" s="3468"/>
      <c r="EEW28" s="3468"/>
      <c r="EEX28" s="3468"/>
      <c r="EEY28" s="3468"/>
      <c r="EEZ28" s="3468"/>
      <c r="EFA28" s="3468"/>
      <c r="EFB28" s="3468"/>
      <c r="EFC28" s="3468"/>
      <c r="EFD28" s="3468"/>
      <c r="EFE28" s="3468"/>
      <c r="EFF28" s="3468"/>
      <c r="EFG28" s="3468"/>
      <c r="EFH28" s="3468"/>
      <c r="EFI28" s="3468"/>
      <c r="EFJ28" s="3468"/>
      <c r="EFK28" s="3468"/>
      <c r="EFL28" s="3468"/>
      <c r="EFM28" s="3468"/>
      <c r="EFN28" s="3468"/>
      <c r="EFO28" s="3468"/>
      <c r="EFP28" s="3468"/>
      <c r="EFQ28" s="3468"/>
      <c r="EFR28" s="3468"/>
      <c r="EFS28" s="3468"/>
      <c r="EFT28" s="3468"/>
      <c r="EFU28" s="3468"/>
      <c r="EFV28" s="3468"/>
      <c r="EFW28" s="3468"/>
      <c r="EFX28" s="3468"/>
      <c r="EFY28" s="3468"/>
      <c r="EFZ28" s="3468"/>
      <c r="EGA28" s="3468"/>
      <c r="EGB28" s="3468"/>
      <c r="EGC28" s="3468"/>
      <c r="EGD28" s="3468"/>
      <c r="EGE28" s="3468"/>
      <c r="EGF28" s="3468"/>
      <c r="EGG28" s="3468"/>
      <c r="EGH28" s="3468"/>
      <c r="EGI28" s="3468"/>
      <c r="EGJ28" s="3468"/>
      <c r="EGK28" s="3468"/>
      <c r="EGL28" s="3468"/>
      <c r="EGM28" s="3468"/>
      <c r="EGN28" s="3468"/>
      <c r="EGO28" s="3468"/>
      <c r="EGP28" s="3468"/>
      <c r="EGQ28" s="3468"/>
      <c r="EGR28" s="3468"/>
      <c r="EGS28" s="3468"/>
      <c r="EGT28" s="3468"/>
      <c r="EGU28" s="3468"/>
      <c r="EGV28" s="3468"/>
      <c r="EGW28" s="3468"/>
      <c r="EGX28" s="3468"/>
      <c r="EGY28" s="3468"/>
      <c r="EGZ28" s="3468"/>
      <c r="EHA28" s="3468"/>
      <c r="EHB28" s="3468"/>
      <c r="EHC28" s="3468"/>
      <c r="EHD28" s="3468"/>
      <c r="EHE28" s="3468"/>
      <c r="EHF28" s="3468"/>
      <c r="EHG28" s="3468"/>
      <c r="EHH28" s="3468"/>
      <c r="EHI28" s="3468"/>
      <c r="EHJ28" s="3468"/>
      <c r="EHK28" s="3468"/>
      <c r="EHL28" s="3468"/>
      <c r="EHM28" s="3468"/>
      <c r="EHN28" s="3468"/>
      <c r="EHO28" s="3468"/>
      <c r="EHP28" s="3468"/>
      <c r="EHQ28" s="3468"/>
      <c r="EHR28" s="3468"/>
      <c r="EHS28" s="3468"/>
      <c r="EHT28" s="3468"/>
      <c r="EHU28" s="3468"/>
      <c r="EHV28" s="3468"/>
      <c r="EHW28" s="3468"/>
      <c r="EHX28" s="3468"/>
      <c r="EHY28" s="3468"/>
      <c r="EHZ28" s="3468"/>
      <c r="EIA28" s="3468"/>
      <c r="EIB28" s="3468"/>
      <c r="EIC28" s="3468"/>
      <c r="EID28" s="3468"/>
      <c r="EIE28" s="3468"/>
      <c r="EIF28" s="3468"/>
      <c r="EIG28" s="3468"/>
      <c r="EIH28" s="3468"/>
      <c r="EII28" s="3468"/>
      <c r="EIJ28" s="3468"/>
      <c r="EIK28" s="3468"/>
      <c r="EIL28" s="3468"/>
      <c r="EIM28" s="3468"/>
      <c r="EIN28" s="3468"/>
      <c r="EIO28" s="3468"/>
      <c r="EIP28" s="3468"/>
      <c r="EIQ28" s="3468"/>
      <c r="EIR28" s="3468"/>
      <c r="EIS28" s="3468"/>
      <c r="EIT28" s="3468"/>
      <c r="EIU28" s="3468"/>
      <c r="EIV28" s="3468"/>
      <c r="EIW28" s="3468"/>
      <c r="EIX28" s="3468"/>
      <c r="EIY28" s="3468"/>
      <c r="EIZ28" s="3468"/>
      <c r="EJA28" s="3468"/>
      <c r="EJB28" s="3468"/>
      <c r="EJC28" s="3468"/>
      <c r="EJD28" s="3468"/>
      <c r="EJE28" s="3468"/>
      <c r="EJF28" s="3468"/>
      <c r="EJG28" s="3468"/>
      <c r="EJH28" s="3468"/>
      <c r="EJI28" s="3468"/>
      <c r="EJJ28" s="3468"/>
      <c r="EJK28" s="3468"/>
      <c r="EJL28" s="3468"/>
      <c r="EJM28" s="3468"/>
      <c r="EJN28" s="3468"/>
      <c r="EJO28" s="3468"/>
      <c r="EJP28" s="3468"/>
      <c r="EJQ28" s="3468"/>
      <c r="EJR28" s="3468"/>
      <c r="EJS28" s="3468"/>
      <c r="EJT28" s="3468"/>
      <c r="EJU28" s="3468"/>
      <c r="EJV28" s="3468"/>
      <c r="EJW28" s="3468"/>
      <c r="EJX28" s="3468"/>
      <c r="EJY28" s="3468"/>
      <c r="EJZ28" s="3468"/>
      <c r="EKA28" s="3468"/>
      <c r="EKB28" s="3468"/>
      <c r="EKC28" s="3468"/>
      <c r="EKD28" s="3468"/>
      <c r="EKE28" s="3468"/>
      <c r="EKF28" s="3468"/>
      <c r="EKG28" s="3468"/>
      <c r="EKH28" s="3468"/>
      <c r="EKI28" s="3468"/>
      <c r="EKJ28" s="3468"/>
      <c r="EKK28" s="3468"/>
      <c r="EKL28" s="3468"/>
      <c r="EKM28" s="3468"/>
      <c r="EKN28" s="3468"/>
      <c r="EKO28" s="3468"/>
      <c r="EKP28" s="3468"/>
      <c r="EKQ28" s="3468"/>
      <c r="EKR28" s="3468"/>
      <c r="EKS28" s="3468"/>
      <c r="EKT28" s="3468"/>
      <c r="EKU28" s="3468"/>
      <c r="EKV28" s="3468"/>
      <c r="EKW28" s="3468"/>
      <c r="EKX28" s="3468"/>
      <c r="EKY28" s="3468"/>
      <c r="EKZ28" s="3468"/>
      <c r="ELA28" s="3468"/>
      <c r="ELB28" s="3468"/>
      <c r="ELC28" s="3468"/>
      <c r="ELD28" s="3468"/>
      <c r="ELE28" s="3468"/>
      <c r="ELF28" s="3468"/>
      <c r="ELG28" s="3468"/>
      <c r="ELH28" s="3468"/>
      <c r="ELI28" s="3468"/>
      <c r="ELJ28" s="3468"/>
      <c r="ELK28" s="3468"/>
      <c r="ELL28" s="3468"/>
      <c r="ELM28" s="3468"/>
      <c r="ELN28" s="3468"/>
      <c r="ELO28" s="3468"/>
      <c r="ELP28" s="3468"/>
      <c r="ELQ28" s="3468"/>
      <c r="ELR28" s="3468"/>
      <c r="ELS28" s="3468"/>
      <c r="ELT28" s="3468"/>
      <c r="ELU28" s="3468"/>
      <c r="ELV28" s="3468"/>
      <c r="ELW28" s="3468"/>
      <c r="ELX28" s="3468"/>
      <c r="ELY28" s="3468"/>
      <c r="ELZ28" s="3468"/>
      <c r="EMA28" s="3468"/>
      <c r="EMB28" s="3468"/>
      <c r="EMC28" s="3468"/>
      <c r="EMD28" s="3468"/>
      <c r="EME28" s="3468"/>
      <c r="EMF28" s="3468"/>
      <c r="EMG28" s="3468"/>
      <c r="EMH28" s="3468"/>
      <c r="EMI28" s="3468"/>
      <c r="EMJ28" s="3468"/>
      <c r="EMK28" s="3468"/>
      <c r="EML28" s="3468"/>
      <c r="EMM28" s="3468"/>
      <c r="EMN28" s="3468"/>
      <c r="EMO28" s="3468"/>
      <c r="EMP28" s="3468"/>
      <c r="EMQ28" s="3468"/>
      <c r="EMR28" s="3468"/>
      <c r="EMS28" s="3468"/>
      <c r="EMT28" s="3468"/>
      <c r="EMU28" s="3468"/>
      <c r="EMV28" s="3468"/>
      <c r="EMW28" s="3468"/>
      <c r="EMX28" s="3468"/>
      <c r="EMY28" s="3468"/>
      <c r="EMZ28" s="3468"/>
      <c r="ENA28" s="3468"/>
      <c r="ENB28" s="3468"/>
      <c r="ENC28" s="3468"/>
      <c r="END28" s="3468"/>
      <c r="ENE28" s="3468"/>
      <c r="ENF28" s="3468"/>
      <c r="ENG28" s="3468"/>
      <c r="ENH28" s="3468"/>
      <c r="ENI28" s="3468"/>
      <c r="ENJ28" s="3468"/>
      <c r="ENK28" s="3468"/>
      <c r="ENL28" s="3468"/>
      <c r="ENM28" s="3468"/>
      <c r="ENN28" s="3468"/>
      <c r="ENO28" s="3468"/>
      <c r="ENP28" s="3468"/>
      <c r="ENQ28" s="3468"/>
      <c r="ENR28" s="3468"/>
      <c r="ENS28" s="3468"/>
      <c r="ENT28" s="3468"/>
      <c r="ENU28" s="3468"/>
      <c r="ENV28" s="3468"/>
      <c r="ENW28" s="3468"/>
      <c r="ENX28" s="3468"/>
      <c r="ENY28" s="3468"/>
      <c r="ENZ28" s="3468"/>
      <c r="EOA28" s="3468"/>
      <c r="EOB28" s="3468"/>
      <c r="EOC28" s="3468"/>
      <c r="EOD28" s="3468"/>
      <c r="EOE28" s="3468"/>
      <c r="EOF28" s="3468"/>
      <c r="EOG28" s="3468"/>
      <c r="EOH28" s="3468"/>
      <c r="EOI28" s="3468"/>
      <c r="EOJ28" s="3468"/>
      <c r="EOK28" s="3468"/>
      <c r="EOL28" s="3468"/>
      <c r="EOM28" s="3468"/>
      <c r="EON28" s="3468"/>
      <c r="EOO28" s="3468"/>
      <c r="EOP28" s="3468"/>
      <c r="EOQ28" s="3468"/>
      <c r="EOR28" s="3468"/>
      <c r="EOS28" s="3468"/>
      <c r="EOT28" s="3468"/>
      <c r="EOU28" s="3468"/>
      <c r="EOV28" s="3468"/>
      <c r="EOW28" s="3468"/>
      <c r="EOX28" s="3468"/>
      <c r="EOY28" s="3468"/>
      <c r="EOZ28" s="3468"/>
      <c r="EPA28" s="3468"/>
      <c r="EPB28" s="3468"/>
      <c r="EPC28" s="3468"/>
      <c r="EPD28" s="3468"/>
      <c r="EPE28" s="3468"/>
      <c r="EPF28" s="3468"/>
      <c r="EPG28" s="3468"/>
      <c r="EPH28" s="3468"/>
      <c r="EPI28" s="3468"/>
      <c r="EPJ28" s="3468"/>
      <c r="EPK28" s="3468"/>
      <c r="EPL28" s="3468"/>
      <c r="EPM28" s="3468"/>
      <c r="EPN28" s="3468"/>
      <c r="EPO28" s="3468"/>
      <c r="EPP28" s="3468"/>
      <c r="EPQ28" s="3468"/>
      <c r="EPR28" s="3468"/>
      <c r="EPS28" s="3468"/>
      <c r="EPT28" s="3468"/>
      <c r="EPU28" s="3468"/>
      <c r="EPV28" s="3468"/>
      <c r="EPW28" s="3468"/>
      <c r="EPX28" s="3468"/>
      <c r="EPY28" s="3468"/>
      <c r="EPZ28" s="3468"/>
      <c r="EQA28" s="3468"/>
      <c r="EQB28" s="3468"/>
      <c r="EQC28" s="3468"/>
      <c r="EQD28" s="3468"/>
      <c r="EQE28" s="3468"/>
      <c r="EQF28" s="3468"/>
      <c r="EQG28" s="3468"/>
      <c r="EQH28" s="3468"/>
      <c r="EQI28" s="3468"/>
      <c r="EQJ28" s="3468"/>
      <c r="EQK28" s="3468"/>
      <c r="EQL28" s="3468"/>
      <c r="EQM28" s="3468"/>
      <c r="EQN28" s="3468"/>
      <c r="EQO28" s="3468"/>
      <c r="EQP28" s="3468"/>
      <c r="EQQ28" s="3468"/>
      <c r="EQR28" s="3468"/>
      <c r="EQS28" s="3468"/>
      <c r="EQT28" s="3468"/>
      <c r="EQU28" s="3468"/>
      <c r="EQV28" s="3468"/>
      <c r="EQW28" s="3468"/>
      <c r="EQX28" s="3468"/>
      <c r="EQY28" s="3468"/>
      <c r="EQZ28" s="3468"/>
      <c r="ERA28" s="3468"/>
      <c r="ERB28" s="3468"/>
      <c r="ERC28" s="3468"/>
      <c r="ERD28" s="3468"/>
      <c r="ERE28" s="3468"/>
      <c r="ERF28" s="3468"/>
      <c r="ERG28" s="3468"/>
      <c r="ERH28" s="3468"/>
      <c r="ERI28" s="3468"/>
      <c r="ERJ28" s="3468"/>
      <c r="ERK28" s="3468"/>
      <c r="ERL28" s="3468"/>
      <c r="ERM28" s="3468"/>
      <c r="ERN28" s="3468"/>
      <c r="ERO28" s="3468"/>
      <c r="ERP28" s="3468"/>
      <c r="ERQ28" s="3468"/>
      <c r="ERR28" s="3468"/>
      <c r="ERS28" s="3468"/>
      <c r="ERT28" s="3468"/>
      <c r="ERU28" s="3468"/>
      <c r="ERV28" s="3468"/>
      <c r="ERW28" s="3468"/>
      <c r="ERX28" s="3468"/>
      <c r="ERY28" s="3468"/>
      <c r="ERZ28" s="3468"/>
      <c r="ESA28" s="3468"/>
      <c r="ESB28" s="3468"/>
      <c r="ESC28" s="3468"/>
      <c r="ESD28" s="3468"/>
      <c r="ESE28" s="3468"/>
      <c r="ESF28" s="3468"/>
      <c r="ESG28" s="3468"/>
      <c r="ESH28" s="3468"/>
      <c r="ESI28" s="3468"/>
      <c r="ESJ28" s="3468"/>
      <c r="ESK28" s="3468"/>
      <c r="ESL28" s="3468"/>
      <c r="ESM28" s="3468"/>
      <c r="ESN28" s="3468"/>
      <c r="ESO28" s="3468"/>
      <c r="ESP28" s="3468"/>
      <c r="ESQ28" s="3468"/>
      <c r="ESR28" s="3468"/>
      <c r="ESS28" s="3468"/>
      <c r="EST28" s="3468"/>
      <c r="ESU28" s="3468"/>
      <c r="ESV28" s="3468"/>
      <c r="ESW28" s="3468"/>
      <c r="ESX28" s="3468"/>
      <c r="ESY28" s="3468"/>
      <c r="ESZ28" s="3468"/>
      <c r="ETA28" s="3468"/>
      <c r="ETB28" s="3468"/>
      <c r="ETC28" s="3468"/>
      <c r="ETD28" s="3468"/>
      <c r="ETE28" s="3468"/>
      <c r="ETF28" s="3468"/>
      <c r="ETG28" s="3468"/>
      <c r="ETH28" s="3468"/>
      <c r="ETI28" s="3468"/>
      <c r="ETJ28" s="3468"/>
      <c r="ETK28" s="3468"/>
      <c r="ETL28" s="3468"/>
      <c r="ETM28" s="3468"/>
      <c r="ETN28" s="3468"/>
      <c r="ETO28" s="3468"/>
      <c r="ETP28" s="3468"/>
      <c r="ETQ28" s="3468"/>
      <c r="ETR28" s="3468"/>
      <c r="ETS28" s="3468"/>
      <c r="ETT28" s="3468"/>
      <c r="ETU28" s="3468"/>
      <c r="ETV28" s="3468"/>
      <c r="ETW28" s="3468"/>
      <c r="ETX28" s="3468"/>
      <c r="ETY28" s="3468"/>
      <c r="ETZ28" s="3468"/>
      <c r="EUA28" s="3468"/>
      <c r="EUB28" s="3468"/>
      <c r="EUC28" s="3468"/>
      <c r="EUD28" s="3468"/>
      <c r="EUE28" s="3468"/>
      <c r="EUF28" s="3468"/>
      <c r="EUG28" s="3468"/>
      <c r="EUH28" s="3468"/>
      <c r="EUI28" s="3468"/>
      <c r="EUJ28" s="3468"/>
      <c r="EUK28" s="3468"/>
      <c r="EUL28" s="3468"/>
      <c r="EUM28" s="3468"/>
      <c r="EUN28" s="3468"/>
      <c r="EUO28" s="3468"/>
      <c r="EUP28" s="3468"/>
      <c r="EUQ28" s="3468"/>
      <c r="EUR28" s="3468"/>
      <c r="EUS28" s="3468"/>
      <c r="EUT28" s="3468"/>
      <c r="EUU28" s="3468"/>
      <c r="EUV28" s="3468"/>
      <c r="EUW28" s="3468"/>
      <c r="EUX28" s="3468"/>
      <c r="EUY28" s="3468"/>
      <c r="EUZ28" s="3468"/>
      <c r="EVA28" s="3468"/>
      <c r="EVB28" s="3468"/>
      <c r="EVC28" s="3468"/>
      <c r="EVD28" s="3468"/>
      <c r="EVE28" s="3468"/>
      <c r="EVF28" s="3468"/>
      <c r="EVG28" s="3468"/>
      <c r="EVH28" s="3468"/>
      <c r="EVI28" s="3468"/>
      <c r="EVJ28" s="3468"/>
      <c r="EVK28" s="3468"/>
      <c r="EVL28" s="3468"/>
      <c r="EVM28" s="3468"/>
      <c r="EVN28" s="3468"/>
      <c r="EVO28" s="3468"/>
      <c r="EVP28" s="3468"/>
      <c r="EVQ28" s="3468"/>
      <c r="EVR28" s="3468"/>
      <c r="EVS28" s="3468"/>
      <c r="EVT28" s="3468"/>
      <c r="EVU28" s="3468"/>
      <c r="EVV28" s="3468"/>
      <c r="EVW28" s="3468"/>
      <c r="EVX28" s="3468"/>
      <c r="EVY28" s="3468"/>
      <c r="EVZ28" s="3468"/>
      <c r="EWA28" s="3468"/>
      <c r="EWB28" s="3468"/>
      <c r="EWC28" s="3468"/>
      <c r="EWD28" s="3468"/>
      <c r="EWE28" s="3468"/>
      <c r="EWF28" s="3468"/>
      <c r="EWG28" s="3468"/>
      <c r="EWH28" s="3468"/>
      <c r="EWI28" s="3468"/>
      <c r="EWJ28" s="3468"/>
      <c r="EWK28" s="3468"/>
      <c r="EWL28" s="3468"/>
      <c r="EWM28" s="3468"/>
      <c r="EWN28" s="3468"/>
      <c r="EWO28" s="3468"/>
      <c r="EWP28" s="3468"/>
      <c r="EWQ28" s="3468"/>
      <c r="EWR28" s="3468"/>
      <c r="EWS28" s="3468"/>
      <c r="EWT28" s="3468"/>
      <c r="EWU28" s="3468"/>
      <c r="EWV28" s="3468"/>
      <c r="EWW28" s="3468"/>
      <c r="EWX28" s="3468"/>
      <c r="EWY28" s="3468"/>
      <c r="EWZ28" s="3468"/>
      <c r="EXA28" s="3468"/>
      <c r="EXB28" s="3468"/>
      <c r="EXC28" s="3468"/>
      <c r="EXD28" s="3468"/>
      <c r="EXE28" s="3468"/>
      <c r="EXF28" s="3468"/>
      <c r="EXG28" s="3468"/>
      <c r="EXH28" s="3468"/>
      <c r="EXI28" s="3468"/>
      <c r="EXJ28" s="3468"/>
      <c r="EXK28" s="3468"/>
      <c r="EXL28" s="3468"/>
      <c r="EXM28" s="3468"/>
      <c r="EXN28" s="3468"/>
      <c r="EXO28" s="3468"/>
      <c r="EXP28" s="3468"/>
      <c r="EXQ28" s="3468"/>
      <c r="EXR28" s="3468"/>
      <c r="EXS28" s="3468"/>
      <c r="EXT28" s="3468"/>
      <c r="EXU28" s="3468"/>
      <c r="EXV28" s="3468"/>
      <c r="EXW28" s="3468"/>
      <c r="EXX28" s="3468"/>
      <c r="EXY28" s="3468"/>
      <c r="EXZ28" s="3468"/>
      <c r="EYA28" s="3468"/>
      <c r="EYB28" s="3468"/>
      <c r="EYC28" s="3468"/>
      <c r="EYD28" s="3468"/>
      <c r="EYE28" s="3468"/>
      <c r="EYF28" s="3468"/>
      <c r="EYG28" s="3468"/>
      <c r="EYH28" s="3468"/>
      <c r="EYI28" s="3468"/>
      <c r="EYJ28" s="3468"/>
      <c r="EYK28" s="3468"/>
      <c r="EYL28" s="3468"/>
      <c r="EYM28" s="3468"/>
      <c r="EYN28" s="3468"/>
      <c r="EYO28" s="3468"/>
      <c r="EYP28" s="3468"/>
      <c r="EYQ28" s="3468"/>
      <c r="EYR28" s="3468"/>
      <c r="EYS28" s="3468"/>
      <c r="EYT28" s="3468"/>
      <c r="EYU28" s="3468"/>
      <c r="EYV28" s="3468"/>
      <c r="EYW28" s="3468"/>
      <c r="EYX28" s="3468"/>
      <c r="EYY28" s="3468"/>
      <c r="EYZ28" s="3468"/>
      <c r="EZA28" s="3468"/>
      <c r="EZB28" s="3468"/>
      <c r="EZC28" s="3468"/>
      <c r="EZD28" s="3468"/>
      <c r="EZE28" s="3468"/>
      <c r="EZF28" s="3468"/>
      <c r="EZG28" s="3468"/>
      <c r="EZH28" s="3468"/>
      <c r="EZI28" s="3468"/>
      <c r="EZJ28" s="3468"/>
      <c r="EZK28" s="3468"/>
      <c r="EZL28" s="3468"/>
      <c r="EZM28" s="3468"/>
      <c r="EZN28" s="3468"/>
      <c r="EZO28" s="3468"/>
      <c r="EZP28" s="3468"/>
      <c r="EZQ28" s="3468"/>
      <c r="EZR28" s="3468"/>
      <c r="EZS28" s="3468"/>
      <c r="EZT28" s="3468"/>
      <c r="EZU28" s="3468"/>
      <c r="EZV28" s="3468"/>
      <c r="EZW28" s="3468"/>
      <c r="EZX28" s="3468"/>
      <c r="EZY28" s="3468"/>
      <c r="EZZ28" s="3468"/>
      <c r="FAA28" s="3468"/>
      <c r="FAB28" s="3468"/>
      <c r="FAC28" s="3468"/>
      <c r="FAD28" s="3468"/>
      <c r="FAE28" s="3468"/>
      <c r="FAF28" s="3468"/>
      <c r="FAG28" s="3468"/>
      <c r="FAH28" s="3468"/>
      <c r="FAI28" s="3468"/>
      <c r="FAJ28" s="3468"/>
      <c r="FAK28" s="3468"/>
      <c r="FAL28" s="3468"/>
      <c r="FAM28" s="3468"/>
      <c r="FAN28" s="3468"/>
      <c r="FAO28" s="3468"/>
      <c r="FAP28" s="3468"/>
      <c r="FAQ28" s="3468"/>
      <c r="FAR28" s="3468"/>
      <c r="FAS28" s="3468"/>
      <c r="FAT28" s="3468"/>
      <c r="FAU28" s="3468"/>
      <c r="FAV28" s="3468"/>
      <c r="FAW28" s="3468"/>
      <c r="FAX28" s="3468"/>
      <c r="FAY28" s="3468"/>
      <c r="FAZ28" s="3468"/>
      <c r="FBA28" s="3468"/>
      <c r="FBB28" s="3468"/>
      <c r="FBC28" s="3468"/>
      <c r="FBD28" s="3468"/>
      <c r="FBE28" s="3468"/>
      <c r="FBF28" s="3468"/>
      <c r="FBG28" s="3468"/>
      <c r="FBH28" s="3468"/>
      <c r="FBI28" s="3468"/>
      <c r="FBJ28" s="3468"/>
      <c r="FBK28" s="3468"/>
      <c r="FBL28" s="3468"/>
      <c r="FBM28" s="3468"/>
      <c r="FBN28" s="3468"/>
      <c r="FBO28" s="3468"/>
      <c r="FBP28" s="3468"/>
      <c r="FBQ28" s="3468"/>
      <c r="FBR28" s="3468"/>
      <c r="FBS28" s="3468"/>
      <c r="FBT28" s="3468"/>
      <c r="FBU28" s="3468"/>
      <c r="FBV28" s="3468"/>
      <c r="FBW28" s="3468"/>
      <c r="FBX28" s="3468"/>
      <c r="FBY28" s="3468"/>
      <c r="FBZ28" s="3468"/>
      <c r="FCA28" s="3468"/>
      <c r="FCB28" s="3468"/>
      <c r="FCC28" s="3468"/>
      <c r="FCD28" s="3468"/>
      <c r="FCE28" s="3468"/>
      <c r="FCF28" s="3468"/>
      <c r="FCG28" s="3468"/>
      <c r="FCH28" s="3468"/>
      <c r="FCI28" s="3468"/>
      <c r="FCJ28" s="3468"/>
      <c r="FCK28" s="3468"/>
      <c r="FCL28" s="3468"/>
      <c r="FCM28" s="3468"/>
      <c r="FCN28" s="3468"/>
      <c r="FCO28" s="3468"/>
      <c r="FCP28" s="3468"/>
      <c r="FCQ28" s="3468"/>
      <c r="FCR28" s="3468"/>
      <c r="FCS28" s="3468"/>
      <c r="FCT28" s="3468"/>
      <c r="FCU28" s="3468"/>
      <c r="FCV28" s="3468"/>
      <c r="FCW28" s="3468"/>
      <c r="FCX28" s="3468"/>
      <c r="FCY28" s="3468"/>
      <c r="FCZ28" s="3468"/>
      <c r="FDA28" s="3468"/>
      <c r="FDB28" s="3468"/>
      <c r="FDC28" s="3468"/>
      <c r="FDD28" s="3468"/>
      <c r="FDE28" s="3468"/>
      <c r="FDF28" s="3468"/>
      <c r="FDG28" s="3468"/>
      <c r="FDH28" s="3468"/>
      <c r="FDI28" s="3468"/>
      <c r="FDJ28" s="3468"/>
      <c r="FDK28" s="3468"/>
      <c r="FDL28" s="3468"/>
      <c r="FDM28" s="3468"/>
      <c r="FDN28" s="3468"/>
      <c r="FDO28" s="3468"/>
      <c r="FDP28" s="3468"/>
      <c r="FDQ28" s="3468"/>
      <c r="FDR28" s="3468"/>
      <c r="FDS28" s="3468"/>
      <c r="FDT28" s="3468"/>
      <c r="FDU28" s="3468"/>
      <c r="FDV28" s="3468"/>
      <c r="FDW28" s="3468"/>
      <c r="FDX28" s="3468"/>
      <c r="FDY28" s="3468"/>
      <c r="FDZ28" s="3468"/>
      <c r="FEA28" s="3468"/>
      <c r="FEB28" s="3468"/>
      <c r="FEC28" s="3468"/>
      <c r="FED28" s="3468"/>
      <c r="FEE28" s="3468"/>
      <c r="FEF28" s="3468"/>
      <c r="FEG28" s="3468"/>
      <c r="FEH28" s="3468"/>
      <c r="FEI28" s="3468"/>
      <c r="FEJ28" s="3468"/>
      <c r="FEK28" s="3468"/>
      <c r="FEL28" s="3468"/>
      <c r="FEM28" s="3468"/>
      <c r="FEN28" s="3468"/>
      <c r="FEO28" s="3468"/>
      <c r="FEP28" s="3468"/>
      <c r="FEQ28" s="3468"/>
      <c r="FER28" s="3468"/>
      <c r="FES28" s="3468"/>
      <c r="FET28" s="3468"/>
      <c r="FEU28" s="3468"/>
      <c r="FEV28" s="3468"/>
      <c r="FEW28" s="3468"/>
      <c r="FEX28" s="3468"/>
      <c r="FEY28" s="3468"/>
      <c r="FEZ28" s="3468"/>
      <c r="FFA28" s="3468"/>
      <c r="FFB28" s="3468"/>
      <c r="FFC28" s="3468"/>
      <c r="FFD28" s="3468"/>
      <c r="FFE28" s="3468"/>
      <c r="FFF28" s="3468"/>
      <c r="FFG28" s="3468"/>
      <c r="FFH28" s="3468"/>
      <c r="FFI28" s="3468"/>
      <c r="FFJ28" s="3468"/>
      <c r="FFK28" s="3468"/>
      <c r="FFL28" s="3468"/>
      <c r="FFM28" s="3468"/>
      <c r="FFN28" s="3468"/>
      <c r="FFO28" s="3468"/>
      <c r="FFP28" s="3468"/>
      <c r="FFQ28" s="3468"/>
      <c r="FFR28" s="3468"/>
      <c r="FFS28" s="3468"/>
      <c r="FFT28" s="3468"/>
      <c r="FFU28" s="3468"/>
      <c r="FFV28" s="3468"/>
      <c r="FFW28" s="3468"/>
      <c r="FFX28" s="3468"/>
      <c r="FFY28" s="3468"/>
      <c r="FFZ28" s="3468"/>
      <c r="FGA28" s="3468"/>
      <c r="FGB28" s="3468"/>
      <c r="FGC28" s="3468"/>
      <c r="FGD28" s="3468"/>
      <c r="FGE28" s="3468"/>
      <c r="FGF28" s="3468"/>
      <c r="FGG28" s="3468"/>
      <c r="FGH28" s="3468"/>
      <c r="FGI28" s="3468"/>
      <c r="FGJ28" s="3468"/>
      <c r="FGK28" s="3468"/>
      <c r="FGL28" s="3468"/>
      <c r="FGM28" s="3468"/>
      <c r="FGN28" s="3468"/>
      <c r="FGO28" s="3468"/>
      <c r="FGP28" s="3468"/>
      <c r="FGQ28" s="3468"/>
      <c r="FGR28" s="3468"/>
      <c r="FGS28" s="3468"/>
      <c r="FGT28" s="3468"/>
      <c r="FGU28" s="3468"/>
      <c r="FGV28" s="3468"/>
      <c r="FGW28" s="3468"/>
      <c r="FGX28" s="3468"/>
      <c r="FGY28" s="3468"/>
      <c r="FGZ28" s="3468"/>
      <c r="FHA28" s="3468"/>
      <c r="FHB28" s="3468"/>
      <c r="FHC28" s="3468"/>
      <c r="FHD28" s="3468"/>
      <c r="FHE28" s="3468"/>
      <c r="FHF28" s="3468"/>
      <c r="FHG28" s="3468"/>
      <c r="FHH28" s="3468"/>
      <c r="FHI28" s="3468"/>
      <c r="FHJ28" s="3468"/>
      <c r="FHK28" s="3468"/>
      <c r="FHL28" s="3468"/>
      <c r="FHM28" s="3468"/>
      <c r="FHN28" s="3468"/>
      <c r="FHO28" s="3468"/>
      <c r="FHP28" s="3468"/>
      <c r="FHQ28" s="3468"/>
      <c r="FHR28" s="3468"/>
      <c r="FHS28" s="3468"/>
      <c r="FHT28" s="3468"/>
      <c r="FHU28" s="3468"/>
      <c r="FHV28" s="3468"/>
      <c r="FHW28" s="3468"/>
      <c r="FHX28" s="3468"/>
      <c r="FHY28" s="3468"/>
      <c r="FHZ28" s="3468"/>
      <c r="FIA28" s="3468"/>
      <c r="FIB28" s="3468"/>
      <c r="FIC28" s="3468"/>
      <c r="FID28" s="3468"/>
      <c r="FIE28" s="3468"/>
      <c r="FIF28" s="3468"/>
      <c r="FIG28" s="3468"/>
      <c r="FIH28" s="3468"/>
      <c r="FII28" s="3468"/>
      <c r="FIJ28" s="3468"/>
      <c r="FIK28" s="3468"/>
      <c r="FIL28" s="3468"/>
      <c r="FIM28" s="3468"/>
      <c r="FIN28" s="3468"/>
      <c r="FIO28" s="3468"/>
      <c r="FIP28" s="3468"/>
      <c r="FIQ28" s="3468"/>
      <c r="FIR28" s="3468"/>
      <c r="FIS28" s="3468"/>
      <c r="FIT28" s="3468"/>
      <c r="FIU28" s="3468"/>
      <c r="FIV28" s="3468"/>
      <c r="FIW28" s="3468"/>
      <c r="FIX28" s="3468"/>
      <c r="FIY28" s="3468"/>
      <c r="FIZ28" s="3468"/>
      <c r="FJA28" s="3468"/>
      <c r="FJB28" s="3468"/>
      <c r="FJC28" s="3468"/>
      <c r="FJD28" s="3468"/>
      <c r="FJE28" s="3468"/>
      <c r="FJF28" s="3468"/>
      <c r="FJG28" s="3468"/>
      <c r="FJH28" s="3468"/>
      <c r="FJI28" s="3468"/>
      <c r="FJJ28" s="3468"/>
      <c r="FJK28" s="3468"/>
      <c r="FJL28" s="3468"/>
      <c r="FJM28" s="3468"/>
      <c r="FJN28" s="3468"/>
      <c r="FJO28" s="3468"/>
      <c r="FJP28" s="3468"/>
      <c r="FJQ28" s="3468"/>
      <c r="FJR28" s="3468"/>
      <c r="FJS28" s="3468"/>
      <c r="FJT28" s="3468"/>
      <c r="FJU28" s="3468"/>
      <c r="FJV28" s="3468"/>
      <c r="FJW28" s="3468"/>
      <c r="FJX28" s="3468"/>
      <c r="FJY28" s="3468"/>
      <c r="FJZ28" s="3468"/>
      <c r="FKA28" s="3468"/>
      <c r="FKB28" s="3468"/>
      <c r="FKC28" s="3468"/>
      <c r="FKD28" s="3468"/>
      <c r="FKE28" s="3468"/>
      <c r="FKF28" s="3468"/>
      <c r="FKG28" s="3468"/>
      <c r="FKH28" s="3468"/>
      <c r="FKI28" s="3468"/>
      <c r="FKJ28" s="3468"/>
      <c r="FKK28" s="3468"/>
      <c r="FKL28" s="3468"/>
      <c r="FKM28" s="3468"/>
      <c r="FKN28" s="3468"/>
      <c r="FKO28" s="3468"/>
      <c r="FKP28" s="3468"/>
      <c r="FKQ28" s="3468"/>
      <c r="FKR28" s="3468"/>
      <c r="FKS28" s="3468"/>
      <c r="FKT28" s="3468"/>
      <c r="FKU28" s="3468"/>
      <c r="FKV28" s="3468"/>
      <c r="FKW28" s="3468"/>
      <c r="FKX28" s="3468"/>
      <c r="FKY28" s="3468"/>
      <c r="FKZ28" s="3468"/>
      <c r="FLA28" s="3468"/>
      <c r="FLB28" s="3468"/>
      <c r="FLC28" s="3468"/>
      <c r="FLD28" s="3468"/>
      <c r="FLE28" s="3468"/>
      <c r="FLF28" s="3468"/>
      <c r="FLG28" s="3468"/>
      <c r="FLH28" s="3468"/>
      <c r="FLI28" s="3468"/>
      <c r="FLJ28" s="3468"/>
      <c r="FLK28" s="3468"/>
      <c r="FLL28" s="3468"/>
      <c r="FLM28" s="3468"/>
      <c r="FLN28" s="3468"/>
      <c r="FLO28" s="3468"/>
      <c r="FLP28" s="3468"/>
      <c r="FLQ28" s="3468"/>
      <c r="FLR28" s="3468"/>
      <c r="FLS28" s="3468"/>
      <c r="FLT28" s="3468"/>
      <c r="FLU28" s="3468"/>
      <c r="FLV28" s="3468"/>
      <c r="FLW28" s="3468"/>
      <c r="FLX28" s="3468"/>
      <c r="FLY28" s="3468"/>
      <c r="FLZ28" s="3468"/>
      <c r="FMA28" s="3468"/>
      <c r="FMB28" s="3468"/>
      <c r="FMC28" s="3468"/>
      <c r="FMD28" s="3468"/>
      <c r="FME28" s="3468"/>
      <c r="FMF28" s="3468"/>
      <c r="FMG28" s="3468"/>
      <c r="FMH28" s="3468"/>
      <c r="FMI28" s="3468"/>
      <c r="FMJ28" s="3468"/>
      <c r="FMK28" s="3468"/>
      <c r="FML28" s="3468"/>
      <c r="FMM28" s="3468"/>
      <c r="FMN28" s="3468"/>
      <c r="FMO28" s="3468"/>
      <c r="FMP28" s="3468"/>
      <c r="FMQ28" s="3468"/>
      <c r="FMR28" s="3468"/>
      <c r="FMS28" s="3468"/>
      <c r="FMT28" s="3468"/>
      <c r="FMU28" s="3468"/>
      <c r="FMV28" s="3468"/>
      <c r="FMW28" s="3468"/>
      <c r="FMX28" s="3468"/>
      <c r="FMY28" s="3468"/>
      <c r="FMZ28" s="3468"/>
      <c r="FNA28" s="3468"/>
      <c r="FNB28" s="3468"/>
      <c r="FNC28" s="3468"/>
      <c r="FND28" s="3468"/>
      <c r="FNE28" s="3468"/>
      <c r="FNF28" s="3468"/>
      <c r="FNG28" s="3468"/>
      <c r="FNH28" s="3468"/>
      <c r="FNI28" s="3468"/>
      <c r="FNJ28" s="3468"/>
      <c r="FNK28" s="3468"/>
      <c r="FNL28" s="3468"/>
      <c r="FNM28" s="3468"/>
      <c r="FNN28" s="3468"/>
      <c r="FNO28" s="3468"/>
      <c r="FNP28" s="3468"/>
      <c r="FNQ28" s="3468"/>
      <c r="FNR28" s="3468"/>
      <c r="FNS28" s="3468"/>
      <c r="FNT28" s="3468"/>
      <c r="FNU28" s="3468"/>
      <c r="FNV28" s="3468"/>
      <c r="FNW28" s="3468"/>
      <c r="FNX28" s="3468"/>
      <c r="FNY28" s="3468"/>
      <c r="FNZ28" s="3468"/>
      <c r="FOA28" s="3468"/>
      <c r="FOB28" s="3468"/>
      <c r="FOC28" s="3468"/>
      <c r="FOD28" s="3468"/>
      <c r="FOE28" s="3468"/>
      <c r="FOF28" s="3468"/>
      <c r="FOG28" s="3468"/>
      <c r="FOH28" s="3468"/>
      <c r="FOI28" s="3468"/>
      <c r="FOJ28" s="3468"/>
      <c r="FOK28" s="3468"/>
      <c r="FOL28" s="3468"/>
      <c r="FOM28" s="3468"/>
      <c r="FON28" s="3468"/>
      <c r="FOO28" s="3468"/>
      <c r="FOP28" s="3468"/>
      <c r="FOQ28" s="3468"/>
      <c r="FOR28" s="3468"/>
      <c r="FOS28" s="3468"/>
      <c r="FOT28" s="3468"/>
      <c r="FOU28" s="3468"/>
      <c r="FOV28" s="3468"/>
      <c r="FOW28" s="3468"/>
      <c r="FOX28" s="3468"/>
      <c r="FOY28" s="3468"/>
      <c r="FOZ28" s="3468"/>
      <c r="FPA28" s="3468"/>
      <c r="FPB28" s="3468"/>
      <c r="FPC28" s="3468"/>
      <c r="FPD28" s="3468"/>
      <c r="FPE28" s="3468"/>
      <c r="FPF28" s="3468"/>
      <c r="FPG28" s="3468"/>
      <c r="FPH28" s="3468"/>
      <c r="FPI28" s="3468"/>
      <c r="FPJ28" s="3468"/>
      <c r="FPK28" s="3468"/>
      <c r="FPL28" s="3468"/>
      <c r="FPM28" s="3468"/>
      <c r="FPN28" s="3468"/>
      <c r="FPO28" s="3468"/>
      <c r="FPP28" s="3468"/>
      <c r="FPQ28" s="3468"/>
      <c r="FPR28" s="3468"/>
      <c r="FPS28" s="3468"/>
      <c r="FPT28" s="3468"/>
      <c r="FPU28" s="3468"/>
      <c r="FPV28" s="3468"/>
      <c r="FPW28" s="3468"/>
      <c r="FPX28" s="3468"/>
      <c r="FPY28" s="3468"/>
      <c r="FPZ28" s="3468"/>
      <c r="FQA28" s="3468"/>
      <c r="FQB28" s="3468"/>
      <c r="FQC28" s="3468"/>
      <c r="FQD28" s="3468"/>
      <c r="FQE28" s="3468"/>
      <c r="FQF28" s="3468"/>
      <c r="FQG28" s="3468"/>
      <c r="FQH28" s="3468"/>
      <c r="FQI28" s="3468"/>
      <c r="FQJ28" s="3468"/>
      <c r="FQK28" s="3468"/>
      <c r="FQL28" s="3468"/>
      <c r="FQM28" s="3468"/>
      <c r="FQN28" s="3468"/>
      <c r="FQO28" s="3468"/>
      <c r="FQP28" s="3468"/>
      <c r="FQQ28" s="3468"/>
      <c r="FQR28" s="3468"/>
      <c r="FQS28" s="3468"/>
      <c r="FQT28" s="3468"/>
      <c r="FQU28" s="3468"/>
      <c r="FQV28" s="3468"/>
      <c r="FQW28" s="3468"/>
      <c r="FQX28" s="3468"/>
      <c r="FQY28" s="3468"/>
      <c r="FQZ28" s="3468"/>
      <c r="FRA28" s="3468"/>
      <c r="FRB28" s="3468"/>
      <c r="FRC28" s="3468"/>
      <c r="FRD28" s="3468"/>
      <c r="FRE28" s="3468"/>
      <c r="FRF28" s="3468"/>
      <c r="FRG28" s="3468"/>
      <c r="FRH28" s="3468"/>
      <c r="FRI28" s="3468"/>
      <c r="FRJ28" s="3468"/>
      <c r="FRK28" s="3468"/>
      <c r="FRL28" s="3468"/>
      <c r="FRM28" s="3468"/>
      <c r="FRN28" s="3468"/>
      <c r="FRO28" s="3468"/>
      <c r="FRP28" s="3468"/>
      <c r="FRQ28" s="3468"/>
      <c r="FRR28" s="3468"/>
      <c r="FRS28" s="3468"/>
      <c r="FRT28" s="3468"/>
      <c r="FRU28" s="3468"/>
      <c r="FRV28" s="3468"/>
      <c r="FRW28" s="3468"/>
      <c r="FRX28" s="3468"/>
      <c r="FRY28" s="3468"/>
      <c r="FRZ28" s="3468"/>
      <c r="FSA28" s="3468"/>
      <c r="FSB28" s="3468"/>
      <c r="FSC28" s="3468"/>
      <c r="FSD28" s="3468"/>
      <c r="FSE28" s="3468"/>
      <c r="FSF28" s="3468"/>
      <c r="FSG28" s="3468"/>
      <c r="FSH28" s="3468"/>
      <c r="FSI28" s="3468"/>
      <c r="FSJ28" s="3468"/>
      <c r="FSK28" s="3468"/>
      <c r="FSL28" s="3468"/>
      <c r="FSM28" s="3468"/>
      <c r="FSN28" s="3468"/>
      <c r="FSO28" s="3468"/>
      <c r="FSP28" s="3468"/>
      <c r="FSQ28" s="3468"/>
      <c r="FSR28" s="3468"/>
      <c r="FSS28" s="3468"/>
      <c r="FST28" s="3468"/>
      <c r="FSU28" s="3468"/>
      <c r="FSV28" s="3468"/>
      <c r="FSW28" s="3468"/>
      <c r="FSX28" s="3468"/>
      <c r="FSY28" s="3468"/>
      <c r="FSZ28" s="3468"/>
      <c r="FTA28" s="3468"/>
      <c r="FTB28" s="3468"/>
      <c r="FTC28" s="3468"/>
      <c r="FTD28" s="3468"/>
      <c r="FTE28" s="3468"/>
      <c r="FTF28" s="3468"/>
      <c r="FTG28" s="3468"/>
      <c r="FTH28" s="3468"/>
      <c r="FTI28" s="3468"/>
      <c r="FTJ28" s="3468"/>
      <c r="FTK28" s="3468"/>
      <c r="FTL28" s="3468"/>
      <c r="FTM28" s="3468"/>
      <c r="FTN28" s="3468"/>
      <c r="FTO28" s="3468"/>
      <c r="FTP28" s="3468"/>
      <c r="FTQ28" s="3468"/>
      <c r="FTR28" s="3468"/>
      <c r="FTS28" s="3468"/>
      <c r="FTT28" s="3468"/>
      <c r="FTU28" s="3468"/>
      <c r="FTV28" s="3468"/>
      <c r="FTW28" s="3468"/>
      <c r="FTX28" s="3468"/>
      <c r="FTY28" s="3468"/>
      <c r="FTZ28" s="3468"/>
      <c r="FUA28" s="3468"/>
      <c r="FUB28" s="3468"/>
      <c r="FUC28" s="3468"/>
      <c r="FUD28" s="3468"/>
      <c r="FUE28" s="3468"/>
      <c r="FUF28" s="3468"/>
      <c r="FUG28" s="3468"/>
      <c r="FUH28" s="3468"/>
      <c r="FUI28" s="3468"/>
      <c r="FUJ28" s="3468"/>
      <c r="FUK28" s="3468"/>
      <c r="FUL28" s="3468"/>
      <c r="FUM28" s="3468"/>
      <c r="FUN28" s="3468"/>
      <c r="FUO28" s="3468"/>
      <c r="FUP28" s="3468"/>
      <c r="FUQ28" s="3468"/>
      <c r="FUR28" s="3468"/>
      <c r="FUS28" s="3468"/>
      <c r="FUT28" s="3468"/>
      <c r="FUU28" s="3468"/>
      <c r="FUV28" s="3468"/>
      <c r="FUW28" s="3468"/>
      <c r="FUX28" s="3468"/>
      <c r="FUY28" s="3468"/>
      <c r="FUZ28" s="3468"/>
      <c r="FVA28" s="3468"/>
      <c r="FVB28" s="3468"/>
      <c r="FVC28" s="3468"/>
      <c r="FVD28" s="3468"/>
      <c r="FVE28" s="3468"/>
      <c r="FVF28" s="3468"/>
      <c r="FVG28" s="3468"/>
      <c r="FVH28" s="3468"/>
      <c r="FVI28" s="3468"/>
      <c r="FVJ28" s="3468"/>
      <c r="FVK28" s="3468"/>
      <c r="FVL28" s="3468"/>
      <c r="FVM28" s="3468"/>
      <c r="FVN28" s="3468"/>
      <c r="FVO28" s="3468"/>
      <c r="FVP28" s="3468"/>
      <c r="FVQ28" s="3468"/>
      <c r="FVR28" s="3468"/>
      <c r="FVS28" s="3468"/>
      <c r="FVT28" s="3468"/>
      <c r="FVU28" s="3468"/>
      <c r="FVV28" s="3468"/>
      <c r="FVW28" s="3468"/>
      <c r="FVX28" s="3468"/>
      <c r="FVY28" s="3468"/>
      <c r="FVZ28" s="3468"/>
      <c r="FWA28" s="3468"/>
      <c r="FWB28" s="3468"/>
      <c r="FWC28" s="3468"/>
      <c r="FWD28" s="3468"/>
      <c r="FWE28" s="3468"/>
      <c r="FWF28" s="3468"/>
      <c r="FWG28" s="3468"/>
      <c r="FWH28" s="3468"/>
      <c r="FWI28" s="3468"/>
      <c r="FWJ28" s="3468"/>
      <c r="FWK28" s="3468"/>
      <c r="FWL28" s="3468"/>
      <c r="FWM28" s="3468"/>
      <c r="FWN28" s="3468"/>
      <c r="FWO28" s="3468"/>
      <c r="FWP28" s="3468"/>
      <c r="FWQ28" s="3468"/>
      <c r="FWR28" s="3468"/>
      <c r="FWS28" s="3468"/>
      <c r="FWT28" s="3468"/>
      <c r="FWU28" s="3468"/>
      <c r="FWV28" s="3468"/>
      <c r="FWW28" s="3468"/>
      <c r="FWX28" s="3468"/>
      <c r="FWY28" s="3468"/>
      <c r="FWZ28" s="3468"/>
      <c r="FXA28" s="3468"/>
      <c r="FXB28" s="3468"/>
      <c r="FXC28" s="3468"/>
      <c r="FXD28" s="3468"/>
      <c r="FXE28" s="3468"/>
      <c r="FXF28" s="3468"/>
      <c r="FXG28" s="3468"/>
      <c r="FXH28" s="3468"/>
      <c r="FXI28" s="3468"/>
      <c r="FXJ28" s="3468"/>
      <c r="FXK28" s="3468"/>
      <c r="FXL28" s="3468"/>
      <c r="FXM28" s="3468"/>
      <c r="FXN28" s="3468"/>
      <c r="FXO28" s="3468"/>
      <c r="FXP28" s="3468"/>
      <c r="FXQ28" s="3468"/>
      <c r="FXR28" s="3468"/>
      <c r="FXS28" s="3468"/>
      <c r="FXT28" s="3468"/>
      <c r="FXU28" s="3468"/>
      <c r="FXV28" s="3468"/>
      <c r="FXW28" s="3468"/>
      <c r="FXX28" s="3468"/>
      <c r="FXY28" s="3468"/>
      <c r="FXZ28" s="3468"/>
      <c r="FYA28" s="3468"/>
      <c r="FYB28" s="3468"/>
      <c r="FYC28" s="3468"/>
      <c r="FYD28" s="3468"/>
      <c r="FYE28" s="3468"/>
      <c r="FYF28" s="3468"/>
      <c r="FYG28" s="3468"/>
      <c r="FYH28" s="3468"/>
      <c r="FYI28" s="3468"/>
      <c r="FYJ28" s="3468"/>
      <c r="FYK28" s="3468"/>
      <c r="FYL28" s="3468"/>
      <c r="FYM28" s="3468"/>
      <c r="FYN28" s="3468"/>
      <c r="FYO28" s="3468"/>
      <c r="FYP28" s="3468"/>
      <c r="FYQ28" s="3468"/>
      <c r="FYR28" s="3468"/>
      <c r="FYS28" s="3468"/>
      <c r="FYT28" s="3468"/>
      <c r="FYU28" s="3468"/>
      <c r="FYV28" s="3468"/>
      <c r="FYW28" s="3468"/>
      <c r="FYX28" s="3468"/>
      <c r="FYY28" s="3468"/>
      <c r="FYZ28" s="3468"/>
      <c r="FZA28" s="3468"/>
      <c r="FZB28" s="3468"/>
      <c r="FZC28" s="3468"/>
      <c r="FZD28" s="3468"/>
      <c r="FZE28" s="3468"/>
      <c r="FZF28" s="3468"/>
      <c r="FZG28" s="3468"/>
      <c r="FZH28" s="3468"/>
      <c r="FZI28" s="3468"/>
      <c r="FZJ28" s="3468"/>
      <c r="FZK28" s="3468"/>
      <c r="FZL28" s="3468"/>
      <c r="FZM28" s="3468"/>
      <c r="FZN28" s="3468"/>
      <c r="FZO28" s="3468"/>
      <c r="FZP28" s="3468"/>
      <c r="FZQ28" s="3468"/>
      <c r="FZR28" s="3468"/>
      <c r="FZS28" s="3468"/>
      <c r="FZT28" s="3468"/>
      <c r="FZU28" s="3468"/>
      <c r="FZV28" s="3468"/>
      <c r="FZW28" s="3468"/>
      <c r="FZX28" s="3468"/>
      <c r="FZY28" s="3468"/>
      <c r="FZZ28" s="3468"/>
      <c r="GAA28" s="3468"/>
      <c r="GAB28" s="3468"/>
      <c r="GAC28" s="3468"/>
      <c r="GAD28" s="3468"/>
      <c r="GAE28" s="3468"/>
      <c r="GAF28" s="3468"/>
      <c r="GAG28" s="3468"/>
      <c r="GAH28" s="3468"/>
      <c r="GAI28" s="3468"/>
      <c r="GAJ28" s="3468"/>
      <c r="GAK28" s="3468"/>
      <c r="GAL28" s="3468"/>
      <c r="GAM28" s="3468"/>
      <c r="GAN28" s="3468"/>
      <c r="GAO28" s="3468"/>
      <c r="GAP28" s="3468"/>
      <c r="GAQ28" s="3468"/>
      <c r="GAR28" s="3468"/>
      <c r="GAS28" s="3468"/>
      <c r="GAT28" s="3468"/>
      <c r="GAU28" s="3468"/>
      <c r="GAV28" s="3468"/>
      <c r="GAW28" s="3468"/>
      <c r="GAX28" s="3468"/>
      <c r="GAY28" s="3468"/>
      <c r="GAZ28" s="3468"/>
      <c r="GBA28" s="3468"/>
      <c r="GBB28" s="3468"/>
      <c r="GBC28" s="3468"/>
      <c r="GBD28" s="3468"/>
      <c r="GBE28" s="3468"/>
      <c r="GBF28" s="3468"/>
      <c r="GBG28" s="3468"/>
      <c r="GBH28" s="3468"/>
      <c r="GBI28" s="3468"/>
      <c r="GBJ28" s="3468"/>
      <c r="GBK28" s="3468"/>
      <c r="GBL28" s="3468"/>
      <c r="GBM28" s="3468"/>
      <c r="GBN28" s="3468"/>
      <c r="GBO28" s="3468"/>
      <c r="GBP28" s="3468"/>
      <c r="GBQ28" s="3468"/>
      <c r="GBR28" s="3468"/>
      <c r="GBS28" s="3468"/>
      <c r="GBT28" s="3468"/>
      <c r="GBU28" s="3468"/>
      <c r="GBV28" s="3468"/>
      <c r="GBW28" s="3468"/>
      <c r="GBX28" s="3468"/>
      <c r="GBY28" s="3468"/>
      <c r="GBZ28" s="3468"/>
      <c r="GCA28" s="3468"/>
      <c r="GCB28" s="3468"/>
      <c r="GCC28" s="3468"/>
      <c r="GCD28" s="3468"/>
      <c r="GCE28" s="3468"/>
      <c r="GCF28" s="3468"/>
      <c r="GCG28" s="3468"/>
      <c r="GCH28" s="3468"/>
      <c r="GCI28" s="3468"/>
      <c r="GCJ28" s="3468"/>
      <c r="GCK28" s="3468"/>
      <c r="GCL28" s="3468"/>
      <c r="GCM28" s="3468"/>
      <c r="GCN28" s="3468"/>
      <c r="GCO28" s="3468"/>
      <c r="GCP28" s="3468"/>
      <c r="GCQ28" s="3468"/>
      <c r="GCR28" s="3468"/>
      <c r="GCS28" s="3468"/>
      <c r="GCT28" s="3468"/>
      <c r="GCU28" s="3468"/>
      <c r="GCV28" s="3468"/>
      <c r="GCW28" s="3468"/>
      <c r="GCX28" s="3468"/>
      <c r="GCY28" s="3468"/>
      <c r="GCZ28" s="3468"/>
      <c r="GDA28" s="3468"/>
      <c r="GDB28" s="3468"/>
      <c r="GDC28" s="3468"/>
      <c r="GDD28" s="3468"/>
      <c r="GDE28" s="3468"/>
      <c r="GDF28" s="3468"/>
      <c r="GDG28" s="3468"/>
      <c r="GDH28" s="3468"/>
      <c r="GDI28" s="3468"/>
      <c r="GDJ28" s="3468"/>
      <c r="GDK28" s="3468"/>
      <c r="GDL28" s="3468"/>
      <c r="GDM28" s="3468"/>
      <c r="GDN28" s="3468"/>
      <c r="GDO28" s="3468"/>
      <c r="GDP28" s="3468"/>
      <c r="GDQ28" s="3468"/>
      <c r="GDR28" s="3468"/>
      <c r="GDS28" s="3468"/>
      <c r="GDT28" s="3468"/>
      <c r="GDU28" s="3468"/>
      <c r="GDV28" s="3468"/>
      <c r="GDW28" s="3468"/>
      <c r="GDX28" s="3468"/>
      <c r="GDY28" s="3468"/>
      <c r="GDZ28" s="3468"/>
      <c r="GEA28" s="3468"/>
      <c r="GEB28" s="3468"/>
      <c r="GEC28" s="3468"/>
      <c r="GED28" s="3468"/>
      <c r="GEE28" s="3468"/>
      <c r="GEF28" s="3468"/>
      <c r="GEG28" s="3468"/>
      <c r="GEH28" s="3468"/>
      <c r="GEI28" s="3468"/>
      <c r="GEJ28" s="3468"/>
      <c r="GEK28" s="3468"/>
      <c r="GEL28" s="3468"/>
      <c r="GEM28" s="3468"/>
      <c r="GEN28" s="3468"/>
      <c r="GEO28" s="3468"/>
      <c r="GEP28" s="3468"/>
      <c r="GEQ28" s="3468"/>
      <c r="GER28" s="3468"/>
      <c r="GES28" s="3468"/>
      <c r="GET28" s="3468"/>
      <c r="GEU28" s="3468"/>
      <c r="GEV28" s="3468"/>
      <c r="GEW28" s="3468"/>
      <c r="GEX28" s="3468"/>
      <c r="GEY28" s="3468"/>
      <c r="GEZ28" s="3468"/>
      <c r="GFA28" s="3468"/>
      <c r="GFB28" s="3468"/>
      <c r="GFC28" s="3468"/>
      <c r="GFD28" s="3468"/>
      <c r="GFE28" s="3468"/>
      <c r="GFF28" s="3468"/>
      <c r="GFG28" s="3468"/>
      <c r="GFH28" s="3468"/>
      <c r="GFI28" s="3468"/>
      <c r="GFJ28" s="3468"/>
      <c r="GFK28" s="3468"/>
      <c r="GFL28" s="3468"/>
      <c r="GFM28" s="3468"/>
      <c r="GFN28" s="3468"/>
      <c r="GFO28" s="3468"/>
      <c r="GFP28" s="3468"/>
      <c r="GFQ28" s="3468"/>
      <c r="GFR28" s="3468"/>
      <c r="GFS28" s="3468"/>
      <c r="GFT28" s="3468"/>
      <c r="GFU28" s="3468"/>
      <c r="GFV28" s="3468"/>
      <c r="GFW28" s="3468"/>
      <c r="GFX28" s="3468"/>
      <c r="GFY28" s="3468"/>
      <c r="GFZ28" s="3468"/>
      <c r="GGA28" s="3468"/>
      <c r="GGB28" s="3468"/>
      <c r="GGC28" s="3468"/>
      <c r="GGD28" s="3468"/>
      <c r="GGE28" s="3468"/>
      <c r="GGF28" s="3468"/>
      <c r="GGG28" s="3468"/>
      <c r="GGH28" s="3468"/>
      <c r="GGI28" s="3468"/>
      <c r="GGJ28" s="3468"/>
      <c r="GGK28" s="3468"/>
      <c r="GGL28" s="3468"/>
      <c r="GGM28" s="3468"/>
      <c r="GGN28" s="3468"/>
      <c r="GGO28" s="3468"/>
      <c r="GGP28" s="3468"/>
      <c r="GGQ28" s="3468"/>
      <c r="GGR28" s="3468"/>
      <c r="GGS28" s="3468"/>
      <c r="GGT28" s="3468"/>
      <c r="GGU28" s="3468"/>
      <c r="GGV28" s="3468"/>
      <c r="GGW28" s="3468"/>
      <c r="GGX28" s="3468"/>
      <c r="GGY28" s="3468"/>
      <c r="GGZ28" s="3468"/>
      <c r="GHA28" s="3468"/>
      <c r="GHB28" s="3468"/>
      <c r="GHC28" s="3468"/>
      <c r="GHD28" s="3468"/>
      <c r="GHE28" s="3468"/>
      <c r="GHF28" s="3468"/>
      <c r="GHG28" s="3468"/>
      <c r="GHH28" s="3468"/>
      <c r="GHI28" s="3468"/>
      <c r="GHJ28" s="3468"/>
      <c r="GHK28" s="3468"/>
      <c r="GHL28" s="3468"/>
      <c r="GHM28" s="3468"/>
      <c r="GHN28" s="3468"/>
      <c r="GHO28" s="3468"/>
      <c r="GHP28" s="3468"/>
      <c r="GHQ28" s="3468"/>
      <c r="GHR28" s="3468"/>
      <c r="GHS28" s="3468"/>
      <c r="GHT28" s="3468"/>
      <c r="GHU28" s="3468"/>
      <c r="GHV28" s="3468"/>
      <c r="GHW28" s="3468"/>
      <c r="GHX28" s="3468"/>
      <c r="GHY28" s="3468"/>
      <c r="GHZ28" s="3468"/>
      <c r="GIA28" s="3468"/>
      <c r="GIB28" s="3468"/>
      <c r="GIC28" s="3468"/>
      <c r="GID28" s="3468"/>
      <c r="GIE28" s="3468"/>
      <c r="GIF28" s="3468"/>
      <c r="GIG28" s="3468"/>
      <c r="GIH28" s="3468"/>
      <c r="GII28" s="3468"/>
      <c r="GIJ28" s="3468"/>
      <c r="GIK28" s="3468"/>
      <c r="GIL28" s="3468"/>
      <c r="GIM28" s="3468"/>
      <c r="GIN28" s="3468"/>
      <c r="GIO28" s="3468"/>
      <c r="GIP28" s="3468"/>
      <c r="GIQ28" s="3468"/>
      <c r="GIR28" s="3468"/>
      <c r="GIS28" s="3468"/>
      <c r="GIT28" s="3468"/>
      <c r="GIU28" s="3468"/>
      <c r="GIV28" s="3468"/>
      <c r="GIW28" s="3468"/>
      <c r="GIX28" s="3468"/>
      <c r="GIY28" s="3468"/>
      <c r="GIZ28" s="3468"/>
      <c r="GJA28" s="3468"/>
      <c r="GJB28" s="3468"/>
      <c r="GJC28" s="3468"/>
      <c r="GJD28" s="3468"/>
      <c r="GJE28" s="3468"/>
      <c r="GJF28" s="3468"/>
      <c r="GJG28" s="3468"/>
      <c r="GJH28" s="3468"/>
      <c r="GJI28" s="3468"/>
      <c r="GJJ28" s="3468"/>
      <c r="GJK28" s="3468"/>
      <c r="GJL28" s="3468"/>
      <c r="GJM28" s="3468"/>
      <c r="GJN28" s="3468"/>
      <c r="GJO28" s="3468"/>
      <c r="GJP28" s="3468"/>
      <c r="GJQ28" s="3468"/>
      <c r="GJR28" s="3468"/>
      <c r="GJS28" s="3468"/>
      <c r="GJT28" s="3468"/>
      <c r="GJU28" s="3468"/>
      <c r="GJV28" s="3468"/>
      <c r="GJW28" s="3468"/>
      <c r="GJX28" s="3468"/>
      <c r="GJY28" s="3468"/>
      <c r="GJZ28" s="3468"/>
      <c r="GKA28" s="3468"/>
      <c r="GKB28" s="3468"/>
      <c r="GKC28" s="3468"/>
      <c r="GKD28" s="3468"/>
      <c r="GKE28" s="3468"/>
      <c r="GKF28" s="3468"/>
      <c r="GKG28" s="3468"/>
      <c r="GKH28" s="3468"/>
      <c r="GKI28" s="3468"/>
      <c r="GKJ28" s="3468"/>
      <c r="GKK28" s="3468"/>
      <c r="GKL28" s="3468"/>
      <c r="GKM28" s="3468"/>
      <c r="GKN28" s="3468"/>
      <c r="GKO28" s="3468"/>
      <c r="GKP28" s="3468"/>
      <c r="GKQ28" s="3468"/>
      <c r="GKR28" s="3468"/>
      <c r="GKS28" s="3468"/>
      <c r="GKT28" s="3468"/>
      <c r="GKU28" s="3468"/>
      <c r="GKV28" s="3468"/>
      <c r="GKW28" s="3468"/>
      <c r="GKX28" s="3468"/>
      <c r="GKY28" s="3468"/>
      <c r="GKZ28" s="3468"/>
      <c r="GLA28" s="3468"/>
      <c r="GLB28" s="3468"/>
      <c r="GLC28" s="3468"/>
      <c r="GLD28" s="3468"/>
      <c r="GLE28" s="3468"/>
      <c r="GLF28" s="3468"/>
      <c r="GLG28" s="3468"/>
      <c r="GLH28" s="3468"/>
      <c r="GLI28" s="3468"/>
      <c r="GLJ28" s="3468"/>
      <c r="GLK28" s="3468"/>
      <c r="GLL28" s="3468"/>
      <c r="GLM28" s="3468"/>
      <c r="GLN28" s="3468"/>
      <c r="GLO28" s="3468"/>
      <c r="GLP28" s="3468"/>
      <c r="GLQ28" s="3468"/>
      <c r="GLR28" s="3468"/>
      <c r="GLS28" s="3468"/>
      <c r="GLT28" s="3468"/>
      <c r="GLU28" s="3468"/>
      <c r="GLV28" s="3468"/>
      <c r="GLW28" s="3468"/>
      <c r="GLX28" s="3468"/>
      <c r="GLY28" s="3468"/>
      <c r="GLZ28" s="3468"/>
      <c r="GMA28" s="3468"/>
      <c r="GMB28" s="3468"/>
      <c r="GMC28" s="3468"/>
      <c r="GMD28" s="3468"/>
      <c r="GME28" s="3468"/>
      <c r="GMF28" s="3468"/>
      <c r="GMG28" s="3468"/>
      <c r="GMH28" s="3468"/>
      <c r="GMI28" s="3468"/>
      <c r="GMJ28" s="3468"/>
      <c r="GMK28" s="3468"/>
      <c r="GML28" s="3468"/>
      <c r="GMM28" s="3468"/>
      <c r="GMN28" s="3468"/>
      <c r="GMO28" s="3468"/>
      <c r="GMP28" s="3468"/>
      <c r="GMQ28" s="3468"/>
      <c r="GMR28" s="3468"/>
      <c r="GMS28" s="3468"/>
      <c r="GMT28" s="3468"/>
      <c r="GMU28" s="3468"/>
      <c r="GMV28" s="3468"/>
      <c r="GMW28" s="3468"/>
      <c r="GMX28" s="3468"/>
      <c r="GMY28" s="3468"/>
      <c r="GMZ28" s="3468"/>
      <c r="GNA28" s="3468"/>
      <c r="GNB28" s="3468"/>
      <c r="GNC28" s="3468"/>
      <c r="GND28" s="3468"/>
      <c r="GNE28" s="3468"/>
      <c r="GNF28" s="3468"/>
      <c r="GNG28" s="3468"/>
      <c r="GNH28" s="3468"/>
      <c r="GNI28" s="3468"/>
      <c r="GNJ28" s="3468"/>
      <c r="GNK28" s="3468"/>
      <c r="GNL28" s="3468"/>
      <c r="GNM28" s="3468"/>
      <c r="GNN28" s="3468"/>
      <c r="GNO28" s="3468"/>
      <c r="GNP28" s="3468"/>
      <c r="GNQ28" s="3468"/>
      <c r="GNR28" s="3468"/>
      <c r="GNS28" s="3468"/>
      <c r="GNT28" s="3468"/>
      <c r="GNU28" s="3468"/>
      <c r="GNV28" s="3468"/>
      <c r="GNW28" s="3468"/>
      <c r="GNX28" s="3468"/>
      <c r="GNY28" s="3468"/>
      <c r="GNZ28" s="3468"/>
      <c r="GOA28" s="3468"/>
      <c r="GOB28" s="3468"/>
      <c r="GOC28" s="3468"/>
      <c r="GOD28" s="3468"/>
      <c r="GOE28" s="3468"/>
      <c r="GOF28" s="3468"/>
      <c r="GOG28" s="3468"/>
      <c r="GOH28" s="3468"/>
      <c r="GOI28" s="3468"/>
      <c r="GOJ28" s="3468"/>
      <c r="GOK28" s="3468"/>
      <c r="GOL28" s="3468"/>
      <c r="GOM28" s="3468"/>
      <c r="GON28" s="3468"/>
      <c r="GOO28" s="3468"/>
      <c r="GOP28" s="3468"/>
      <c r="GOQ28" s="3468"/>
      <c r="GOR28" s="3468"/>
      <c r="GOS28" s="3468"/>
      <c r="GOT28" s="3468"/>
      <c r="GOU28" s="3468"/>
      <c r="GOV28" s="3468"/>
      <c r="GOW28" s="3468"/>
      <c r="GOX28" s="3468"/>
      <c r="GOY28" s="3468"/>
      <c r="GOZ28" s="3468"/>
      <c r="GPA28" s="3468"/>
      <c r="GPB28" s="3468"/>
      <c r="GPC28" s="3468"/>
      <c r="GPD28" s="3468"/>
      <c r="GPE28" s="3468"/>
      <c r="GPF28" s="3468"/>
      <c r="GPG28" s="3468"/>
      <c r="GPH28" s="3468"/>
      <c r="GPI28" s="3468"/>
      <c r="GPJ28" s="3468"/>
      <c r="GPK28" s="3468"/>
      <c r="GPL28" s="3468"/>
      <c r="GPM28" s="3468"/>
      <c r="GPN28" s="3468"/>
      <c r="GPO28" s="3468"/>
      <c r="GPP28" s="3468"/>
      <c r="GPQ28" s="3468"/>
      <c r="GPR28" s="3468"/>
      <c r="GPS28" s="3468"/>
      <c r="GPT28" s="3468"/>
      <c r="GPU28" s="3468"/>
      <c r="GPV28" s="3468"/>
      <c r="GPW28" s="3468"/>
      <c r="GPX28" s="3468"/>
      <c r="GPY28" s="3468"/>
      <c r="GPZ28" s="3468"/>
      <c r="GQA28" s="3468"/>
      <c r="GQB28" s="3468"/>
      <c r="GQC28" s="3468"/>
      <c r="GQD28" s="3468"/>
      <c r="GQE28" s="3468"/>
      <c r="GQF28" s="3468"/>
      <c r="GQG28" s="3468"/>
      <c r="GQH28" s="3468"/>
      <c r="GQI28" s="3468"/>
      <c r="GQJ28" s="3468"/>
      <c r="GQK28" s="3468"/>
      <c r="GQL28" s="3468"/>
      <c r="GQM28" s="3468"/>
      <c r="GQN28" s="3468"/>
      <c r="GQO28" s="3468"/>
      <c r="GQP28" s="3468"/>
      <c r="GQQ28" s="3468"/>
      <c r="GQR28" s="3468"/>
      <c r="GQS28" s="3468"/>
      <c r="GQT28" s="3468"/>
      <c r="GQU28" s="3468"/>
      <c r="GQV28" s="3468"/>
      <c r="GQW28" s="3468"/>
      <c r="GQX28" s="3468"/>
      <c r="GQY28" s="3468"/>
      <c r="GQZ28" s="3468"/>
      <c r="GRA28" s="3468"/>
      <c r="GRB28" s="3468"/>
      <c r="GRC28" s="3468"/>
      <c r="GRD28" s="3468"/>
      <c r="GRE28" s="3468"/>
      <c r="GRF28" s="3468"/>
      <c r="GRG28" s="3468"/>
      <c r="GRH28" s="3468"/>
      <c r="GRI28" s="3468"/>
      <c r="GRJ28" s="3468"/>
      <c r="GRK28" s="3468"/>
      <c r="GRL28" s="3468"/>
      <c r="GRM28" s="3468"/>
      <c r="GRN28" s="3468"/>
      <c r="GRO28" s="3468"/>
      <c r="GRP28" s="3468"/>
      <c r="GRQ28" s="3468"/>
      <c r="GRR28" s="3468"/>
      <c r="GRS28" s="3468"/>
      <c r="GRT28" s="3468"/>
      <c r="GRU28" s="3468"/>
      <c r="GRV28" s="3468"/>
      <c r="GRW28" s="3468"/>
      <c r="GRX28" s="3468"/>
      <c r="GRY28" s="3468"/>
      <c r="GRZ28" s="3468"/>
      <c r="GSA28" s="3468"/>
      <c r="GSB28" s="3468"/>
      <c r="GSC28" s="3468"/>
      <c r="GSD28" s="3468"/>
      <c r="GSE28" s="3468"/>
      <c r="GSF28" s="3468"/>
      <c r="GSG28" s="3468"/>
      <c r="GSH28" s="3468"/>
      <c r="GSI28" s="3468"/>
      <c r="GSJ28" s="3468"/>
      <c r="GSK28" s="3468"/>
      <c r="GSL28" s="3468"/>
      <c r="GSM28" s="3468"/>
      <c r="GSN28" s="3468"/>
      <c r="GSO28" s="3468"/>
      <c r="GSP28" s="3468"/>
      <c r="GSQ28" s="3468"/>
      <c r="GSR28" s="3468"/>
      <c r="GSS28" s="3468"/>
      <c r="GST28" s="3468"/>
      <c r="GSU28" s="3468"/>
      <c r="GSV28" s="3468"/>
      <c r="GSW28" s="3468"/>
      <c r="GSX28" s="3468"/>
      <c r="GSY28" s="3468"/>
      <c r="GSZ28" s="3468"/>
      <c r="GTA28" s="3468"/>
      <c r="GTB28" s="3468"/>
      <c r="GTC28" s="3468"/>
      <c r="GTD28" s="3468"/>
      <c r="GTE28" s="3468"/>
      <c r="GTF28" s="3468"/>
      <c r="GTG28" s="3468"/>
      <c r="GTH28" s="3468"/>
      <c r="GTI28" s="3468"/>
      <c r="GTJ28" s="3468"/>
      <c r="GTK28" s="3468"/>
      <c r="GTL28" s="3468"/>
      <c r="GTM28" s="3468"/>
      <c r="GTN28" s="3468"/>
      <c r="GTO28" s="3468"/>
      <c r="GTP28" s="3468"/>
      <c r="GTQ28" s="3468"/>
      <c r="GTR28" s="3468"/>
      <c r="GTS28" s="3468"/>
      <c r="GTT28" s="3468"/>
      <c r="GTU28" s="3468"/>
      <c r="GTV28" s="3468"/>
      <c r="GTW28" s="3468"/>
      <c r="GTX28" s="3468"/>
      <c r="GTY28" s="3468"/>
      <c r="GTZ28" s="3468"/>
      <c r="GUA28" s="3468"/>
      <c r="GUB28" s="3468"/>
      <c r="GUC28" s="3468"/>
      <c r="GUD28" s="3468"/>
      <c r="GUE28" s="3468"/>
      <c r="GUF28" s="3468"/>
      <c r="GUG28" s="3468"/>
      <c r="GUH28" s="3468"/>
      <c r="GUI28" s="3468"/>
      <c r="GUJ28" s="3468"/>
      <c r="GUK28" s="3468"/>
      <c r="GUL28" s="3468"/>
      <c r="GUM28" s="3468"/>
      <c r="GUN28" s="3468"/>
      <c r="GUO28" s="3468"/>
      <c r="GUP28" s="3468"/>
      <c r="GUQ28" s="3468"/>
      <c r="GUR28" s="3468"/>
      <c r="GUS28" s="3468"/>
      <c r="GUT28" s="3468"/>
      <c r="GUU28" s="3468"/>
      <c r="GUV28" s="3468"/>
      <c r="GUW28" s="3468"/>
      <c r="GUX28" s="3468"/>
      <c r="GUY28" s="3468"/>
      <c r="GUZ28" s="3468"/>
      <c r="GVA28" s="3468"/>
      <c r="GVB28" s="3468"/>
      <c r="GVC28" s="3468"/>
      <c r="GVD28" s="3468"/>
      <c r="GVE28" s="3468"/>
      <c r="GVF28" s="3468"/>
      <c r="GVG28" s="3468"/>
      <c r="GVH28" s="3468"/>
      <c r="GVI28" s="3468"/>
      <c r="GVJ28" s="3468"/>
      <c r="GVK28" s="3468"/>
      <c r="GVL28" s="3468"/>
      <c r="GVM28" s="3468"/>
      <c r="GVN28" s="3468"/>
      <c r="GVO28" s="3468"/>
      <c r="GVP28" s="3468"/>
      <c r="GVQ28" s="3468"/>
      <c r="GVR28" s="3468"/>
      <c r="GVS28" s="3468"/>
      <c r="GVT28" s="3468"/>
      <c r="GVU28" s="3468"/>
      <c r="GVV28" s="3468"/>
      <c r="GVW28" s="3468"/>
      <c r="GVX28" s="3468"/>
      <c r="GVY28" s="3468"/>
      <c r="GVZ28" s="3468"/>
      <c r="GWA28" s="3468"/>
      <c r="GWB28" s="3468"/>
      <c r="GWC28" s="3468"/>
      <c r="GWD28" s="3468"/>
      <c r="GWE28" s="3468"/>
      <c r="GWF28" s="3468"/>
      <c r="GWG28" s="3468"/>
      <c r="GWH28" s="3468"/>
      <c r="GWI28" s="3468"/>
      <c r="GWJ28" s="3468"/>
      <c r="GWK28" s="3468"/>
      <c r="GWL28" s="3468"/>
      <c r="GWM28" s="3468"/>
      <c r="GWN28" s="3468"/>
      <c r="GWO28" s="3468"/>
      <c r="GWP28" s="3468"/>
      <c r="GWQ28" s="3468"/>
      <c r="GWR28" s="3468"/>
      <c r="GWS28" s="3468"/>
      <c r="GWT28" s="3468"/>
      <c r="GWU28" s="3468"/>
      <c r="GWV28" s="3468"/>
      <c r="GWW28" s="3468"/>
      <c r="GWX28" s="3468"/>
      <c r="GWY28" s="3468"/>
      <c r="GWZ28" s="3468"/>
      <c r="GXA28" s="3468"/>
      <c r="GXB28" s="3468"/>
      <c r="GXC28" s="3468"/>
      <c r="GXD28" s="3468"/>
      <c r="GXE28" s="3468"/>
      <c r="GXF28" s="3468"/>
      <c r="GXG28" s="3468"/>
      <c r="GXH28" s="3468"/>
      <c r="GXI28" s="3468"/>
      <c r="GXJ28" s="3468"/>
      <c r="GXK28" s="3468"/>
      <c r="GXL28" s="3468"/>
      <c r="GXM28" s="3468"/>
      <c r="GXN28" s="3468"/>
      <c r="GXO28" s="3468"/>
      <c r="GXP28" s="3468"/>
      <c r="GXQ28" s="3468"/>
      <c r="GXR28" s="3468"/>
      <c r="GXS28" s="3468"/>
      <c r="GXT28" s="3468"/>
      <c r="GXU28" s="3468"/>
      <c r="GXV28" s="3468"/>
      <c r="GXW28" s="3468"/>
      <c r="GXX28" s="3468"/>
      <c r="GXY28" s="3468"/>
      <c r="GXZ28" s="3468"/>
      <c r="GYA28" s="3468"/>
      <c r="GYB28" s="3468"/>
      <c r="GYC28" s="3468"/>
      <c r="GYD28" s="3468"/>
      <c r="GYE28" s="3468"/>
      <c r="GYF28" s="3468"/>
      <c r="GYG28" s="3468"/>
      <c r="GYH28" s="3468"/>
      <c r="GYI28" s="3468"/>
      <c r="GYJ28" s="3468"/>
      <c r="GYK28" s="3468"/>
      <c r="GYL28" s="3468"/>
      <c r="GYM28" s="3468"/>
      <c r="GYN28" s="3468"/>
      <c r="GYO28" s="3468"/>
      <c r="GYP28" s="3468"/>
      <c r="GYQ28" s="3468"/>
      <c r="GYR28" s="3468"/>
      <c r="GYS28" s="3468"/>
      <c r="GYT28" s="3468"/>
      <c r="GYU28" s="3468"/>
      <c r="GYV28" s="3468"/>
      <c r="GYW28" s="3468"/>
      <c r="GYX28" s="3468"/>
      <c r="GYY28" s="3468"/>
      <c r="GYZ28" s="3468"/>
      <c r="GZA28" s="3468"/>
      <c r="GZB28" s="3468"/>
      <c r="GZC28" s="3468"/>
      <c r="GZD28" s="3468"/>
      <c r="GZE28" s="3468"/>
      <c r="GZF28" s="3468"/>
      <c r="GZG28" s="3468"/>
      <c r="GZH28" s="3468"/>
      <c r="GZI28" s="3468"/>
      <c r="GZJ28" s="3468"/>
      <c r="GZK28" s="3468"/>
      <c r="GZL28" s="3468"/>
      <c r="GZM28" s="3468"/>
      <c r="GZN28" s="3468"/>
      <c r="GZO28" s="3468"/>
      <c r="GZP28" s="3468"/>
      <c r="GZQ28" s="3468"/>
      <c r="GZR28" s="3468"/>
      <c r="GZS28" s="3468"/>
      <c r="GZT28" s="3468"/>
      <c r="GZU28" s="3468"/>
      <c r="GZV28" s="3468"/>
      <c r="GZW28" s="3468"/>
      <c r="GZX28" s="3468"/>
      <c r="GZY28" s="3468"/>
      <c r="GZZ28" s="3468"/>
      <c r="HAA28" s="3468"/>
      <c r="HAB28" s="3468"/>
      <c r="HAC28" s="3468"/>
      <c r="HAD28" s="3468"/>
      <c r="HAE28" s="3468"/>
      <c r="HAF28" s="3468"/>
      <c r="HAG28" s="3468"/>
      <c r="HAH28" s="3468"/>
      <c r="HAI28" s="3468"/>
      <c r="HAJ28" s="3468"/>
      <c r="HAK28" s="3468"/>
      <c r="HAL28" s="3468"/>
      <c r="HAM28" s="3468"/>
      <c r="HAN28" s="3468"/>
      <c r="HAO28" s="3468"/>
      <c r="HAP28" s="3468"/>
      <c r="HAQ28" s="3468"/>
      <c r="HAR28" s="3468"/>
      <c r="HAS28" s="3468"/>
      <c r="HAT28" s="3468"/>
      <c r="HAU28" s="3468"/>
      <c r="HAV28" s="3468"/>
      <c r="HAW28" s="3468"/>
      <c r="HAX28" s="3468"/>
      <c r="HAY28" s="3468"/>
      <c r="HAZ28" s="3468"/>
      <c r="HBA28" s="3468"/>
      <c r="HBB28" s="3468"/>
      <c r="HBC28" s="3468"/>
      <c r="HBD28" s="3468"/>
      <c r="HBE28" s="3468"/>
      <c r="HBF28" s="3468"/>
      <c r="HBG28" s="3468"/>
      <c r="HBH28" s="3468"/>
      <c r="HBI28" s="3468"/>
      <c r="HBJ28" s="3468"/>
      <c r="HBK28" s="3468"/>
      <c r="HBL28" s="3468"/>
      <c r="HBM28" s="3468"/>
      <c r="HBN28" s="3468"/>
      <c r="HBO28" s="3468"/>
      <c r="HBP28" s="3468"/>
      <c r="HBQ28" s="3468"/>
      <c r="HBR28" s="3468"/>
      <c r="HBS28" s="3468"/>
      <c r="HBT28" s="3468"/>
      <c r="HBU28" s="3468"/>
      <c r="HBV28" s="3468"/>
      <c r="HBW28" s="3468"/>
      <c r="HBX28" s="3468"/>
      <c r="HBY28" s="3468"/>
      <c r="HBZ28" s="3468"/>
      <c r="HCA28" s="3468"/>
      <c r="HCB28" s="3468"/>
      <c r="HCC28" s="3468"/>
      <c r="HCD28" s="3468"/>
      <c r="HCE28" s="3468"/>
      <c r="HCF28" s="3468"/>
      <c r="HCG28" s="3468"/>
      <c r="HCH28" s="3468"/>
      <c r="HCI28" s="3468"/>
      <c r="HCJ28" s="3468"/>
      <c r="HCK28" s="3468"/>
      <c r="HCL28" s="3468"/>
      <c r="HCM28" s="3468"/>
      <c r="HCN28" s="3468"/>
      <c r="HCO28" s="3468"/>
      <c r="HCP28" s="3468"/>
      <c r="HCQ28" s="3468"/>
      <c r="HCR28" s="3468"/>
      <c r="HCS28" s="3468"/>
      <c r="HCT28" s="3468"/>
      <c r="HCU28" s="3468"/>
      <c r="HCV28" s="3468"/>
      <c r="HCW28" s="3468"/>
      <c r="HCX28" s="3468"/>
      <c r="HCY28" s="3468"/>
      <c r="HCZ28" s="3468"/>
      <c r="HDA28" s="3468"/>
      <c r="HDB28" s="3468"/>
      <c r="HDC28" s="3468"/>
      <c r="HDD28" s="3468"/>
      <c r="HDE28" s="3468"/>
      <c r="HDF28" s="3468"/>
      <c r="HDG28" s="3468"/>
      <c r="HDH28" s="3468"/>
      <c r="HDI28" s="3468"/>
      <c r="HDJ28" s="3468"/>
      <c r="HDK28" s="3468"/>
      <c r="HDL28" s="3468"/>
      <c r="HDM28" s="3468"/>
      <c r="HDN28" s="3468"/>
      <c r="HDO28" s="3468"/>
      <c r="HDP28" s="3468"/>
      <c r="HDQ28" s="3468"/>
      <c r="HDR28" s="3468"/>
      <c r="HDS28" s="3468"/>
      <c r="HDT28" s="3468"/>
      <c r="HDU28" s="3468"/>
      <c r="HDV28" s="3468"/>
      <c r="HDW28" s="3468"/>
      <c r="HDX28" s="3468"/>
      <c r="HDY28" s="3468"/>
      <c r="HDZ28" s="3468"/>
      <c r="HEA28" s="3468"/>
      <c r="HEB28" s="3468"/>
      <c r="HEC28" s="3468"/>
      <c r="HED28" s="3468"/>
      <c r="HEE28" s="3468"/>
      <c r="HEF28" s="3468"/>
      <c r="HEG28" s="3468"/>
      <c r="HEH28" s="3468"/>
      <c r="HEI28" s="3468"/>
      <c r="HEJ28" s="3468"/>
      <c r="HEK28" s="3468"/>
      <c r="HEL28" s="3468"/>
      <c r="HEM28" s="3468"/>
      <c r="HEN28" s="3468"/>
      <c r="HEO28" s="3468"/>
      <c r="HEP28" s="3468"/>
      <c r="HEQ28" s="3468"/>
      <c r="HER28" s="3468"/>
      <c r="HES28" s="3468"/>
      <c r="HET28" s="3468"/>
      <c r="HEU28" s="3468"/>
      <c r="HEV28" s="3468"/>
      <c r="HEW28" s="3468"/>
      <c r="HEX28" s="3468"/>
      <c r="HEY28" s="3468"/>
      <c r="HEZ28" s="3468"/>
      <c r="HFA28" s="3468"/>
      <c r="HFB28" s="3468"/>
      <c r="HFC28" s="3468"/>
      <c r="HFD28" s="3468"/>
      <c r="HFE28" s="3468"/>
      <c r="HFF28" s="3468"/>
      <c r="HFG28" s="3468"/>
      <c r="HFH28" s="3468"/>
      <c r="HFI28" s="3468"/>
      <c r="HFJ28" s="3468"/>
      <c r="HFK28" s="3468"/>
      <c r="HFL28" s="3468"/>
      <c r="HFM28" s="3468"/>
      <c r="HFN28" s="3468"/>
      <c r="HFO28" s="3468"/>
      <c r="HFP28" s="3468"/>
      <c r="HFQ28" s="3468"/>
      <c r="HFR28" s="3468"/>
      <c r="HFS28" s="3468"/>
      <c r="HFT28" s="3468"/>
      <c r="HFU28" s="3468"/>
      <c r="HFV28" s="3468"/>
      <c r="HFW28" s="3468"/>
      <c r="HFX28" s="3468"/>
      <c r="HFY28" s="3468"/>
      <c r="HFZ28" s="3468"/>
      <c r="HGA28" s="3468"/>
      <c r="HGB28" s="3468"/>
      <c r="HGC28" s="3468"/>
      <c r="HGD28" s="3468"/>
      <c r="HGE28" s="3468"/>
      <c r="HGF28" s="3468"/>
      <c r="HGG28" s="3468"/>
      <c r="HGH28" s="3468"/>
      <c r="HGI28" s="3468"/>
      <c r="HGJ28" s="3468"/>
      <c r="HGK28" s="3468"/>
      <c r="HGL28" s="3468"/>
      <c r="HGM28" s="3468"/>
      <c r="HGN28" s="3468"/>
      <c r="HGO28" s="3468"/>
      <c r="HGP28" s="3468"/>
      <c r="HGQ28" s="3468"/>
      <c r="HGR28" s="3468"/>
      <c r="HGS28" s="3468"/>
      <c r="HGT28" s="3468"/>
      <c r="HGU28" s="3468"/>
      <c r="HGV28" s="3468"/>
      <c r="HGW28" s="3468"/>
      <c r="HGX28" s="3468"/>
      <c r="HGY28" s="3468"/>
      <c r="HGZ28" s="3468"/>
      <c r="HHA28" s="3468"/>
      <c r="HHB28" s="3468"/>
      <c r="HHC28" s="3468"/>
      <c r="HHD28" s="3468"/>
      <c r="HHE28" s="3468"/>
      <c r="HHF28" s="3468"/>
      <c r="HHG28" s="3468"/>
      <c r="HHH28" s="3468"/>
      <c r="HHI28" s="3468"/>
      <c r="HHJ28" s="3468"/>
      <c r="HHK28" s="3468"/>
      <c r="HHL28" s="3468"/>
      <c r="HHM28" s="3468"/>
      <c r="HHN28" s="3468"/>
      <c r="HHO28" s="3468"/>
      <c r="HHP28" s="3468"/>
      <c r="HHQ28" s="3468"/>
      <c r="HHR28" s="3468"/>
      <c r="HHS28" s="3468"/>
      <c r="HHT28" s="3468"/>
      <c r="HHU28" s="3468"/>
      <c r="HHV28" s="3468"/>
      <c r="HHW28" s="3468"/>
      <c r="HHX28" s="3468"/>
      <c r="HHY28" s="3468"/>
      <c r="HHZ28" s="3468"/>
      <c r="HIA28" s="3468"/>
      <c r="HIB28" s="3468"/>
      <c r="HIC28" s="3468"/>
      <c r="HID28" s="3468"/>
      <c r="HIE28" s="3468"/>
      <c r="HIF28" s="3468"/>
      <c r="HIG28" s="3468"/>
      <c r="HIH28" s="3468"/>
      <c r="HII28" s="3468"/>
      <c r="HIJ28" s="3468"/>
      <c r="HIK28" s="3468"/>
      <c r="HIL28" s="3468"/>
      <c r="HIM28" s="3468"/>
      <c r="HIN28" s="3468"/>
      <c r="HIO28" s="3468"/>
      <c r="HIP28" s="3468"/>
      <c r="HIQ28" s="3468"/>
      <c r="HIR28" s="3468"/>
      <c r="HIS28" s="3468"/>
      <c r="HIT28" s="3468"/>
      <c r="HIU28" s="3468"/>
      <c r="HIV28" s="3468"/>
      <c r="HIW28" s="3468"/>
      <c r="HIX28" s="3468"/>
      <c r="HIY28" s="3468"/>
      <c r="HIZ28" s="3468"/>
      <c r="HJA28" s="3468"/>
      <c r="HJB28" s="3468"/>
      <c r="HJC28" s="3468"/>
      <c r="HJD28" s="3468"/>
      <c r="HJE28" s="3468"/>
      <c r="HJF28" s="3468"/>
      <c r="HJG28" s="3468"/>
      <c r="HJH28" s="3468"/>
      <c r="HJI28" s="3468"/>
      <c r="HJJ28" s="3468"/>
      <c r="HJK28" s="3468"/>
      <c r="HJL28" s="3468"/>
      <c r="HJM28" s="3468"/>
      <c r="HJN28" s="3468"/>
      <c r="HJO28" s="3468"/>
      <c r="HJP28" s="3468"/>
      <c r="HJQ28" s="3468"/>
      <c r="HJR28" s="3468"/>
      <c r="HJS28" s="3468"/>
      <c r="HJT28" s="3468"/>
      <c r="HJU28" s="3468"/>
      <c r="HJV28" s="3468"/>
      <c r="HJW28" s="3468"/>
      <c r="HJX28" s="3468"/>
      <c r="HJY28" s="3468"/>
      <c r="HJZ28" s="3468"/>
      <c r="HKA28" s="3468"/>
      <c r="HKB28" s="3468"/>
      <c r="HKC28" s="3468"/>
      <c r="HKD28" s="3468"/>
      <c r="HKE28" s="3468"/>
      <c r="HKF28" s="3468"/>
      <c r="HKG28" s="3468"/>
      <c r="HKH28" s="3468"/>
      <c r="HKI28" s="3468"/>
      <c r="HKJ28" s="3468"/>
      <c r="HKK28" s="3468"/>
      <c r="HKL28" s="3468"/>
      <c r="HKM28" s="3468"/>
      <c r="HKN28" s="3468"/>
      <c r="HKO28" s="3468"/>
      <c r="HKP28" s="3468"/>
      <c r="HKQ28" s="3468"/>
      <c r="HKR28" s="3468"/>
      <c r="HKS28" s="3468"/>
      <c r="HKT28" s="3468"/>
      <c r="HKU28" s="3468"/>
      <c r="HKV28" s="3468"/>
      <c r="HKW28" s="3468"/>
      <c r="HKX28" s="3468"/>
      <c r="HKY28" s="3468"/>
      <c r="HKZ28" s="3468"/>
      <c r="HLA28" s="3468"/>
      <c r="HLB28" s="3468"/>
      <c r="HLC28" s="3468"/>
      <c r="HLD28" s="3468"/>
      <c r="HLE28" s="3468"/>
      <c r="HLF28" s="3468"/>
      <c r="HLG28" s="3468"/>
      <c r="HLH28" s="3468"/>
      <c r="HLI28" s="3468"/>
      <c r="HLJ28" s="3468"/>
      <c r="HLK28" s="3468"/>
      <c r="HLL28" s="3468"/>
      <c r="HLM28" s="3468"/>
      <c r="HLN28" s="3468"/>
      <c r="HLO28" s="3468"/>
      <c r="HLP28" s="3468"/>
      <c r="HLQ28" s="3468"/>
      <c r="HLR28" s="3468"/>
      <c r="HLS28" s="3468"/>
      <c r="HLT28" s="3468"/>
      <c r="HLU28" s="3468"/>
      <c r="HLV28" s="3468"/>
      <c r="HLW28" s="3468"/>
      <c r="HLX28" s="3468"/>
      <c r="HLY28" s="3468"/>
      <c r="HLZ28" s="3468"/>
      <c r="HMA28" s="3468"/>
      <c r="HMB28" s="3468"/>
      <c r="HMC28" s="3468"/>
      <c r="HMD28" s="3468"/>
      <c r="HME28" s="3468"/>
      <c r="HMF28" s="3468"/>
      <c r="HMG28" s="3468"/>
      <c r="HMH28" s="3468"/>
      <c r="HMI28" s="3468"/>
      <c r="HMJ28" s="3468"/>
      <c r="HMK28" s="3468"/>
      <c r="HML28" s="3468"/>
      <c r="HMM28" s="3468"/>
      <c r="HMN28" s="3468"/>
      <c r="HMO28" s="3468"/>
      <c r="HMP28" s="3468"/>
      <c r="HMQ28" s="3468"/>
      <c r="HMR28" s="3468"/>
      <c r="HMS28" s="3468"/>
      <c r="HMT28" s="3468"/>
      <c r="HMU28" s="3468"/>
      <c r="HMV28" s="3468"/>
      <c r="HMW28" s="3468"/>
      <c r="HMX28" s="3468"/>
      <c r="HMY28" s="3468"/>
      <c r="HMZ28" s="3468"/>
      <c r="HNA28" s="3468"/>
      <c r="HNB28" s="3468"/>
      <c r="HNC28" s="3468"/>
      <c r="HND28" s="3468"/>
      <c r="HNE28" s="3468"/>
      <c r="HNF28" s="3468"/>
      <c r="HNG28" s="3468"/>
      <c r="HNH28" s="3468"/>
      <c r="HNI28" s="3468"/>
      <c r="HNJ28" s="3468"/>
      <c r="HNK28" s="3468"/>
      <c r="HNL28" s="3468"/>
      <c r="HNM28" s="3468"/>
      <c r="HNN28" s="3468"/>
      <c r="HNO28" s="3468"/>
      <c r="HNP28" s="3468"/>
      <c r="HNQ28" s="3468"/>
      <c r="HNR28" s="3468"/>
      <c r="HNS28" s="3468"/>
      <c r="HNT28" s="3468"/>
      <c r="HNU28" s="3468"/>
      <c r="HNV28" s="3468"/>
      <c r="HNW28" s="3468"/>
      <c r="HNX28" s="3468"/>
      <c r="HNY28" s="3468"/>
      <c r="HNZ28" s="3468"/>
      <c r="HOA28" s="3468"/>
      <c r="HOB28" s="3468"/>
      <c r="HOC28" s="3468"/>
      <c r="HOD28" s="3468"/>
      <c r="HOE28" s="3468"/>
      <c r="HOF28" s="3468"/>
      <c r="HOG28" s="3468"/>
      <c r="HOH28" s="3468"/>
      <c r="HOI28" s="3468"/>
      <c r="HOJ28" s="3468"/>
      <c r="HOK28" s="3468"/>
      <c r="HOL28" s="3468"/>
      <c r="HOM28" s="3468"/>
      <c r="HON28" s="3468"/>
      <c r="HOO28" s="3468"/>
      <c r="HOP28" s="3468"/>
      <c r="HOQ28" s="3468"/>
      <c r="HOR28" s="3468"/>
      <c r="HOS28" s="3468"/>
      <c r="HOT28" s="3468"/>
      <c r="HOU28" s="3468"/>
      <c r="HOV28" s="3468"/>
      <c r="HOW28" s="3468"/>
      <c r="HOX28" s="3468"/>
      <c r="HOY28" s="3468"/>
      <c r="HOZ28" s="3468"/>
      <c r="HPA28" s="3468"/>
      <c r="HPB28" s="3468"/>
      <c r="HPC28" s="3468"/>
      <c r="HPD28" s="3468"/>
      <c r="HPE28" s="3468"/>
      <c r="HPF28" s="3468"/>
      <c r="HPG28" s="3468"/>
      <c r="HPH28" s="3468"/>
      <c r="HPI28" s="3468"/>
      <c r="HPJ28" s="3468"/>
      <c r="HPK28" s="3468"/>
      <c r="HPL28" s="3468"/>
      <c r="HPM28" s="3468"/>
      <c r="HPN28" s="3468"/>
      <c r="HPO28" s="3468"/>
      <c r="HPP28" s="3468"/>
      <c r="HPQ28" s="3468"/>
      <c r="HPR28" s="3468"/>
      <c r="HPS28" s="3468"/>
      <c r="HPT28" s="3468"/>
      <c r="HPU28" s="3468"/>
      <c r="HPV28" s="3468"/>
      <c r="HPW28" s="3468"/>
      <c r="HPX28" s="3468"/>
      <c r="HPY28" s="3468"/>
      <c r="HPZ28" s="3468"/>
      <c r="HQA28" s="3468"/>
      <c r="HQB28" s="3468"/>
      <c r="HQC28" s="3468"/>
      <c r="HQD28" s="3468"/>
      <c r="HQE28" s="3468"/>
      <c r="HQF28" s="3468"/>
      <c r="HQG28" s="3468"/>
      <c r="HQH28" s="3468"/>
      <c r="HQI28" s="3468"/>
      <c r="HQJ28" s="3468"/>
      <c r="HQK28" s="3468"/>
      <c r="HQL28" s="3468"/>
      <c r="HQM28" s="3468"/>
      <c r="HQN28" s="3468"/>
      <c r="HQO28" s="3468"/>
      <c r="HQP28" s="3468"/>
      <c r="HQQ28" s="3468"/>
      <c r="HQR28" s="3468"/>
      <c r="HQS28" s="3468"/>
      <c r="HQT28" s="3468"/>
      <c r="HQU28" s="3468"/>
      <c r="HQV28" s="3468"/>
      <c r="HQW28" s="3468"/>
      <c r="HQX28" s="3468"/>
      <c r="HQY28" s="3468"/>
      <c r="HQZ28" s="3468"/>
      <c r="HRA28" s="3468"/>
      <c r="HRB28" s="3468"/>
      <c r="HRC28" s="3468"/>
      <c r="HRD28" s="3468"/>
      <c r="HRE28" s="3468"/>
      <c r="HRF28" s="3468"/>
      <c r="HRG28" s="3468"/>
      <c r="HRH28" s="3468"/>
      <c r="HRI28" s="3468"/>
      <c r="HRJ28" s="3468"/>
      <c r="HRK28" s="3468"/>
      <c r="HRL28" s="3468"/>
      <c r="HRM28" s="3468"/>
      <c r="HRN28" s="3468"/>
      <c r="HRO28" s="3468"/>
      <c r="HRP28" s="3468"/>
      <c r="HRQ28" s="3468"/>
      <c r="HRR28" s="3468"/>
      <c r="HRS28" s="3468"/>
      <c r="HRT28" s="3468"/>
      <c r="HRU28" s="3468"/>
      <c r="HRV28" s="3468"/>
      <c r="HRW28" s="3468"/>
      <c r="HRX28" s="3468"/>
      <c r="HRY28" s="3468"/>
      <c r="HRZ28" s="3468"/>
      <c r="HSA28" s="3468"/>
      <c r="HSB28" s="3468"/>
      <c r="HSC28" s="3468"/>
      <c r="HSD28" s="3468"/>
      <c r="HSE28" s="3468"/>
      <c r="HSF28" s="3468"/>
      <c r="HSG28" s="3468"/>
      <c r="HSH28" s="3468"/>
      <c r="HSI28" s="3468"/>
      <c r="HSJ28" s="3468"/>
      <c r="HSK28" s="3468"/>
      <c r="HSL28" s="3468"/>
      <c r="HSM28" s="3468"/>
      <c r="HSN28" s="3468"/>
      <c r="HSO28" s="3468"/>
      <c r="HSP28" s="3468"/>
      <c r="HSQ28" s="3468"/>
      <c r="HSR28" s="3468"/>
      <c r="HSS28" s="3468"/>
      <c r="HST28" s="3468"/>
      <c r="HSU28" s="3468"/>
      <c r="HSV28" s="3468"/>
      <c r="HSW28" s="3468"/>
      <c r="HSX28" s="3468"/>
      <c r="HSY28" s="3468"/>
      <c r="HSZ28" s="3468"/>
      <c r="HTA28" s="3468"/>
      <c r="HTB28" s="3468"/>
      <c r="HTC28" s="3468"/>
      <c r="HTD28" s="3468"/>
      <c r="HTE28" s="3468"/>
      <c r="HTF28" s="3468"/>
      <c r="HTG28" s="3468"/>
      <c r="HTH28" s="3468"/>
      <c r="HTI28" s="3468"/>
      <c r="HTJ28" s="3468"/>
      <c r="HTK28" s="3468"/>
      <c r="HTL28" s="3468"/>
      <c r="HTM28" s="3468"/>
      <c r="HTN28" s="3468"/>
      <c r="HTO28" s="3468"/>
      <c r="HTP28" s="3468"/>
      <c r="HTQ28" s="3468"/>
      <c r="HTR28" s="3468"/>
      <c r="HTS28" s="3468"/>
      <c r="HTT28" s="3468"/>
      <c r="HTU28" s="3468"/>
      <c r="HTV28" s="3468"/>
      <c r="HTW28" s="3468"/>
      <c r="HTX28" s="3468"/>
      <c r="HTY28" s="3468"/>
      <c r="HTZ28" s="3468"/>
      <c r="HUA28" s="3468"/>
      <c r="HUB28" s="3468"/>
      <c r="HUC28" s="3468"/>
      <c r="HUD28" s="3468"/>
      <c r="HUE28" s="3468"/>
      <c r="HUF28" s="3468"/>
      <c r="HUG28" s="3468"/>
      <c r="HUH28" s="3468"/>
      <c r="HUI28" s="3468"/>
      <c r="HUJ28" s="3468"/>
      <c r="HUK28" s="3468"/>
      <c r="HUL28" s="3468"/>
      <c r="HUM28" s="3468"/>
      <c r="HUN28" s="3468"/>
      <c r="HUO28" s="3468"/>
      <c r="HUP28" s="3468"/>
      <c r="HUQ28" s="3468"/>
      <c r="HUR28" s="3468"/>
      <c r="HUS28" s="3468"/>
      <c r="HUT28" s="3468"/>
      <c r="HUU28" s="3468"/>
      <c r="HUV28" s="3468"/>
      <c r="HUW28" s="3468"/>
      <c r="HUX28" s="3468"/>
      <c r="HUY28" s="3468"/>
      <c r="HUZ28" s="3468"/>
      <c r="HVA28" s="3468"/>
      <c r="HVB28" s="3468"/>
      <c r="HVC28" s="3468"/>
      <c r="HVD28" s="3468"/>
      <c r="HVE28" s="3468"/>
      <c r="HVF28" s="3468"/>
      <c r="HVG28" s="3468"/>
      <c r="HVH28" s="3468"/>
      <c r="HVI28" s="3468"/>
      <c r="HVJ28" s="3468"/>
      <c r="HVK28" s="3468"/>
      <c r="HVL28" s="3468"/>
      <c r="HVM28" s="3468"/>
      <c r="HVN28" s="3468"/>
      <c r="HVO28" s="3468"/>
      <c r="HVP28" s="3468"/>
      <c r="HVQ28" s="3468"/>
      <c r="HVR28" s="3468"/>
      <c r="HVS28" s="3468"/>
      <c r="HVT28" s="3468"/>
      <c r="HVU28" s="3468"/>
      <c r="HVV28" s="3468"/>
      <c r="HVW28" s="3468"/>
      <c r="HVX28" s="3468"/>
      <c r="HVY28" s="3468"/>
      <c r="HVZ28" s="3468"/>
      <c r="HWA28" s="3468"/>
      <c r="HWB28" s="3468"/>
      <c r="HWC28" s="3468"/>
      <c r="HWD28" s="3468"/>
      <c r="HWE28" s="3468"/>
      <c r="HWF28" s="3468"/>
      <c r="HWG28" s="3468"/>
      <c r="HWH28" s="3468"/>
      <c r="HWI28" s="3468"/>
      <c r="HWJ28" s="3468"/>
      <c r="HWK28" s="3468"/>
      <c r="HWL28" s="3468"/>
      <c r="HWM28" s="3468"/>
      <c r="HWN28" s="3468"/>
      <c r="HWO28" s="3468"/>
      <c r="HWP28" s="3468"/>
      <c r="HWQ28" s="3468"/>
      <c r="HWR28" s="3468"/>
      <c r="HWS28" s="3468"/>
      <c r="HWT28" s="3468"/>
      <c r="HWU28" s="3468"/>
      <c r="HWV28" s="3468"/>
      <c r="HWW28" s="3468"/>
      <c r="HWX28" s="3468"/>
      <c r="HWY28" s="3468"/>
      <c r="HWZ28" s="3468"/>
      <c r="HXA28" s="3468"/>
      <c r="HXB28" s="3468"/>
      <c r="HXC28" s="3468"/>
      <c r="HXD28" s="3468"/>
      <c r="HXE28" s="3468"/>
      <c r="HXF28" s="3468"/>
      <c r="HXG28" s="3468"/>
      <c r="HXH28" s="3468"/>
      <c r="HXI28" s="3468"/>
      <c r="HXJ28" s="3468"/>
      <c r="HXK28" s="3468"/>
      <c r="HXL28" s="3468"/>
      <c r="HXM28" s="3468"/>
      <c r="HXN28" s="3468"/>
      <c r="HXO28" s="3468"/>
      <c r="HXP28" s="3468"/>
      <c r="HXQ28" s="3468"/>
      <c r="HXR28" s="3468"/>
      <c r="HXS28" s="3468"/>
      <c r="HXT28" s="3468"/>
      <c r="HXU28" s="3468"/>
      <c r="HXV28" s="3468"/>
      <c r="HXW28" s="3468"/>
      <c r="HXX28" s="3468"/>
      <c r="HXY28" s="3468"/>
      <c r="HXZ28" s="3468"/>
      <c r="HYA28" s="3468"/>
      <c r="HYB28" s="3468"/>
      <c r="HYC28" s="3468"/>
      <c r="HYD28" s="3468"/>
      <c r="HYE28" s="3468"/>
      <c r="HYF28" s="3468"/>
      <c r="HYG28" s="3468"/>
      <c r="HYH28" s="3468"/>
      <c r="HYI28" s="3468"/>
      <c r="HYJ28" s="3468"/>
      <c r="HYK28" s="3468"/>
      <c r="HYL28" s="3468"/>
      <c r="HYM28" s="3468"/>
      <c r="HYN28" s="3468"/>
      <c r="HYO28" s="3468"/>
      <c r="HYP28" s="3468"/>
      <c r="HYQ28" s="3468"/>
      <c r="HYR28" s="3468"/>
      <c r="HYS28" s="3468"/>
      <c r="HYT28" s="3468"/>
      <c r="HYU28" s="3468"/>
      <c r="HYV28" s="3468"/>
      <c r="HYW28" s="3468"/>
      <c r="HYX28" s="3468"/>
      <c r="HYY28" s="3468"/>
      <c r="HYZ28" s="3468"/>
      <c r="HZA28" s="3468"/>
      <c r="HZB28" s="3468"/>
      <c r="HZC28" s="3468"/>
      <c r="HZD28" s="3468"/>
      <c r="HZE28" s="3468"/>
      <c r="HZF28" s="3468"/>
      <c r="HZG28" s="3468"/>
      <c r="HZH28" s="3468"/>
      <c r="HZI28" s="3468"/>
      <c r="HZJ28" s="3468"/>
      <c r="HZK28" s="3468"/>
      <c r="HZL28" s="3468"/>
      <c r="HZM28" s="3468"/>
      <c r="HZN28" s="3468"/>
      <c r="HZO28" s="3468"/>
      <c r="HZP28" s="3468"/>
      <c r="HZQ28" s="3468"/>
      <c r="HZR28" s="3468"/>
      <c r="HZS28" s="3468"/>
      <c r="HZT28" s="3468"/>
      <c r="HZU28" s="3468"/>
      <c r="HZV28" s="3468"/>
      <c r="HZW28" s="3468"/>
      <c r="HZX28" s="3468"/>
      <c r="HZY28" s="3468"/>
      <c r="HZZ28" s="3468"/>
      <c r="IAA28" s="3468"/>
      <c r="IAB28" s="3468"/>
      <c r="IAC28" s="3468"/>
      <c r="IAD28" s="3468"/>
      <c r="IAE28" s="3468"/>
      <c r="IAF28" s="3468"/>
      <c r="IAG28" s="3468"/>
      <c r="IAH28" s="3468"/>
      <c r="IAI28" s="3468"/>
      <c r="IAJ28" s="3468"/>
      <c r="IAK28" s="3468"/>
      <c r="IAL28" s="3468"/>
      <c r="IAM28" s="3468"/>
      <c r="IAN28" s="3468"/>
      <c r="IAO28" s="3468"/>
      <c r="IAP28" s="3468"/>
      <c r="IAQ28" s="3468"/>
      <c r="IAR28" s="3468"/>
      <c r="IAS28" s="3468"/>
      <c r="IAT28" s="3468"/>
      <c r="IAU28" s="3468"/>
      <c r="IAV28" s="3468"/>
      <c r="IAW28" s="3468"/>
      <c r="IAX28" s="3468"/>
      <c r="IAY28" s="3468"/>
      <c r="IAZ28" s="3468"/>
      <c r="IBA28" s="3468"/>
      <c r="IBB28" s="3468"/>
      <c r="IBC28" s="3468"/>
      <c r="IBD28" s="3468"/>
      <c r="IBE28" s="3468"/>
      <c r="IBF28" s="3468"/>
      <c r="IBG28" s="3468"/>
      <c r="IBH28" s="3468"/>
      <c r="IBI28" s="3468"/>
      <c r="IBJ28" s="3468"/>
      <c r="IBK28" s="3468"/>
      <c r="IBL28" s="3468"/>
      <c r="IBM28" s="3468"/>
      <c r="IBN28" s="3468"/>
      <c r="IBO28" s="3468"/>
      <c r="IBP28" s="3468"/>
      <c r="IBQ28" s="3468"/>
      <c r="IBR28" s="3468"/>
      <c r="IBS28" s="3468"/>
      <c r="IBT28" s="3468"/>
      <c r="IBU28" s="3468"/>
      <c r="IBV28" s="3468"/>
      <c r="IBW28" s="3468"/>
      <c r="IBX28" s="3468"/>
      <c r="IBY28" s="3468"/>
      <c r="IBZ28" s="3468"/>
      <c r="ICA28" s="3468"/>
      <c r="ICB28" s="3468"/>
      <c r="ICC28" s="3468"/>
      <c r="ICD28" s="3468"/>
      <c r="ICE28" s="3468"/>
      <c r="ICF28" s="3468"/>
      <c r="ICG28" s="3468"/>
      <c r="ICH28" s="3468"/>
      <c r="ICI28" s="3468"/>
      <c r="ICJ28" s="3468"/>
      <c r="ICK28" s="3468"/>
      <c r="ICL28" s="3468"/>
      <c r="ICM28" s="3468"/>
      <c r="ICN28" s="3468"/>
      <c r="ICO28" s="3468"/>
      <c r="ICP28" s="3468"/>
      <c r="ICQ28" s="3468"/>
      <c r="ICR28" s="3468"/>
      <c r="ICS28" s="3468"/>
      <c r="ICT28" s="3468"/>
      <c r="ICU28" s="3468"/>
      <c r="ICV28" s="3468"/>
      <c r="ICW28" s="3468"/>
      <c r="ICX28" s="3468"/>
      <c r="ICY28" s="3468"/>
      <c r="ICZ28" s="3468"/>
      <c r="IDA28" s="3468"/>
      <c r="IDB28" s="3468"/>
      <c r="IDC28" s="3468"/>
      <c r="IDD28" s="3468"/>
      <c r="IDE28" s="3468"/>
      <c r="IDF28" s="3468"/>
      <c r="IDG28" s="3468"/>
      <c r="IDH28" s="3468"/>
      <c r="IDI28" s="3468"/>
      <c r="IDJ28" s="3468"/>
      <c r="IDK28" s="3468"/>
      <c r="IDL28" s="3468"/>
      <c r="IDM28" s="3468"/>
      <c r="IDN28" s="3468"/>
      <c r="IDO28" s="3468"/>
      <c r="IDP28" s="3468"/>
      <c r="IDQ28" s="3468"/>
      <c r="IDR28" s="3468"/>
      <c r="IDS28" s="3468"/>
      <c r="IDT28" s="3468"/>
      <c r="IDU28" s="3468"/>
      <c r="IDV28" s="3468"/>
      <c r="IDW28" s="3468"/>
      <c r="IDX28" s="3468"/>
      <c r="IDY28" s="3468"/>
      <c r="IDZ28" s="3468"/>
      <c r="IEA28" s="3468"/>
      <c r="IEB28" s="3468"/>
      <c r="IEC28" s="3468"/>
      <c r="IED28" s="3468"/>
      <c r="IEE28" s="3468"/>
      <c r="IEF28" s="3468"/>
      <c r="IEG28" s="3468"/>
      <c r="IEH28" s="3468"/>
      <c r="IEI28" s="3468"/>
      <c r="IEJ28" s="3468"/>
      <c r="IEK28" s="3468"/>
      <c r="IEL28" s="3468"/>
      <c r="IEM28" s="3468"/>
      <c r="IEN28" s="3468"/>
      <c r="IEO28" s="3468"/>
      <c r="IEP28" s="3468"/>
      <c r="IEQ28" s="3468"/>
      <c r="IER28" s="3468"/>
      <c r="IES28" s="3468"/>
      <c r="IET28" s="3468"/>
      <c r="IEU28" s="3468"/>
      <c r="IEV28" s="3468"/>
      <c r="IEW28" s="3468"/>
      <c r="IEX28" s="3468"/>
      <c r="IEY28" s="3468"/>
      <c r="IEZ28" s="3468"/>
      <c r="IFA28" s="3468"/>
      <c r="IFB28" s="3468"/>
      <c r="IFC28" s="3468"/>
      <c r="IFD28" s="3468"/>
      <c r="IFE28" s="3468"/>
      <c r="IFF28" s="3468"/>
      <c r="IFG28" s="3468"/>
      <c r="IFH28" s="3468"/>
      <c r="IFI28" s="3468"/>
      <c r="IFJ28" s="3468"/>
      <c r="IFK28" s="3468"/>
      <c r="IFL28" s="3468"/>
      <c r="IFM28" s="3468"/>
      <c r="IFN28" s="3468"/>
      <c r="IFO28" s="3468"/>
      <c r="IFP28" s="3468"/>
      <c r="IFQ28" s="3468"/>
      <c r="IFR28" s="3468"/>
      <c r="IFS28" s="3468"/>
      <c r="IFT28" s="3468"/>
      <c r="IFU28" s="3468"/>
      <c r="IFV28" s="3468"/>
      <c r="IFW28" s="3468"/>
      <c r="IFX28" s="3468"/>
      <c r="IFY28" s="3468"/>
      <c r="IFZ28" s="3468"/>
      <c r="IGA28" s="3468"/>
      <c r="IGB28" s="3468"/>
      <c r="IGC28" s="3468"/>
      <c r="IGD28" s="3468"/>
      <c r="IGE28" s="3468"/>
      <c r="IGF28" s="3468"/>
      <c r="IGG28" s="3468"/>
      <c r="IGH28" s="3468"/>
      <c r="IGI28" s="3468"/>
      <c r="IGJ28" s="3468"/>
      <c r="IGK28" s="3468"/>
      <c r="IGL28" s="3468"/>
      <c r="IGM28" s="3468"/>
      <c r="IGN28" s="3468"/>
      <c r="IGO28" s="3468"/>
      <c r="IGP28" s="3468"/>
      <c r="IGQ28" s="3468"/>
      <c r="IGR28" s="3468"/>
      <c r="IGS28" s="3468"/>
      <c r="IGT28" s="3468"/>
      <c r="IGU28" s="3468"/>
      <c r="IGV28" s="3468"/>
      <c r="IGW28" s="3468"/>
      <c r="IGX28" s="3468"/>
      <c r="IGY28" s="3468"/>
      <c r="IGZ28" s="3468"/>
      <c r="IHA28" s="3468"/>
      <c r="IHB28" s="3468"/>
      <c r="IHC28" s="3468"/>
      <c r="IHD28" s="3468"/>
      <c r="IHE28" s="3468"/>
      <c r="IHF28" s="3468"/>
      <c r="IHG28" s="3468"/>
      <c r="IHH28" s="3468"/>
      <c r="IHI28" s="3468"/>
      <c r="IHJ28" s="3468"/>
      <c r="IHK28" s="3468"/>
      <c r="IHL28" s="3468"/>
      <c r="IHM28" s="3468"/>
      <c r="IHN28" s="3468"/>
      <c r="IHO28" s="3468"/>
      <c r="IHP28" s="3468"/>
      <c r="IHQ28" s="3468"/>
      <c r="IHR28" s="3468"/>
      <c r="IHS28" s="3468"/>
      <c r="IHT28" s="3468"/>
      <c r="IHU28" s="3468"/>
      <c r="IHV28" s="3468"/>
      <c r="IHW28" s="3468"/>
      <c r="IHX28" s="3468"/>
      <c r="IHY28" s="3468"/>
      <c r="IHZ28" s="3468"/>
      <c r="IIA28" s="3468"/>
      <c r="IIB28" s="3468"/>
      <c r="IIC28" s="3468"/>
      <c r="IID28" s="3468"/>
      <c r="IIE28" s="3468"/>
      <c r="IIF28" s="3468"/>
      <c r="IIG28" s="3468"/>
      <c r="IIH28" s="3468"/>
      <c r="III28" s="3468"/>
      <c r="IIJ28" s="3468"/>
      <c r="IIK28" s="3468"/>
      <c r="IIL28" s="3468"/>
      <c r="IIM28" s="3468"/>
      <c r="IIN28" s="3468"/>
      <c r="IIO28" s="3468"/>
      <c r="IIP28" s="3468"/>
      <c r="IIQ28" s="3468"/>
      <c r="IIR28" s="3468"/>
      <c r="IIS28" s="3468"/>
      <c r="IIT28" s="3468"/>
      <c r="IIU28" s="3468"/>
      <c r="IIV28" s="3468"/>
      <c r="IIW28" s="3468"/>
      <c r="IIX28" s="3468"/>
      <c r="IIY28" s="3468"/>
      <c r="IIZ28" s="3468"/>
      <c r="IJA28" s="3468"/>
      <c r="IJB28" s="3468"/>
      <c r="IJC28" s="3468"/>
      <c r="IJD28" s="3468"/>
      <c r="IJE28" s="3468"/>
      <c r="IJF28" s="3468"/>
      <c r="IJG28" s="3468"/>
      <c r="IJH28" s="3468"/>
      <c r="IJI28" s="3468"/>
      <c r="IJJ28" s="3468"/>
      <c r="IJK28" s="3468"/>
      <c r="IJL28" s="3468"/>
      <c r="IJM28" s="3468"/>
      <c r="IJN28" s="3468"/>
      <c r="IJO28" s="3468"/>
      <c r="IJP28" s="3468"/>
      <c r="IJQ28" s="3468"/>
      <c r="IJR28" s="3468"/>
      <c r="IJS28" s="3468"/>
      <c r="IJT28" s="3468"/>
      <c r="IJU28" s="3468"/>
      <c r="IJV28" s="3468"/>
      <c r="IJW28" s="3468"/>
      <c r="IJX28" s="3468"/>
      <c r="IJY28" s="3468"/>
      <c r="IJZ28" s="3468"/>
      <c r="IKA28" s="3468"/>
      <c r="IKB28" s="3468"/>
      <c r="IKC28" s="3468"/>
      <c r="IKD28" s="3468"/>
      <c r="IKE28" s="3468"/>
      <c r="IKF28" s="3468"/>
      <c r="IKG28" s="3468"/>
      <c r="IKH28" s="3468"/>
      <c r="IKI28" s="3468"/>
      <c r="IKJ28" s="3468"/>
      <c r="IKK28" s="3468"/>
      <c r="IKL28" s="3468"/>
      <c r="IKM28" s="3468"/>
      <c r="IKN28" s="3468"/>
      <c r="IKO28" s="3468"/>
      <c r="IKP28" s="3468"/>
      <c r="IKQ28" s="3468"/>
      <c r="IKR28" s="3468"/>
      <c r="IKS28" s="3468"/>
      <c r="IKT28" s="3468"/>
      <c r="IKU28" s="3468"/>
      <c r="IKV28" s="3468"/>
      <c r="IKW28" s="3468"/>
      <c r="IKX28" s="3468"/>
      <c r="IKY28" s="3468"/>
      <c r="IKZ28" s="3468"/>
      <c r="ILA28" s="3468"/>
      <c r="ILB28" s="3468"/>
      <c r="ILC28" s="3468"/>
      <c r="ILD28" s="3468"/>
      <c r="ILE28" s="3468"/>
      <c r="ILF28" s="3468"/>
      <c r="ILG28" s="3468"/>
      <c r="ILH28" s="3468"/>
      <c r="ILI28" s="3468"/>
      <c r="ILJ28" s="3468"/>
      <c r="ILK28" s="3468"/>
      <c r="ILL28" s="3468"/>
      <c r="ILM28" s="3468"/>
      <c r="ILN28" s="3468"/>
      <c r="ILO28" s="3468"/>
      <c r="ILP28" s="3468"/>
      <c r="ILQ28" s="3468"/>
      <c r="ILR28" s="3468"/>
      <c r="ILS28" s="3468"/>
      <c r="ILT28" s="3468"/>
      <c r="ILU28" s="3468"/>
      <c r="ILV28" s="3468"/>
      <c r="ILW28" s="3468"/>
      <c r="ILX28" s="3468"/>
      <c r="ILY28" s="3468"/>
      <c r="ILZ28" s="3468"/>
      <c r="IMA28" s="3468"/>
      <c r="IMB28" s="3468"/>
      <c r="IMC28" s="3468"/>
      <c r="IMD28" s="3468"/>
      <c r="IME28" s="3468"/>
      <c r="IMF28" s="3468"/>
      <c r="IMG28" s="3468"/>
      <c r="IMH28" s="3468"/>
      <c r="IMI28" s="3468"/>
      <c r="IMJ28" s="3468"/>
      <c r="IMK28" s="3468"/>
      <c r="IML28" s="3468"/>
      <c r="IMM28" s="3468"/>
      <c r="IMN28" s="3468"/>
      <c r="IMO28" s="3468"/>
      <c r="IMP28" s="3468"/>
      <c r="IMQ28" s="3468"/>
      <c r="IMR28" s="3468"/>
      <c r="IMS28" s="3468"/>
      <c r="IMT28" s="3468"/>
      <c r="IMU28" s="3468"/>
      <c r="IMV28" s="3468"/>
      <c r="IMW28" s="3468"/>
      <c r="IMX28" s="3468"/>
      <c r="IMY28" s="3468"/>
      <c r="IMZ28" s="3468"/>
      <c r="INA28" s="3468"/>
      <c r="INB28" s="3468"/>
      <c r="INC28" s="3468"/>
      <c r="IND28" s="3468"/>
      <c r="INE28" s="3468"/>
      <c r="INF28" s="3468"/>
      <c r="ING28" s="3468"/>
      <c r="INH28" s="3468"/>
      <c r="INI28" s="3468"/>
      <c r="INJ28" s="3468"/>
      <c r="INK28" s="3468"/>
      <c r="INL28" s="3468"/>
      <c r="INM28" s="3468"/>
      <c r="INN28" s="3468"/>
      <c r="INO28" s="3468"/>
      <c r="INP28" s="3468"/>
      <c r="INQ28" s="3468"/>
      <c r="INR28" s="3468"/>
      <c r="INS28" s="3468"/>
      <c r="INT28" s="3468"/>
      <c r="INU28" s="3468"/>
      <c r="INV28" s="3468"/>
      <c r="INW28" s="3468"/>
      <c r="INX28" s="3468"/>
      <c r="INY28" s="3468"/>
      <c r="INZ28" s="3468"/>
      <c r="IOA28" s="3468"/>
      <c r="IOB28" s="3468"/>
      <c r="IOC28" s="3468"/>
      <c r="IOD28" s="3468"/>
      <c r="IOE28" s="3468"/>
      <c r="IOF28" s="3468"/>
      <c r="IOG28" s="3468"/>
      <c r="IOH28" s="3468"/>
      <c r="IOI28" s="3468"/>
      <c r="IOJ28" s="3468"/>
      <c r="IOK28" s="3468"/>
      <c r="IOL28" s="3468"/>
      <c r="IOM28" s="3468"/>
      <c r="ION28" s="3468"/>
      <c r="IOO28" s="3468"/>
      <c r="IOP28" s="3468"/>
      <c r="IOQ28" s="3468"/>
      <c r="IOR28" s="3468"/>
      <c r="IOS28" s="3468"/>
      <c r="IOT28" s="3468"/>
      <c r="IOU28" s="3468"/>
      <c r="IOV28" s="3468"/>
      <c r="IOW28" s="3468"/>
      <c r="IOX28" s="3468"/>
      <c r="IOY28" s="3468"/>
      <c r="IOZ28" s="3468"/>
      <c r="IPA28" s="3468"/>
      <c r="IPB28" s="3468"/>
      <c r="IPC28" s="3468"/>
      <c r="IPD28" s="3468"/>
      <c r="IPE28" s="3468"/>
      <c r="IPF28" s="3468"/>
      <c r="IPG28" s="3468"/>
      <c r="IPH28" s="3468"/>
      <c r="IPI28" s="3468"/>
      <c r="IPJ28" s="3468"/>
      <c r="IPK28" s="3468"/>
      <c r="IPL28" s="3468"/>
      <c r="IPM28" s="3468"/>
      <c r="IPN28" s="3468"/>
      <c r="IPO28" s="3468"/>
      <c r="IPP28" s="3468"/>
      <c r="IPQ28" s="3468"/>
      <c r="IPR28" s="3468"/>
      <c r="IPS28" s="3468"/>
      <c r="IPT28" s="3468"/>
      <c r="IPU28" s="3468"/>
      <c r="IPV28" s="3468"/>
      <c r="IPW28" s="3468"/>
      <c r="IPX28" s="3468"/>
      <c r="IPY28" s="3468"/>
      <c r="IPZ28" s="3468"/>
      <c r="IQA28" s="3468"/>
      <c r="IQB28" s="3468"/>
      <c r="IQC28" s="3468"/>
      <c r="IQD28" s="3468"/>
      <c r="IQE28" s="3468"/>
      <c r="IQF28" s="3468"/>
      <c r="IQG28" s="3468"/>
      <c r="IQH28" s="3468"/>
      <c r="IQI28" s="3468"/>
      <c r="IQJ28" s="3468"/>
      <c r="IQK28" s="3468"/>
      <c r="IQL28" s="3468"/>
      <c r="IQM28" s="3468"/>
      <c r="IQN28" s="3468"/>
      <c r="IQO28" s="3468"/>
      <c r="IQP28" s="3468"/>
      <c r="IQQ28" s="3468"/>
      <c r="IQR28" s="3468"/>
      <c r="IQS28" s="3468"/>
      <c r="IQT28" s="3468"/>
      <c r="IQU28" s="3468"/>
      <c r="IQV28" s="3468"/>
      <c r="IQW28" s="3468"/>
      <c r="IQX28" s="3468"/>
      <c r="IQY28" s="3468"/>
      <c r="IQZ28" s="3468"/>
      <c r="IRA28" s="3468"/>
      <c r="IRB28" s="3468"/>
      <c r="IRC28" s="3468"/>
      <c r="IRD28" s="3468"/>
      <c r="IRE28" s="3468"/>
      <c r="IRF28" s="3468"/>
      <c r="IRG28" s="3468"/>
      <c r="IRH28" s="3468"/>
      <c r="IRI28" s="3468"/>
      <c r="IRJ28" s="3468"/>
      <c r="IRK28" s="3468"/>
      <c r="IRL28" s="3468"/>
      <c r="IRM28" s="3468"/>
      <c r="IRN28" s="3468"/>
      <c r="IRO28" s="3468"/>
      <c r="IRP28" s="3468"/>
      <c r="IRQ28" s="3468"/>
      <c r="IRR28" s="3468"/>
      <c r="IRS28" s="3468"/>
      <c r="IRT28" s="3468"/>
      <c r="IRU28" s="3468"/>
      <c r="IRV28" s="3468"/>
      <c r="IRW28" s="3468"/>
      <c r="IRX28" s="3468"/>
      <c r="IRY28" s="3468"/>
      <c r="IRZ28" s="3468"/>
      <c r="ISA28" s="3468"/>
      <c r="ISB28" s="3468"/>
      <c r="ISC28" s="3468"/>
      <c r="ISD28" s="3468"/>
      <c r="ISE28" s="3468"/>
      <c r="ISF28" s="3468"/>
      <c r="ISG28" s="3468"/>
      <c r="ISH28" s="3468"/>
      <c r="ISI28" s="3468"/>
      <c r="ISJ28" s="3468"/>
      <c r="ISK28" s="3468"/>
      <c r="ISL28" s="3468"/>
      <c r="ISM28" s="3468"/>
      <c r="ISN28" s="3468"/>
      <c r="ISO28" s="3468"/>
      <c r="ISP28" s="3468"/>
      <c r="ISQ28" s="3468"/>
      <c r="ISR28" s="3468"/>
      <c r="ISS28" s="3468"/>
      <c r="IST28" s="3468"/>
      <c r="ISU28" s="3468"/>
      <c r="ISV28" s="3468"/>
      <c r="ISW28" s="3468"/>
      <c r="ISX28" s="3468"/>
      <c r="ISY28" s="3468"/>
      <c r="ISZ28" s="3468"/>
      <c r="ITA28" s="3468"/>
      <c r="ITB28" s="3468"/>
      <c r="ITC28" s="3468"/>
      <c r="ITD28" s="3468"/>
      <c r="ITE28" s="3468"/>
      <c r="ITF28" s="3468"/>
      <c r="ITG28" s="3468"/>
      <c r="ITH28" s="3468"/>
      <c r="ITI28" s="3468"/>
      <c r="ITJ28" s="3468"/>
      <c r="ITK28" s="3468"/>
      <c r="ITL28" s="3468"/>
      <c r="ITM28" s="3468"/>
      <c r="ITN28" s="3468"/>
      <c r="ITO28" s="3468"/>
      <c r="ITP28" s="3468"/>
      <c r="ITQ28" s="3468"/>
      <c r="ITR28" s="3468"/>
      <c r="ITS28" s="3468"/>
      <c r="ITT28" s="3468"/>
      <c r="ITU28" s="3468"/>
      <c r="ITV28" s="3468"/>
      <c r="ITW28" s="3468"/>
      <c r="ITX28" s="3468"/>
      <c r="ITY28" s="3468"/>
      <c r="ITZ28" s="3468"/>
      <c r="IUA28" s="3468"/>
      <c r="IUB28" s="3468"/>
      <c r="IUC28" s="3468"/>
      <c r="IUD28" s="3468"/>
      <c r="IUE28" s="3468"/>
      <c r="IUF28" s="3468"/>
      <c r="IUG28" s="3468"/>
      <c r="IUH28" s="3468"/>
      <c r="IUI28" s="3468"/>
      <c r="IUJ28" s="3468"/>
      <c r="IUK28" s="3468"/>
      <c r="IUL28" s="3468"/>
      <c r="IUM28" s="3468"/>
      <c r="IUN28" s="3468"/>
      <c r="IUO28" s="3468"/>
      <c r="IUP28" s="3468"/>
      <c r="IUQ28" s="3468"/>
      <c r="IUR28" s="3468"/>
      <c r="IUS28" s="3468"/>
      <c r="IUT28" s="3468"/>
      <c r="IUU28" s="3468"/>
      <c r="IUV28" s="3468"/>
      <c r="IUW28" s="3468"/>
      <c r="IUX28" s="3468"/>
      <c r="IUY28" s="3468"/>
      <c r="IUZ28" s="3468"/>
      <c r="IVA28" s="3468"/>
      <c r="IVB28" s="3468"/>
      <c r="IVC28" s="3468"/>
      <c r="IVD28" s="3468"/>
      <c r="IVE28" s="3468"/>
      <c r="IVF28" s="3468"/>
      <c r="IVG28" s="3468"/>
      <c r="IVH28" s="3468"/>
      <c r="IVI28" s="3468"/>
      <c r="IVJ28" s="3468"/>
      <c r="IVK28" s="3468"/>
      <c r="IVL28" s="3468"/>
      <c r="IVM28" s="3468"/>
      <c r="IVN28" s="3468"/>
      <c r="IVO28" s="3468"/>
      <c r="IVP28" s="3468"/>
      <c r="IVQ28" s="3468"/>
      <c r="IVR28" s="3468"/>
      <c r="IVS28" s="3468"/>
      <c r="IVT28" s="3468"/>
      <c r="IVU28" s="3468"/>
      <c r="IVV28" s="3468"/>
      <c r="IVW28" s="3468"/>
      <c r="IVX28" s="3468"/>
      <c r="IVY28" s="3468"/>
      <c r="IVZ28" s="3468"/>
      <c r="IWA28" s="3468"/>
      <c r="IWB28" s="3468"/>
      <c r="IWC28" s="3468"/>
      <c r="IWD28" s="3468"/>
      <c r="IWE28" s="3468"/>
      <c r="IWF28" s="3468"/>
      <c r="IWG28" s="3468"/>
      <c r="IWH28" s="3468"/>
      <c r="IWI28" s="3468"/>
      <c r="IWJ28" s="3468"/>
      <c r="IWK28" s="3468"/>
      <c r="IWL28" s="3468"/>
      <c r="IWM28" s="3468"/>
      <c r="IWN28" s="3468"/>
      <c r="IWO28" s="3468"/>
      <c r="IWP28" s="3468"/>
      <c r="IWQ28" s="3468"/>
      <c r="IWR28" s="3468"/>
      <c r="IWS28" s="3468"/>
      <c r="IWT28" s="3468"/>
      <c r="IWU28" s="3468"/>
      <c r="IWV28" s="3468"/>
      <c r="IWW28" s="3468"/>
      <c r="IWX28" s="3468"/>
      <c r="IWY28" s="3468"/>
      <c r="IWZ28" s="3468"/>
      <c r="IXA28" s="3468"/>
      <c r="IXB28" s="3468"/>
      <c r="IXC28" s="3468"/>
      <c r="IXD28" s="3468"/>
      <c r="IXE28" s="3468"/>
      <c r="IXF28" s="3468"/>
      <c r="IXG28" s="3468"/>
      <c r="IXH28" s="3468"/>
      <c r="IXI28" s="3468"/>
      <c r="IXJ28" s="3468"/>
      <c r="IXK28" s="3468"/>
      <c r="IXL28" s="3468"/>
      <c r="IXM28" s="3468"/>
      <c r="IXN28" s="3468"/>
      <c r="IXO28" s="3468"/>
      <c r="IXP28" s="3468"/>
      <c r="IXQ28" s="3468"/>
      <c r="IXR28" s="3468"/>
      <c r="IXS28" s="3468"/>
      <c r="IXT28" s="3468"/>
      <c r="IXU28" s="3468"/>
      <c r="IXV28" s="3468"/>
      <c r="IXW28" s="3468"/>
      <c r="IXX28" s="3468"/>
      <c r="IXY28" s="3468"/>
      <c r="IXZ28" s="3468"/>
      <c r="IYA28" s="3468"/>
      <c r="IYB28" s="3468"/>
      <c r="IYC28" s="3468"/>
      <c r="IYD28" s="3468"/>
      <c r="IYE28" s="3468"/>
      <c r="IYF28" s="3468"/>
      <c r="IYG28" s="3468"/>
      <c r="IYH28" s="3468"/>
      <c r="IYI28" s="3468"/>
      <c r="IYJ28" s="3468"/>
      <c r="IYK28" s="3468"/>
      <c r="IYL28" s="3468"/>
      <c r="IYM28" s="3468"/>
      <c r="IYN28" s="3468"/>
      <c r="IYO28" s="3468"/>
      <c r="IYP28" s="3468"/>
      <c r="IYQ28" s="3468"/>
      <c r="IYR28" s="3468"/>
      <c r="IYS28" s="3468"/>
      <c r="IYT28" s="3468"/>
      <c r="IYU28" s="3468"/>
      <c r="IYV28" s="3468"/>
      <c r="IYW28" s="3468"/>
      <c r="IYX28" s="3468"/>
      <c r="IYY28" s="3468"/>
      <c r="IYZ28" s="3468"/>
      <c r="IZA28" s="3468"/>
      <c r="IZB28" s="3468"/>
      <c r="IZC28" s="3468"/>
      <c r="IZD28" s="3468"/>
      <c r="IZE28" s="3468"/>
      <c r="IZF28" s="3468"/>
      <c r="IZG28" s="3468"/>
      <c r="IZH28" s="3468"/>
      <c r="IZI28" s="3468"/>
      <c r="IZJ28" s="3468"/>
      <c r="IZK28" s="3468"/>
      <c r="IZL28" s="3468"/>
      <c r="IZM28" s="3468"/>
      <c r="IZN28" s="3468"/>
      <c r="IZO28" s="3468"/>
      <c r="IZP28" s="3468"/>
      <c r="IZQ28" s="3468"/>
      <c r="IZR28" s="3468"/>
      <c r="IZS28" s="3468"/>
      <c r="IZT28" s="3468"/>
      <c r="IZU28" s="3468"/>
      <c r="IZV28" s="3468"/>
      <c r="IZW28" s="3468"/>
      <c r="IZX28" s="3468"/>
      <c r="IZY28" s="3468"/>
      <c r="IZZ28" s="3468"/>
      <c r="JAA28" s="3468"/>
      <c r="JAB28" s="3468"/>
      <c r="JAC28" s="3468"/>
      <c r="JAD28" s="3468"/>
      <c r="JAE28" s="3468"/>
      <c r="JAF28" s="3468"/>
      <c r="JAG28" s="3468"/>
      <c r="JAH28" s="3468"/>
      <c r="JAI28" s="3468"/>
      <c r="JAJ28" s="3468"/>
      <c r="JAK28" s="3468"/>
      <c r="JAL28" s="3468"/>
      <c r="JAM28" s="3468"/>
      <c r="JAN28" s="3468"/>
      <c r="JAO28" s="3468"/>
      <c r="JAP28" s="3468"/>
      <c r="JAQ28" s="3468"/>
      <c r="JAR28" s="3468"/>
      <c r="JAS28" s="3468"/>
      <c r="JAT28" s="3468"/>
      <c r="JAU28" s="3468"/>
      <c r="JAV28" s="3468"/>
      <c r="JAW28" s="3468"/>
      <c r="JAX28" s="3468"/>
      <c r="JAY28" s="3468"/>
      <c r="JAZ28" s="3468"/>
      <c r="JBA28" s="3468"/>
      <c r="JBB28" s="3468"/>
      <c r="JBC28" s="3468"/>
      <c r="JBD28" s="3468"/>
      <c r="JBE28" s="3468"/>
      <c r="JBF28" s="3468"/>
      <c r="JBG28" s="3468"/>
      <c r="JBH28" s="3468"/>
      <c r="JBI28" s="3468"/>
      <c r="JBJ28" s="3468"/>
      <c r="JBK28" s="3468"/>
      <c r="JBL28" s="3468"/>
      <c r="JBM28" s="3468"/>
      <c r="JBN28" s="3468"/>
      <c r="JBO28" s="3468"/>
      <c r="JBP28" s="3468"/>
      <c r="JBQ28" s="3468"/>
      <c r="JBR28" s="3468"/>
      <c r="JBS28" s="3468"/>
      <c r="JBT28" s="3468"/>
      <c r="JBU28" s="3468"/>
      <c r="JBV28" s="3468"/>
      <c r="JBW28" s="3468"/>
      <c r="JBX28" s="3468"/>
      <c r="JBY28" s="3468"/>
      <c r="JBZ28" s="3468"/>
      <c r="JCA28" s="3468"/>
      <c r="JCB28" s="3468"/>
      <c r="JCC28" s="3468"/>
      <c r="JCD28" s="3468"/>
      <c r="JCE28" s="3468"/>
      <c r="JCF28" s="3468"/>
      <c r="JCG28" s="3468"/>
      <c r="JCH28" s="3468"/>
      <c r="JCI28" s="3468"/>
      <c r="JCJ28" s="3468"/>
      <c r="JCK28" s="3468"/>
      <c r="JCL28" s="3468"/>
      <c r="JCM28" s="3468"/>
      <c r="JCN28" s="3468"/>
      <c r="JCO28" s="3468"/>
      <c r="JCP28" s="3468"/>
      <c r="JCQ28" s="3468"/>
      <c r="JCR28" s="3468"/>
      <c r="JCS28" s="3468"/>
      <c r="JCT28" s="3468"/>
      <c r="JCU28" s="3468"/>
      <c r="JCV28" s="3468"/>
      <c r="JCW28" s="3468"/>
      <c r="JCX28" s="3468"/>
      <c r="JCY28" s="3468"/>
      <c r="JCZ28" s="3468"/>
      <c r="JDA28" s="3468"/>
      <c r="JDB28" s="3468"/>
      <c r="JDC28" s="3468"/>
      <c r="JDD28" s="3468"/>
      <c r="JDE28" s="3468"/>
      <c r="JDF28" s="3468"/>
      <c r="JDG28" s="3468"/>
      <c r="JDH28" s="3468"/>
      <c r="JDI28" s="3468"/>
      <c r="JDJ28" s="3468"/>
      <c r="JDK28" s="3468"/>
      <c r="JDL28" s="3468"/>
      <c r="JDM28" s="3468"/>
      <c r="JDN28" s="3468"/>
      <c r="JDO28" s="3468"/>
      <c r="JDP28" s="3468"/>
      <c r="JDQ28" s="3468"/>
      <c r="JDR28" s="3468"/>
      <c r="JDS28" s="3468"/>
      <c r="JDT28" s="3468"/>
      <c r="JDU28" s="3468"/>
      <c r="JDV28" s="3468"/>
      <c r="JDW28" s="3468"/>
      <c r="JDX28" s="3468"/>
      <c r="JDY28" s="3468"/>
      <c r="JDZ28" s="3468"/>
      <c r="JEA28" s="3468"/>
      <c r="JEB28" s="3468"/>
      <c r="JEC28" s="3468"/>
      <c r="JED28" s="3468"/>
      <c r="JEE28" s="3468"/>
      <c r="JEF28" s="3468"/>
      <c r="JEG28" s="3468"/>
      <c r="JEH28" s="3468"/>
      <c r="JEI28" s="3468"/>
      <c r="JEJ28" s="3468"/>
      <c r="JEK28" s="3468"/>
      <c r="JEL28" s="3468"/>
      <c r="JEM28" s="3468"/>
      <c r="JEN28" s="3468"/>
      <c r="JEO28" s="3468"/>
      <c r="JEP28" s="3468"/>
      <c r="JEQ28" s="3468"/>
      <c r="JER28" s="3468"/>
      <c r="JES28" s="3468"/>
      <c r="JET28" s="3468"/>
      <c r="JEU28" s="3468"/>
      <c r="JEV28" s="3468"/>
      <c r="JEW28" s="3468"/>
      <c r="JEX28" s="3468"/>
      <c r="JEY28" s="3468"/>
      <c r="JEZ28" s="3468"/>
      <c r="JFA28" s="3468"/>
      <c r="JFB28" s="3468"/>
      <c r="JFC28" s="3468"/>
      <c r="JFD28" s="3468"/>
      <c r="JFE28" s="3468"/>
      <c r="JFF28" s="3468"/>
      <c r="JFG28" s="3468"/>
      <c r="JFH28" s="3468"/>
      <c r="JFI28" s="3468"/>
      <c r="JFJ28" s="3468"/>
      <c r="JFK28" s="3468"/>
      <c r="JFL28" s="3468"/>
      <c r="JFM28" s="3468"/>
      <c r="JFN28" s="3468"/>
      <c r="JFO28" s="3468"/>
      <c r="JFP28" s="3468"/>
      <c r="JFQ28" s="3468"/>
      <c r="JFR28" s="3468"/>
      <c r="JFS28" s="3468"/>
      <c r="JFT28" s="3468"/>
      <c r="JFU28" s="3468"/>
      <c r="JFV28" s="3468"/>
      <c r="JFW28" s="3468"/>
      <c r="JFX28" s="3468"/>
      <c r="JFY28" s="3468"/>
      <c r="JFZ28" s="3468"/>
      <c r="JGA28" s="3468"/>
      <c r="JGB28" s="3468"/>
      <c r="JGC28" s="3468"/>
      <c r="JGD28" s="3468"/>
      <c r="JGE28" s="3468"/>
      <c r="JGF28" s="3468"/>
      <c r="JGG28" s="3468"/>
      <c r="JGH28" s="3468"/>
      <c r="JGI28" s="3468"/>
      <c r="JGJ28" s="3468"/>
      <c r="JGK28" s="3468"/>
      <c r="JGL28" s="3468"/>
      <c r="JGM28" s="3468"/>
      <c r="JGN28" s="3468"/>
      <c r="JGO28" s="3468"/>
      <c r="JGP28" s="3468"/>
      <c r="JGQ28" s="3468"/>
      <c r="JGR28" s="3468"/>
      <c r="JGS28" s="3468"/>
      <c r="JGT28" s="3468"/>
      <c r="JGU28" s="3468"/>
      <c r="JGV28" s="3468"/>
      <c r="JGW28" s="3468"/>
      <c r="JGX28" s="3468"/>
      <c r="JGY28" s="3468"/>
      <c r="JGZ28" s="3468"/>
      <c r="JHA28" s="3468"/>
      <c r="JHB28" s="3468"/>
      <c r="JHC28" s="3468"/>
      <c r="JHD28" s="3468"/>
      <c r="JHE28" s="3468"/>
      <c r="JHF28" s="3468"/>
      <c r="JHG28" s="3468"/>
      <c r="JHH28" s="3468"/>
      <c r="JHI28" s="3468"/>
      <c r="JHJ28" s="3468"/>
      <c r="JHK28" s="3468"/>
      <c r="JHL28" s="3468"/>
      <c r="JHM28" s="3468"/>
      <c r="JHN28" s="3468"/>
      <c r="JHO28" s="3468"/>
      <c r="JHP28" s="3468"/>
      <c r="JHQ28" s="3468"/>
      <c r="JHR28" s="3468"/>
      <c r="JHS28" s="3468"/>
      <c r="JHT28" s="3468"/>
      <c r="JHU28" s="3468"/>
      <c r="JHV28" s="3468"/>
      <c r="JHW28" s="3468"/>
      <c r="JHX28" s="3468"/>
      <c r="JHY28" s="3468"/>
      <c r="JHZ28" s="3468"/>
      <c r="JIA28" s="3468"/>
      <c r="JIB28" s="3468"/>
      <c r="JIC28" s="3468"/>
      <c r="JID28" s="3468"/>
      <c r="JIE28" s="3468"/>
      <c r="JIF28" s="3468"/>
      <c r="JIG28" s="3468"/>
      <c r="JIH28" s="3468"/>
      <c r="JII28" s="3468"/>
      <c r="JIJ28" s="3468"/>
      <c r="JIK28" s="3468"/>
      <c r="JIL28" s="3468"/>
      <c r="JIM28" s="3468"/>
      <c r="JIN28" s="3468"/>
      <c r="JIO28" s="3468"/>
      <c r="JIP28" s="3468"/>
      <c r="JIQ28" s="3468"/>
      <c r="JIR28" s="3468"/>
      <c r="JIS28" s="3468"/>
      <c r="JIT28" s="3468"/>
      <c r="JIU28" s="3468"/>
      <c r="JIV28" s="3468"/>
      <c r="JIW28" s="3468"/>
      <c r="JIX28" s="3468"/>
      <c r="JIY28" s="3468"/>
      <c r="JIZ28" s="3468"/>
      <c r="JJA28" s="3468"/>
      <c r="JJB28" s="3468"/>
      <c r="JJC28" s="3468"/>
      <c r="JJD28" s="3468"/>
      <c r="JJE28" s="3468"/>
      <c r="JJF28" s="3468"/>
      <c r="JJG28" s="3468"/>
      <c r="JJH28" s="3468"/>
      <c r="JJI28" s="3468"/>
      <c r="JJJ28" s="3468"/>
      <c r="JJK28" s="3468"/>
      <c r="JJL28" s="3468"/>
      <c r="JJM28" s="3468"/>
      <c r="JJN28" s="3468"/>
      <c r="JJO28" s="3468"/>
      <c r="JJP28" s="3468"/>
      <c r="JJQ28" s="3468"/>
      <c r="JJR28" s="3468"/>
      <c r="JJS28" s="3468"/>
      <c r="JJT28" s="3468"/>
      <c r="JJU28" s="3468"/>
      <c r="JJV28" s="3468"/>
      <c r="JJW28" s="3468"/>
      <c r="JJX28" s="3468"/>
      <c r="JJY28" s="3468"/>
      <c r="JJZ28" s="3468"/>
      <c r="JKA28" s="3468"/>
      <c r="JKB28" s="3468"/>
      <c r="JKC28" s="3468"/>
      <c r="JKD28" s="3468"/>
      <c r="JKE28" s="3468"/>
      <c r="JKF28" s="3468"/>
      <c r="JKG28" s="3468"/>
      <c r="JKH28" s="3468"/>
      <c r="JKI28" s="3468"/>
      <c r="JKJ28" s="3468"/>
      <c r="JKK28" s="3468"/>
      <c r="JKL28" s="3468"/>
      <c r="JKM28" s="3468"/>
      <c r="JKN28" s="3468"/>
      <c r="JKO28" s="3468"/>
      <c r="JKP28" s="3468"/>
      <c r="JKQ28" s="3468"/>
      <c r="JKR28" s="3468"/>
      <c r="JKS28" s="3468"/>
      <c r="JKT28" s="3468"/>
      <c r="JKU28" s="3468"/>
      <c r="JKV28" s="3468"/>
      <c r="JKW28" s="3468"/>
      <c r="JKX28" s="3468"/>
      <c r="JKY28" s="3468"/>
      <c r="JKZ28" s="3468"/>
      <c r="JLA28" s="3468"/>
      <c r="JLB28" s="3468"/>
      <c r="JLC28" s="3468"/>
      <c r="JLD28" s="3468"/>
      <c r="JLE28" s="3468"/>
      <c r="JLF28" s="3468"/>
      <c r="JLG28" s="3468"/>
      <c r="JLH28" s="3468"/>
      <c r="JLI28" s="3468"/>
      <c r="JLJ28" s="3468"/>
      <c r="JLK28" s="3468"/>
      <c r="JLL28" s="3468"/>
      <c r="JLM28" s="3468"/>
      <c r="JLN28" s="3468"/>
      <c r="JLO28" s="3468"/>
      <c r="JLP28" s="3468"/>
      <c r="JLQ28" s="3468"/>
      <c r="JLR28" s="3468"/>
      <c r="JLS28" s="3468"/>
      <c r="JLT28" s="3468"/>
      <c r="JLU28" s="3468"/>
      <c r="JLV28" s="3468"/>
      <c r="JLW28" s="3468"/>
      <c r="JLX28" s="3468"/>
      <c r="JLY28" s="3468"/>
      <c r="JLZ28" s="3468"/>
      <c r="JMA28" s="3468"/>
      <c r="JMB28" s="3468"/>
      <c r="JMC28" s="3468"/>
      <c r="JMD28" s="3468"/>
      <c r="JME28" s="3468"/>
      <c r="JMF28" s="3468"/>
      <c r="JMG28" s="3468"/>
      <c r="JMH28" s="3468"/>
      <c r="JMI28" s="3468"/>
      <c r="JMJ28" s="3468"/>
      <c r="JMK28" s="3468"/>
      <c r="JML28" s="3468"/>
      <c r="JMM28" s="3468"/>
      <c r="JMN28" s="3468"/>
      <c r="JMO28" s="3468"/>
      <c r="JMP28" s="3468"/>
      <c r="JMQ28" s="3468"/>
      <c r="JMR28" s="3468"/>
      <c r="JMS28" s="3468"/>
      <c r="JMT28" s="3468"/>
      <c r="JMU28" s="3468"/>
      <c r="JMV28" s="3468"/>
      <c r="JMW28" s="3468"/>
      <c r="JMX28" s="3468"/>
      <c r="JMY28" s="3468"/>
      <c r="JMZ28" s="3468"/>
      <c r="JNA28" s="3468"/>
      <c r="JNB28" s="3468"/>
      <c r="JNC28" s="3468"/>
      <c r="JND28" s="3468"/>
      <c r="JNE28" s="3468"/>
      <c r="JNF28" s="3468"/>
      <c r="JNG28" s="3468"/>
      <c r="JNH28" s="3468"/>
      <c r="JNI28" s="3468"/>
      <c r="JNJ28" s="3468"/>
      <c r="JNK28" s="3468"/>
      <c r="JNL28" s="3468"/>
      <c r="JNM28" s="3468"/>
      <c r="JNN28" s="3468"/>
      <c r="JNO28" s="3468"/>
      <c r="JNP28" s="3468"/>
      <c r="JNQ28" s="3468"/>
      <c r="JNR28" s="3468"/>
      <c r="JNS28" s="3468"/>
      <c r="JNT28" s="3468"/>
      <c r="JNU28" s="3468"/>
      <c r="JNV28" s="3468"/>
      <c r="JNW28" s="3468"/>
      <c r="JNX28" s="3468"/>
      <c r="JNY28" s="3468"/>
      <c r="JNZ28" s="3468"/>
      <c r="JOA28" s="3468"/>
      <c r="JOB28" s="3468"/>
      <c r="JOC28" s="3468"/>
      <c r="JOD28" s="3468"/>
      <c r="JOE28" s="3468"/>
      <c r="JOF28" s="3468"/>
      <c r="JOG28" s="3468"/>
      <c r="JOH28" s="3468"/>
      <c r="JOI28" s="3468"/>
      <c r="JOJ28" s="3468"/>
      <c r="JOK28" s="3468"/>
      <c r="JOL28" s="3468"/>
      <c r="JOM28" s="3468"/>
      <c r="JON28" s="3468"/>
      <c r="JOO28" s="3468"/>
      <c r="JOP28" s="3468"/>
      <c r="JOQ28" s="3468"/>
      <c r="JOR28" s="3468"/>
      <c r="JOS28" s="3468"/>
      <c r="JOT28" s="3468"/>
      <c r="JOU28" s="3468"/>
      <c r="JOV28" s="3468"/>
      <c r="JOW28" s="3468"/>
      <c r="JOX28" s="3468"/>
      <c r="JOY28" s="3468"/>
      <c r="JOZ28" s="3468"/>
      <c r="JPA28" s="3468"/>
      <c r="JPB28" s="3468"/>
      <c r="JPC28" s="3468"/>
      <c r="JPD28" s="3468"/>
      <c r="JPE28" s="3468"/>
      <c r="JPF28" s="3468"/>
      <c r="JPG28" s="3468"/>
      <c r="JPH28" s="3468"/>
      <c r="JPI28" s="3468"/>
      <c r="JPJ28" s="3468"/>
      <c r="JPK28" s="3468"/>
      <c r="JPL28" s="3468"/>
      <c r="JPM28" s="3468"/>
      <c r="JPN28" s="3468"/>
      <c r="JPO28" s="3468"/>
      <c r="JPP28" s="3468"/>
      <c r="JPQ28" s="3468"/>
      <c r="JPR28" s="3468"/>
      <c r="JPS28" s="3468"/>
      <c r="JPT28" s="3468"/>
      <c r="JPU28" s="3468"/>
      <c r="JPV28" s="3468"/>
      <c r="JPW28" s="3468"/>
      <c r="JPX28" s="3468"/>
      <c r="JPY28" s="3468"/>
      <c r="JPZ28" s="3468"/>
      <c r="JQA28" s="3468"/>
      <c r="JQB28" s="3468"/>
      <c r="JQC28" s="3468"/>
      <c r="JQD28" s="3468"/>
      <c r="JQE28" s="3468"/>
      <c r="JQF28" s="3468"/>
      <c r="JQG28" s="3468"/>
      <c r="JQH28" s="3468"/>
      <c r="JQI28" s="3468"/>
      <c r="JQJ28" s="3468"/>
      <c r="JQK28" s="3468"/>
      <c r="JQL28" s="3468"/>
      <c r="JQM28" s="3468"/>
      <c r="JQN28" s="3468"/>
      <c r="JQO28" s="3468"/>
      <c r="JQP28" s="3468"/>
      <c r="JQQ28" s="3468"/>
      <c r="JQR28" s="3468"/>
      <c r="JQS28" s="3468"/>
      <c r="JQT28" s="3468"/>
      <c r="JQU28" s="3468"/>
      <c r="JQV28" s="3468"/>
      <c r="JQW28" s="3468"/>
      <c r="JQX28" s="3468"/>
      <c r="JQY28" s="3468"/>
      <c r="JQZ28" s="3468"/>
      <c r="JRA28" s="3468"/>
      <c r="JRB28" s="3468"/>
      <c r="JRC28" s="3468"/>
      <c r="JRD28" s="3468"/>
      <c r="JRE28" s="3468"/>
      <c r="JRF28" s="3468"/>
      <c r="JRG28" s="3468"/>
      <c r="JRH28" s="3468"/>
      <c r="JRI28" s="3468"/>
      <c r="JRJ28" s="3468"/>
      <c r="JRK28" s="3468"/>
      <c r="JRL28" s="3468"/>
      <c r="JRM28" s="3468"/>
      <c r="JRN28" s="3468"/>
      <c r="JRO28" s="3468"/>
      <c r="JRP28" s="3468"/>
      <c r="JRQ28" s="3468"/>
      <c r="JRR28" s="3468"/>
      <c r="JRS28" s="3468"/>
      <c r="JRT28" s="3468"/>
      <c r="JRU28" s="3468"/>
      <c r="JRV28" s="3468"/>
      <c r="JRW28" s="3468"/>
      <c r="JRX28" s="3468"/>
      <c r="JRY28" s="3468"/>
      <c r="JRZ28" s="3468"/>
      <c r="JSA28" s="3468"/>
      <c r="JSB28" s="3468"/>
      <c r="JSC28" s="3468"/>
      <c r="JSD28" s="3468"/>
      <c r="JSE28" s="3468"/>
      <c r="JSF28" s="3468"/>
      <c r="JSG28" s="3468"/>
      <c r="JSH28" s="3468"/>
      <c r="JSI28" s="3468"/>
      <c r="JSJ28" s="3468"/>
      <c r="JSK28" s="3468"/>
      <c r="JSL28" s="3468"/>
      <c r="JSM28" s="3468"/>
      <c r="JSN28" s="3468"/>
      <c r="JSO28" s="3468"/>
      <c r="JSP28" s="3468"/>
      <c r="JSQ28" s="3468"/>
      <c r="JSR28" s="3468"/>
      <c r="JSS28" s="3468"/>
      <c r="JST28" s="3468"/>
      <c r="JSU28" s="3468"/>
      <c r="JSV28" s="3468"/>
      <c r="JSW28" s="3468"/>
      <c r="JSX28" s="3468"/>
      <c r="JSY28" s="3468"/>
      <c r="JSZ28" s="3468"/>
      <c r="JTA28" s="3468"/>
      <c r="JTB28" s="3468"/>
      <c r="JTC28" s="3468"/>
      <c r="JTD28" s="3468"/>
      <c r="JTE28" s="3468"/>
      <c r="JTF28" s="3468"/>
      <c r="JTG28" s="3468"/>
      <c r="JTH28" s="3468"/>
      <c r="JTI28" s="3468"/>
      <c r="JTJ28" s="3468"/>
      <c r="JTK28" s="3468"/>
      <c r="JTL28" s="3468"/>
      <c r="JTM28" s="3468"/>
      <c r="JTN28" s="3468"/>
      <c r="JTO28" s="3468"/>
      <c r="JTP28" s="3468"/>
      <c r="JTQ28" s="3468"/>
      <c r="JTR28" s="3468"/>
      <c r="JTS28" s="3468"/>
      <c r="JTT28" s="3468"/>
      <c r="JTU28" s="3468"/>
      <c r="JTV28" s="3468"/>
      <c r="JTW28" s="3468"/>
      <c r="JTX28" s="3468"/>
      <c r="JTY28" s="3468"/>
      <c r="JTZ28" s="3468"/>
      <c r="JUA28" s="3468"/>
      <c r="JUB28" s="3468"/>
      <c r="JUC28" s="3468"/>
      <c r="JUD28" s="3468"/>
      <c r="JUE28" s="3468"/>
      <c r="JUF28" s="3468"/>
      <c r="JUG28" s="3468"/>
      <c r="JUH28" s="3468"/>
      <c r="JUI28" s="3468"/>
      <c r="JUJ28" s="3468"/>
      <c r="JUK28" s="3468"/>
      <c r="JUL28" s="3468"/>
      <c r="JUM28" s="3468"/>
      <c r="JUN28" s="3468"/>
      <c r="JUO28" s="3468"/>
      <c r="JUP28" s="3468"/>
      <c r="JUQ28" s="3468"/>
      <c r="JUR28" s="3468"/>
      <c r="JUS28" s="3468"/>
      <c r="JUT28" s="3468"/>
      <c r="JUU28" s="3468"/>
      <c r="JUV28" s="3468"/>
      <c r="JUW28" s="3468"/>
      <c r="JUX28" s="3468"/>
      <c r="JUY28" s="3468"/>
      <c r="JUZ28" s="3468"/>
      <c r="JVA28" s="3468"/>
      <c r="JVB28" s="3468"/>
      <c r="JVC28" s="3468"/>
      <c r="JVD28" s="3468"/>
      <c r="JVE28" s="3468"/>
      <c r="JVF28" s="3468"/>
      <c r="JVG28" s="3468"/>
      <c r="JVH28" s="3468"/>
      <c r="JVI28" s="3468"/>
      <c r="JVJ28" s="3468"/>
      <c r="JVK28" s="3468"/>
      <c r="JVL28" s="3468"/>
      <c r="JVM28" s="3468"/>
      <c r="JVN28" s="3468"/>
      <c r="JVO28" s="3468"/>
      <c r="JVP28" s="3468"/>
      <c r="JVQ28" s="3468"/>
      <c r="JVR28" s="3468"/>
      <c r="JVS28" s="3468"/>
      <c r="JVT28" s="3468"/>
      <c r="JVU28" s="3468"/>
      <c r="JVV28" s="3468"/>
      <c r="JVW28" s="3468"/>
      <c r="JVX28" s="3468"/>
      <c r="JVY28" s="3468"/>
      <c r="JVZ28" s="3468"/>
      <c r="JWA28" s="3468"/>
      <c r="JWB28" s="3468"/>
      <c r="JWC28" s="3468"/>
      <c r="JWD28" s="3468"/>
      <c r="JWE28" s="3468"/>
      <c r="JWF28" s="3468"/>
      <c r="JWG28" s="3468"/>
      <c r="JWH28" s="3468"/>
      <c r="JWI28" s="3468"/>
      <c r="JWJ28" s="3468"/>
      <c r="JWK28" s="3468"/>
      <c r="JWL28" s="3468"/>
      <c r="JWM28" s="3468"/>
      <c r="JWN28" s="3468"/>
      <c r="JWO28" s="3468"/>
      <c r="JWP28" s="3468"/>
      <c r="JWQ28" s="3468"/>
      <c r="JWR28" s="3468"/>
      <c r="JWS28" s="3468"/>
      <c r="JWT28" s="3468"/>
      <c r="JWU28" s="3468"/>
      <c r="JWV28" s="3468"/>
      <c r="JWW28" s="3468"/>
      <c r="JWX28" s="3468"/>
      <c r="JWY28" s="3468"/>
      <c r="JWZ28" s="3468"/>
      <c r="JXA28" s="3468"/>
      <c r="JXB28" s="3468"/>
      <c r="JXC28" s="3468"/>
      <c r="JXD28" s="3468"/>
      <c r="JXE28" s="3468"/>
      <c r="JXF28" s="3468"/>
      <c r="JXG28" s="3468"/>
      <c r="JXH28" s="3468"/>
      <c r="JXI28" s="3468"/>
      <c r="JXJ28" s="3468"/>
      <c r="JXK28" s="3468"/>
      <c r="JXL28" s="3468"/>
      <c r="JXM28" s="3468"/>
      <c r="JXN28" s="3468"/>
      <c r="JXO28" s="3468"/>
      <c r="JXP28" s="3468"/>
      <c r="JXQ28" s="3468"/>
      <c r="JXR28" s="3468"/>
      <c r="JXS28" s="3468"/>
      <c r="JXT28" s="3468"/>
      <c r="JXU28" s="3468"/>
      <c r="JXV28" s="3468"/>
      <c r="JXW28" s="3468"/>
      <c r="JXX28" s="3468"/>
      <c r="JXY28" s="3468"/>
      <c r="JXZ28" s="3468"/>
      <c r="JYA28" s="3468"/>
      <c r="JYB28" s="3468"/>
      <c r="JYC28" s="3468"/>
      <c r="JYD28" s="3468"/>
      <c r="JYE28" s="3468"/>
      <c r="JYF28" s="3468"/>
      <c r="JYG28" s="3468"/>
      <c r="JYH28" s="3468"/>
      <c r="JYI28" s="3468"/>
      <c r="JYJ28" s="3468"/>
      <c r="JYK28" s="3468"/>
      <c r="JYL28" s="3468"/>
      <c r="JYM28" s="3468"/>
      <c r="JYN28" s="3468"/>
      <c r="JYO28" s="3468"/>
      <c r="JYP28" s="3468"/>
      <c r="JYQ28" s="3468"/>
      <c r="JYR28" s="3468"/>
      <c r="JYS28" s="3468"/>
      <c r="JYT28" s="3468"/>
      <c r="JYU28" s="3468"/>
      <c r="JYV28" s="3468"/>
      <c r="JYW28" s="3468"/>
      <c r="JYX28" s="3468"/>
      <c r="JYY28" s="3468"/>
      <c r="JYZ28" s="3468"/>
      <c r="JZA28" s="3468"/>
      <c r="JZB28" s="3468"/>
      <c r="JZC28" s="3468"/>
      <c r="JZD28" s="3468"/>
      <c r="JZE28" s="3468"/>
      <c r="JZF28" s="3468"/>
      <c r="JZG28" s="3468"/>
      <c r="JZH28" s="3468"/>
      <c r="JZI28" s="3468"/>
      <c r="JZJ28" s="3468"/>
      <c r="JZK28" s="3468"/>
      <c r="JZL28" s="3468"/>
      <c r="JZM28" s="3468"/>
      <c r="JZN28" s="3468"/>
      <c r="JZO28" s="3468"/>
      <c r="JZP28" s="3468"/>
      <c r="JZQ28" s="3468"/>
      <c r="JZR28" s="3468"/>
      <c r="JZS28" s="3468"/>
      <c r="JZT28" s="3468"/>
      <c r="JZU28" s="3468"/>
      <c r="JZV28" s="3468"/>
      <c r="JZW28" s="3468"/>
      <c r="JZX28" s="3468"/>
      <c r="JZY28" s="3468"/>
      <c r="JZZ28" s="3468"/>
      <c r="KAA28" s="3468"/>
      <c r="KAB28" s="3468"/>
      <c r="KAC28" s="3468"/>
      <c r="KAD28" s="3468"/>
      <c r="KAE28" s="3468"/>
      <c r="KAF28" s="3468"/>
      <c r="KAG28" s="3468"/>
      <c r="KAH28" s="3468"/>
      <c r="KAI28" s="3468"/>
      <c r="KAJ28" s="3468"/>
      <c r="KAK28" s="3468"/>
      <c r="KAL28" s="3468"/>
      <c r="KAM28" s="3468"/>
      <c r="KAN28" s="3468"/>
      <c r="KAO28" s="3468"/>
      <c r="KAP28" s="3468"/>
      <c r="KAQ28" s="3468"/>
      <c r="KAR28" s="3468"/>
      <c r="KAS28" s="3468"/>
      <c r="KAT28" s="3468"/>
      <c r="KAU28" s="3468"/>
      <c r="KAV28" s="3468"/>
      <c r="KAW28" s="3468"/>
      <c r="KAX28" s="3468"/>
      <c r="KAY28" s="3468"/>
      <c r="KAZ28" s="3468"/>
      <c r="KBA28" s="3468"/>
      <c r="KBB28" s="3468"/>
      <c r="KBC28" s="3468"/>
      <c r="KBD28" s="3468"/>
      <c r="KBE28" s="3468"/>
      <c r="KBF28" s="3468"/>
      <c r="KBG28" s="3468"/>
      <c r="KBH28" s="3468"/>
      <c r="KBI28" s="3468"/>
      <c r="KBJ28" s="3468"/>
      <c r="KBK28" s="3468"/>
      <c r="KBL28" s="3468"/>
      <c r="KBM28" s="3468"/>
      <c r="KBN28" s="3468"/>
      <c r="KBO28" s="3468"/>
      <c r="KBP28" s="3468"/>
      <c r="KBQ28" s="3468"/>
      <c r="KBR28" s="3468"/>
      <c r="KBS28" s="3468"/>
      <c r="KBT28" s="3468"/>
      <c r="KBU28" s="3468"/>
      <c r="KBV28" s="3468"/>
      <c r="KBW28" s="3468"/>
      <c r="KBX28" s="3468"/>
      <c r="KBY28" s="3468"/>
      <c r="KBZ28" s="3468"/>
      <c r="KCA28" s="3468"/>
      <c r="KCB28" s="3468"/>
      <c r="KCC28" s="3468"/>
      <c r="KCD28" s="3468"/>
      <c r="KCE28" s="3468"/>
      <c r="KCF28" s="3468"/>
      <c r="KCG28" s="3468"/>
      <c r="KCH28" s="3468"/>
      <c r="KCI28" s="3468"/>
      <c r="KCJ28" s="3468"/>
      <c r="KCK28" s="3468"/>
      <c r="KCL28" s="3468"/>
      <c r="KCM28" s="3468"/>
      <c r="KCN28" s="3468"/>
      <c r="KCO28" s="3468"/>
      <c r="KCP28" s="3468"/>
      <c r="KCQ28" s="3468"/>
      <c r="KCR28" s="3468"/>
      <c r="KCS28" s="3468"/>
      <c r="KCT28" s="3468"/>
      <c r="KCU28" s="3468"/>
      <c r="KCV28" s="3468"/>
      <c r="KCW28" s="3468"/>
      <c r="KCX28" s="3468"/>
      <c r="KCY28" s="3468"/>
      <c r="KCZ28" s="3468"/>
      <c r="KDA28" s="3468"/>
      <c r="KDB28" s="3468"/>
      <c r="KDC28" s="3468"/>
      <c r="KDD28" s="3468"/>
      <c r="KDE28" s="3468"/>
      <c r="KDF28" s="3468"/>
      <c r="KDG28" s="3468"/>
      <c r="KDH28" s="3468"/>
      <c r="KDI28" s="3468"/>
      <c r="KDJ28" s="3468"/>
      <c r="KDK28" s="3468"/>
      <c r="KDL28" s="3468"/>
      <c r="KDM28" s="3468"/>
      <c r="KDN28" s="3468"/>
      <c r="KDO28" s="3468"/>
      <c r="KDP28" s="3468"/>
      <c r="KDQ28" s="3468"/>
      <c r="KDR28" s="3468"/>
      <c r="KDS28" s="3468"/>
      <c r="KDT28" s="3468"/>
      <c r="KDU28" s="3468"/>
      <c r="KDV28" s="3468"/>
      <c r="KDW28" s="3468"/>
      <c r="KDX28" s="3468"/>
      <c r="KDY28" s="3468"/>
      <c r="KDZ28" s="3468"/>
      <c r="KEA28" s="3468"/>
      <c r="KEB28" s="3468"/>
      <c r="KEC28" s="3468"/>
      <c r="KED28" s="3468"/>
      <c r="KEE28" s="3468"/>
      <c r="KEF28" s="3468"/>
      <c r="KEG28" s="3468"/>
      <c r="KEH28" s="3468"/>
      <c r="KEI28" s="3468"/>
      <c r="KEJ28" s="3468"/>
      <c r="KEK28" s="3468"/>
      <c r="KEL28" s="3468"/>
      <c r="KEM28" s="3468"/>
      <c r="KEN28" s="3468"/>
      <c r="KEO28" s="3468"/>
      <c r="KEP28" s="3468"/>
      <c r="KEQ28" s="3468"/>
      <c r="KER28" s="3468"/>
      <c r="KES28" s="3468"/>
      <c r="KET28" s="3468"/>
      <c r="KEU28" s="3468"/>
      <c r="KEV28" s="3468"/>
      <c r="KEW28" s="3468"/>
      <c r="KEX28" s="3468"/>
      <c r="KEY28" s="3468"/>
      <c r="KEZ28" s="3468"/>
      <c r="KFA28" s="3468"/>
      <c r="KFB28" s="3468"/>
      <c r="KFC28" s="3468"/>
      <c r="KFD28" s="3468"/>
      <c r="KFE28" s="3468"/>
      <c r="KFF28" s="3468"/>
      <c r="KFG28" s="3468"/>
      <c r="KFH28" s="3468"/>
      <c r="KFI28" s="3468"/>
      <c r="KFJ28" s="3468"/>
      <c r="KFK28" s="3468"/>
      <c r="KFL28" s="3468"/>
      <c r="KFM28" s="3468"/>
      <c r="KFN28" s="3468"/>
      <c r="KFO28" s="3468"/>
      <c r="KFP28" s="3468"/>
      <c r="KFQ28" s="3468"/>
      <c r="KFR28" s="3468"/>
      <c r="KFS28" s="3468"/>
      <c r="KFT28" s="3468"/>
      <c r="KFU28" s="3468"/>
      <c r="KFV28" s="3468"/>
      <c r="KFW28" s="3468"/>
      <c r="KFX28" s="3468"/>
      <c r="KFY28" s="3468"/>
      <c r="KFZ28" s="3468"/>
      <c r="KGA28" s="3468"/>
      <c r="KGB28" s="3468"/>
      <c r="KGC28" s="3468"/>
      <c r="KGD28" s="3468"/>
      <c r="KGE28" s="3468"/>
      <c r="KGF28" s="3468"/>
      <c r="KGG28" s="3468"/>
      <c r="KGH28" s="3468"/>
      <c r="KGI28" s="3468"/>
      <c r="KGJ28" s="3468"/>
      <c r="KGK28" s="3468"/>
      <c r="KGL28" s="3468"/>
      <c r="KGM28" s="3468"/>
      <c r="KGN28" s="3468"/>
      <c r="KGO28" s="3468"/>
      <c r="KGP28" s="3468"/>
      <c r="KGQ28" s="3468"/>
      <c r="KGR28" s="3468"/>
      <c r="KGS28" s="3468"/>
      <c r="KGT28" s="3468"/>
      <c r="KGU28" s="3468"/>
      <c r="KGV28" s="3468"/>
      <c r="KGW28" s="3468"/>
      <c r="KGX28" s="3468"/>
      <c r="KGY28" s="3468"/>
      <c r="KGZ28" s="3468"/>
      <c r="KHA28" s="3468"/>
      <c r="KHB28" s="3468"/>
      <c r="KHC28" s="3468"/>
      <c r="KHD28" s="3468"/>
      <c r="KHE28" s="3468"/>
      <c r="KHF28" s="3468"/>
      <c r="KHG28" s="3468"/>
      <c r="KHH28" s="3468"/>
      <c r="KHI28" s="3468"/>
      <c r="KHJ28" s="3468"/>
      <c r="KHK28" s="3468"/>
      <c r="KHL28" s="3468"/>
      <c r="KHM28" s="3468"/>
      <c r="KHN28" s="3468"/>
      <c r="KHO28" s="3468"/>
      <c r="KHP28" s="3468"/>
      <c r="KHQ28" s="3468"/>
      <c r="KHR28" s="3468"/>
      <c r="KHS28" s="3468"/>
      <c r="KHT28" s="3468"/>
      <c r="KHU28" s="3468"/>
      <c r="KHV28" s="3468"/>
      <c r="KHW28" s="3468"/>
      <c r="KHX28" s="3468"/>
      <c r="KHY28" s="3468"/>
      <c r="KHZ28" s="3468"/>
      <c r="KIA28" s="3468"/>
      <c r="KIB28" s="3468"/>
      <c r="KIC28" s="3468"/>
      <c r="KID28" s="3468"/>
      <c r="KIE28" s="3468"/>
      <c r="KIF28" s="3468"/>
      <c r="KIG28" s="3468"/>
      <c r="KIH28" s="3468"/>
      <c r="KII28" s="3468"/>
      <c r="KIJ28" s="3468"/>
      <c r="KIK28" s="3468"/>
      <c r="KIL28" s="3468"/>
      <c r="KIM28" s="3468"/>
      <c r="KIN28" s="3468"/>
      <c r="KIO28" s="3468"/>
      <c r="KIP28" s="3468"/>
      <c r="KIQ28" s="3468"/>
      <c r="KIR28" s="3468"/>
      <c r="KIS28" s="3468"/>
      <c r="KIT28" s="3468"/>
      <c r="KIU28" s="3468"/>
      <c r="KIV28" s="3468"/>
      <c r="KIW28" s="3468"/>
      <c r="KIX28" s="3468"/>
      <c r="KIY28" s="3468"/>
      <c r="KIZ28" s="3468"/>
      <c r="KJA28" s="3468"/>
      <c r="KJB28" s="3468"/>
      <c r="KJC28" s="3468"/>
      <c r="KJD28" s="3468"/>
      <c r="KJE28" s="3468"/>
      <c r="KJF28" s="3468"/>
      <c r="KJG28" s="3468"/>
      <c r="KJH28" s="3468"/>
      <c r="KJI28" s="3468"/>
      <c r="KJJ28" s="3468"/>
      <c r="KJK28" s="3468"/>
      <c r="KJL28" s="3468"/>
      <c r="KJM28" s="3468"/>
      <c r="KJN28" s="3468"/>
      <c r="KJO28" s="3468"/>
      <c r="KJP28" s="3468"/>
      <c r="KJQ28" s="3468"/>
      <c r="KJR28" s="3468"/>
      <c r="KJS28" s="3468"/>
      <c r="KJT28" s="3468"/>
      <c r="KJU28" s="3468"/>
      <c r="KJV28" s="3468"/>
      <c r="KJW28" s="3468"/>
      <c r="KJX28" s="3468"/>
      <c r="KJY28" s="3468"/>
      <c r="KJZ28" s="3468"/>
      <c r="KKA28" s="3468"/>
      <c r="KKB28" s="3468"/>
      <c r="KKC28" s="3468"/>
      <c r="KKD28" s="3468"/>
      <c r="KKE28" s="3468"/>
      <c r="KKF28" s="3468"/>
      <c r="KKG28" s="3468"/>
      <c r="KKH28" s="3468"/>
      <c r="KKI28" s="3468"/>
      <c r="KKJ28" s="3468"/>
      <c r="KKK28" s="3468"/>
      <c r="KKL28" s="3468"/>
      <c r="KKM28" s="3468"/>
      <c r="KKN28" s="3468"/>
      <c r="KKO28" s="3468"/>
      <c r="KKP28" s="3468"/>
      <c r="KKQ28" s="3468"/>
      <c r="KKR28" s="3468"/>
      <c r="KKS28" s="3468"/>
      <c r="KKT28" s="3468"/>
      <c r="KKU28" s="3468"/>
      <c r="KKV28" s="3468"/>
      <c r="KKW28" s="3468"/>
      <c r="KKX28" s="3468"/>
      <c r="KKY28" s="3468"/>
      <c r="KKZ28" s="3468"/>
      <c r="KLA28" s="3468"/>
      <c r="KLB28" s="3468"/>
      <c r="KLC28" s="3468"/>
      <c r="KLD28" s="3468"/>
      <c r="KLE28" s="3468"/>
      <c r="KLF28" s="3468"/>
      <c r="KLG28" s="3468"/>
      <c r="KLH28" s="3468"/>
      <c r="KLI28" s="3468"/>
      <c r="KLJ28" s="3468"/>
      <c r="KLK28" s="3468"/>
      <c r="KLL28" s="3468"/>
      <c r="KLM28" s="3468"/>
      <c r="KLN28" s="3468"/>
      <c r="KLO28" s="3468"/>
      <c r="KLP28" s="3468"/>
      <c r="KLQ28" s="3468"/>
      <c r="KLR28" s="3468"/>
      <c r="KLS28" s="3468"/>
      <c r="KLT28" s="3468"/>
      <c r="KLU28" s="3468"/>
      <c r="KLV28" s="3468"/>
      <c r="KLW28" s="3468"/>
      <c r="KLX28" s="3468"/>
      <c r="KLY28" s="3468"/>
      <c r="KLZ28" s="3468"/>
      <c r="KMA28" s="3468"/>
      <c r="KMB28" s="3468"/>
      <c r="KMC28" s="3468"/>
      <c r="KMD28" s="3468"/>
      <c r="KME28" s="3468"/>
      <c r="KMF28" s="3468"/>
      <c r="KMG28" s="3468"/>
      <c r="KMH28" s="3468"/>
      <c r="KMI28" s="3468"/>
      <c r="KMJ28" s="3468"/>
      <c r="KMK28" s="3468"/>
      <c r="KML28" s="3468"/>
      <c r="KMM28" s="3468"/>
      <c r="KMN28" s="3468"/>
      <c r="KMO28" s="3468"/>
      <c r="KMP28" s="3468"/>
      <c r="KMQ28" s="3468"/>
      <c r="KMR28" s="3468"/>
      <c r="KMS28" s="3468"/>
      <c r="KMT28" s="3468"/>
      <c r="KMU28" s="3468"/>
      <c r="KMV28" s="3468"/>
      <c r="KMW28" s="3468"/>
      <c r="KMX28" s="3468"/>
      <c r="KMY28" s="3468"/>
      <c r="KMZ28" s="3468"/>
      <c r="KNA28" s="3468"/>
      <c r="KNB28" s="3468"/>
      <c r="KNC28" s="3468"/>
      <c r="KND28" s="3468"/>
      <c r="KNE28" s="3468"/>
      <c r="KNF28" s="3468"/>
      <c r="KNG28" s="3468"/>
      <c r="KNH28" s="3468"/>
      <c r="KNI28" s="3468"/>
      <c r="KNJ28" s="3468"/>
      <c r="KNK28" s="3468"/>
      <c r="KNL28" s="3468"/>
      <c r="KNM28" s="3468"/>
      <c r="KNN28" s="3468"/>
      <c r="KNO28" s="3468"/>
      <c r="KNP28" s="3468"/>
      <c r="KNQ28" s="3468"/>
      <c r="KNR28" s="3468"/>
      <c r="KNS28" s="3468"/>
      <c r="KNT28" s="3468"/>
      <c r="KNU28" s="3468"/>
      <c r="KNV28" s="3468"/>
      <c r="KNW28" s="3468"/>
      <c r="KNX28" s="3468"/>
      <c r="KNY28" s="3468"/>
      <c r="KNZ28" s="3468"/>
      <c r="KOA28" s="3468"/>
      <c r="KOB28" s="3468"/>
      <c r="KOC28" s="3468"/>
      <c r="KOD28" s="3468"/>
      <c r="KOE28" s="3468"/>
      <c r="KOF28" s="3468"/>
      <c r="KOG28" s="3468"/>
      <c r="KOH28" s="3468"/>
      <c r="KOI28" s="3468"/>
      <c r="KOJ28" s="3468"/>
      <c r="KOK28" s="3468"/>
      <c r="KOL28" s="3468"/>
      <c r="KOM28" s="3468"/>
      <c r="KON28" s="3468"/>
      <c r="KOO28" s="3468"/>
      <c r="KOP28" s="3468"/>
      <c r="KOQ28" s="3468"/>
      <c r="KOR28" s="3468"/>
      <c r="KOS28" s="3468"/>
      <c r="KOT28" s="3468"/>
      <c r="KOU28" s="3468"/>
      <c r="KOV28" s="3468"/>
      <c r="KOW28" s="3468"/>
      <c r="KOX28" s="3468"/>
      <c r="KOY28" s="3468"/>
      <c r="KOZ28" s="3468"/>
      <c r="KPA28" s="3468"/>
      <c r="KPB28" s="3468"/>
      <c r="KPC28" s="3468"/>
      <c r="KPD28" s="3468"/>
      <c r="KPE28" s="3468"/>
      <c r="KPF28" s="3468"/>
      <c r="KPG28" s="3468"/>
      <c r="KPH28" s="3468"/>
      <c r="KPI28" s="3468"/>
      <c r="KPJ28" s="3468"/>
      <c r="KPK28" s="3468"/>
      <c r="KPL28" s="3468"/>
      <c r="KPM28" s="3468"/>
      <c r="KPN28" s="3468"/>
      <c r="KPO28" s="3468"/>
      <c r="KPP28" s="3468"/>
      <c r="KPQ28" s="3468"/>
      <c r="KPR28" s="3468"/>
      <c r="KPS28" s="3468"/>
      <c r="KPT28" s="3468"/>
      <c r="KPU28" s="3468"/>
      <c r="KPV28" s="3468"/>
      <c r="KPW28" s="3468"/>
      <c r="KPX28" s="3468"/>
      <c r="KPY28" s="3468"/>
      <c r="KPZ28" s="3468"/>
      <c r="KQA28" s="3468"/>
      <c r="KQB28" s="3468"/>
      <c r="KQC28" s="3468"/>
      <c r="KQD28" s="3468"/>
      <c r="KQE28" s="3468"/>
      <c r="KQF28" s="3468"/>
      <c r="KQG28" s="3468"/>
      <c r="KQH28" s="3468"/>
      <c r="KQI28" s="3468"/>
      <c r="KQJ28" s="3468"/>
      <c r="KQK28" s="3468"/>
      <c r="KQL28" s="3468"/>
      <c r="KQM28" s="3468"/>
      <c r="KQN28" s="3468"/>
      <c r="KQO28" s="3468"/>
      <c r="KQP28" s="3468"/>
      <c r="KQQ28" s="3468"/>
      <c r="KQR28" s="3468"/>
      <c r="KQS28" s="3468"/>
      <c r="KQT28" s="3468"/>
      <c r="KQU28" s="3468"/>
      <c r="KQV28" s="3468"/>
      <c r="KQW28" s="3468"/>
      <c r="KQX28" s="3468"/>
      <c r="KQY28" s="3468"/>
      <c r="KQZ28" s="3468"/>
      <c r="KRA28" s="3468"/>
      <c r="KRB28" s="3468"/>
      <c r="KRC28" s="3468"/>
      <c r="KRD28" s="3468"/>
      <c r="KRE28" s="3468"/>
      <c r="KRF28" s="3468"/>
      <c r="KRG28" s="3468"/>
      <c r="KRH28" s="3468"/>
      <c r="KRI28" s="3468"/>
      <c r="KRJ28" s="3468"/>
      <c r="KRK28" s="3468"/>
      <c r="KRL28" s="3468"/>
      <c r="KRM28" s="3468"/>
      <c r="KRN28" s="3468"/>
      <c r="KRO28" s="3468"/>
      <c r="KRP28" s="3468"/>
      <c r="KRQ28" s="3468"/>
      <c r="KRR28" s="3468"/>
      <c r="KRS28" s="3468"/>
      <c r="KRT28" s="3468"/>
      <c r="KRU28" s="3468"/>
      <c r="KRV28" s="3468"/>
      <c r="KRW28" s="3468"/>
      <c r="KRX28" s="3468"/>
      <c r="KRY28" s="3468"/>
      <c r="KRZ28" s="3468"/>
      <c r="KSA28" s="3468"/>
      <c r="KSB28" s="3468"/>
      <c r="KSC28" s="3468"/>
      <c r="KSD28" s="3468"/>
      <c r="KSE28" s="3468"/>
      <c r="KSF28" s="3468"/>
      <c r="KSG28" s="3468"/>
      <c r="KSH28" s="3468"/>
      <c r="KSI28" s="3468"/>
      <c r="KSJ28" s="3468"/>
      <c r="KSK28" s="3468"/>
      <c r="KSL28" s="3468"/>
      <c r="KSM28" s="3468"/>
      <c r="KSN28" s="3468"/>
      <c r="KSO28" s="3468"/>
      <c r="KSP28" s="3468"/>
      <c r="KSQ28" s="3468"/>
      <c r="KSR28" s="3468"/>
      <c r="KSS28" s="3468"/>
      <c r="KST28" s="3468"/>
      <c r="KSU28" s="3468"/>
      <c r="KSV28" s="3468"/>
      <c r="KSW28" s="3468"/>
      <c r="KSX28" s="3468"/>
      <c r="KSY28" s="3468"/>
      <c r="KSZ28" s="3468"/>
      <c r="KTA28" s="3468"/>
      <c r="KTB28" s="3468"/>
      <c r="KTC28" s="3468"/>
      <c r="KTD28" s="3468"/>
      <c r="KTE28" s="3468"/>
      <c r="KTF28" s="3468"/>
      <c r="KTG28" s="3468"/>
      <c r="KTH28" s="3468"/>
      <c r="KTI28" s="3468"/>
      <c r="KTJ28" s="3468"/>
      <c r="KTK28" s="3468"/>
      <c r="KTL28" s="3468"/>
      <c r="KTM28" s="3468"/>
      <c r="KTN28" s="3468"/>
      <c r="KTO28" s="3468"/>
      <c r="KTP28" s="3468"/>
      <c r="KTQ28" s="3468"/>
      <c r="KTR28" s="3468"/>
      <c r="KTS28" s="3468"/>
      <c r="KTT28" s="3468"/>
      <c r="KTU28" s="3468"/>
      <c r="KTV28" s="3468"/>
      <c r="KTW28" s="3468"/>
      <c r="KTX28" s="3468"/>
      <c r="KTY28" s="3468"/>
      <c r="KTZ28" s="3468"/>
      <c r="KUA28" s="3468"/>
      <c r="KUB28" s="3468"/>
      <c r="KUC28" s="3468"/>
      <c r="KUD28" s="3468"/>
      <c r="KUE28" s="3468"/>
      <c r="KUF28" s="3468"/>
      <c r="KUG28" s="3468"/>
      <c r="KUH28" s="3468"/>
      <c r="KUI28" s="3468"/>
      <c r="KUJ28" s="3468"/>
      <c r="KUK28" s="3468"/>
      <c r="KUL28" s="3468"/>
      <c r="KUM28" s="3468"/>
      <c r="KUN28" s="3468"/>
      <c r="KUO28" s="3468"/>
      <c r="KUP28" s="3468"/>
      <c r="KUQ28" s="3468"/>
      <c r="KUR28" s="3468"/>
      <c r="KUS28" s="3468"/>
      <c r="KUT28" s="3468"/>
      <c r="KUU28" s="3468"/>
      <c r="KUV28" s="3468"/>
      <c r="KUW28" s="3468"/>
      <c r="KUX28" s="3468"/>
      <c r="KUY28" s="3468"/>
      <c r="KUZ28" s="3468"/>
      <c r="KVA28" s="3468"/>
      <c r="KVB28" s="3468"/>
      <c r="KVC28" s="3468"/>
      <c r="KVD28" s="3468"/>
      <c r="KVE28" s="3468"/>
      <c r="KVF28" s="3468"/>
      <c r="KVG28" s="3468"/>
      <c r="KVH28" s="3468"/>
      <c r="KVI28" s="3468"/>
      <c r="KVJ28" s="3468"/>
      <c r="KVK28" s="3468"/>
      <c r="KVL28" s="3468"/>
      <c r="KVM28" s="3468"/>
      <c r="KVN28" s="3468"/>
      <c r="KVO28" s="3468"/>
      <c r="KVP28" s="3468"/>
      <c r="KVQ28" s="3468"/>
      <c r="KVR28" s="3468"/>
      <c r="KVS28" s="3468"/>
      <c r="KVT28" s="3468"/>
      <c r="KVU28" s="3468"/>
      <c r="KVV28" s="3468"/>
      <c r="KVW28" s="3468"/>
      <c r="KVX28" s="3468"/>
      <c r="KVY28" s="3468"/>
      <c r="KVZ28" s="3468"/>
      <c r="KWA28" s="3468"/>
      <c r="KWB28" s="3468"/>
      <c r="KWC28" s="3468"/>
      <c r="KWD28" s="3468"/>
      <c r="KWE28" s="3468"/>
      <c r="KWF28" s="3468"/>
      <c r="KWG28" s="3468"/>
      <c r="KWH28" s="3468"/>
      <c r="KWI28" s="3468"/>
      <c r="KWJ28" s="3468"/>
      <c r="KWK28" s="3468"/>
      <c r="KWL28" s="3468"/>
      <c r="KWM28" s="3468"/>
      <c r="KWN28" s="3468"/>
      <c r="KWO28" s="3468"/>
      <c r="KWP28" s="3468"/>
      <c r="KWQ28" s="3468"/>
      <c r="KWR28" s="3468"/>
      <c r="KWS28" s="3468"/>
      <c r="KWT28" s="3468"/>
      <c r="KWU28" s="3468"/>
      <c r="KWV28" s="3468"/>
      <c r="KWW28" s="3468"/>
      <c r="KWX28" s="3468"/>
      <c r="KWY28" s="3468"/>
      <c r="KWZ28" s="3468"/>
      <c r="KXA28" s="3468"/>
      <c r="KXB28" s="3468"/>
      <c r="KXC28" s="3468"/>
      <c r="KXD28" s="3468"/>
      <c r="KXE28" s="3468"/>
      <c r="KXF28" s="3468"/>
      <c r="KXG28" s="3468"/>
      <c r="KXH28" s="3468"/>
      <c r="KXI28" s="3468"/>
      <c r="KXJ28" s="3468"/>
      <c r="KXK28" s="3468"/>
      <c r="KXL28" s="3468"/>
      <c r="KXM28" s="3468"/>
      <c r="KXN28" s="3468"/>
      <c r="KXO28" s="3468"/>
      <c r="KXP28" s="3468"/>
      <c r="KXQ28" s="3468"/>
      <c r="KXR28" s="3468"/>
      <c r="KXS28" s="3468"/>
      <c r="KXT28" s="3468"/>
      <c r="KXU28" s="3468"/>
      <c r="KXV28" s="3468"/>
      <c r="KXW28" s="3468"/>
      <c r="KXX28" s="3468"/>
      <c r="KXY28" s="3468"/>
      <c r="KXZ28" s="3468"/>
      <c r="KYA28" s="3468"/>
      <c r="KYB28" s="3468"/>
      <c r="KYC28" s="3468"/>
      <c r="KYD28" s="3468"/>
      <c r="KYE28" s="3468"/>
      <c r="KYF28" s="3468"/>
      <c r="KYG28" s="3468"/>
      <c r="KYH28" s="3468"/>
      <c r="KYI28" s="3468"/>
      <c r="KYJ28" s="3468"/>
      <c r="KYK28" s="3468"/>
      <c r="KYL28" s="3468"/>
      <c r="KYM28" s="3468"/>
      <c r="KYN28" s="3468"/>
      <c r="KYO28" s="3468"/>
      <c r="KYP28" s="3468"/>
      <c r="KYQ28" s="3468"/>
      <c r="KYR28" s="3468"/>
      <c r="KYS28" s="3468"/>
      <c r="KYT28" s="3468"/>
      <c r="KYU28" s="3468"/>
      <c r="KYV28" s="3468"/>
      <c r="KYW28" s="3468"/>
      <c r="KYX28" s="3468"/>
      <c r="KYY28" s="3468"/>
      <c r="KYZ28" s="3468"/>
      <c r="KZA28" s="3468"/>
      <c r="KZB28" s="3468"/>
      <c r="KZC28" s="3468"/>
      <c r="KZD28" s="3468"/>
      <c r="KZE28" s="3468"/>
      <c r="KZF28" s="3468"/>
      <c r="KZG28" s="3468"/>
      <c r="KZH28" s="3468"/>
      <c r="KZI28" s="3468"/>
      <c r="KZJ28" s="3468"/>
      <c r="KZK28" s="3468"/>
      <c r="KZL28" s="3468"/>
      <c r="KZM28" s="3468"/>
      <c r="KZN28" s="3468"/>
      <c r="KZO28" s="3468"/>
      <c r="KZP28" s="3468"/>
      <c r="KZQ28" s="3468"/>
      <c r="KZR28" s="3468"/>
      <c r="KZS28" s="3468"/>
      <c r="KZT28" s="3468"/>
      <c r="KZU28" s="3468"/>
      <c r="KZV28" s="3468"/>
      <c r="KZW28" s="3468"/>
      <c r="KZX28" s="3468"/>
      <c r="KZY28" s="3468"/>
      <c r="KZZ28" s="3468"/>
      <c r="LAA28" s="3468"/>
      <c r="LAB28" s="3468"/>
      <c r="LAC28" s="3468"/>
      <c r="LAD28" s="3468"/>
      <c r="LAE28" s="3468"/>
      <c r="LAF28" s="3468"/>
      <c r="LAG28" s="3468"/>
      <c r="LAH28" s="3468"/>
      <c r="LAI28" s="3468"/>
      <c r="LAJ28" s="3468"/>
      <c r="LAK28" s="3468"/>
      <c r="LAL28" s="3468"/>
      <c r="LAM28" s="3468"/>
      <c r="LAN28" s="3468"/>
      <c r="LAO28" s="3468"/>
      <c r="LAP28" s="3468"/>
      <c r="LAQ28" s="3468"/>
      <c r="LAR28" s="3468"/>
      <c r="LAS28" s="3468"/>
      <c r="LAT28" s="3468"/>
      <c r="LAU28" s="3468"/>
      <c r="LAV28" s="3468"/>
      <c r="LAW28" s="3468"/>
      <c r="LAX28" s="3468"/>
      <c r="LAY28" s="3468"/>
      <c r="LAZ28" s="3468"/>
      <c r="LBA28" s="3468"/>
      <c r="LBB28" s="3468"/>
      <c r="LBC28" s="3468"/>
      <c r="LBD28" s="3468"/>
      <c r="LBE28" s="3468"/>
      <c r="LBF28" s="3468"/>
      <c r="LBG28" s="3468"/>
      <c r="LBH28" s="3468"/>
      <c r="LBI28" s="3468"/>
      <c r="LBJ28" s="3468"/>
      <c r="LBK28" s="3468"/>
      <c r="LBL28" s="3468"/>
      <c r="LBM28" s="3468"/>
      <c r="LBN28" s="3468"/>
      <c r="LBO28" s="3468"/>
      <c r="LBP28" s="3468"/>
      <c r="LBQ28" s="3468"/>
      <c r="LBR28" s="3468"/>
      <c r="LBS28" s="3468"/>
      <c r="LBT28" s="3468"/>
      <c r="LBU28" s="3468"/>
      <c r="LBV28" s="3468"/>
      <c r="LBW28" s="3468"/>
      <c r="LBX28" s="3468"/>
      <c r="LBY28" s="3468"/>
      <c r="LBZ28" s="3468"/>
      <c r="LCA28" s="3468"/>
      <c r="LCB28" s="3468"/>
      <c r="LCC28" s="3468"/>
      <c r="LCD28" s="3468"/>
      <c r="LCE28" s="3468"/>
      <c r="LCF28" s="3468"/>
      <c r="LCG28" s="3468"/>
      <c r="LCH28" s="3468"/>
      <c r="LCI28" s="3468"/>
      <c r="LCJ28" s="3468"/>
      <c r="LCK28" s="3468"/>
      <c r="LCL28" s="3468"/>
      <c r="LCM28" s="3468"/>
      <c r="LCN28" s="3468"/>
      <c r="LCO28" s="3468"/>
      <c r="LCP28" s="3468"/>
      <c r="LCQ28" s="3468"/>
      <c r="LCR28" s="3468"/>
      <c r="LCS28" s="3468"/>
      <c r="LCT28" s="3468"/>
      <c r="LCU28" s="3468"/>
      <c r="LCV28" s="3468"/>
      <c r="LCW28" s="3468"/>
      <c r="LCX28" s="3468"/>
      <c r="LCY28" s="3468"/>
      <c r="LCZ28" s="3468"/>
      <c r="LDA28" s="3468"/>
      <c r="LDB28" s="3468"/>
      <c r="LDC28" s="3468"/>
      <c r="LDD28" s="3468"/>
      <c r="LDE28" s="3468"/>
      <c r="LDF28" s="3468"/>
      <c r="LDG28" s="3468"/>
      <c r="LDH28" s="3468"/>
      <c r="LDI28" s="3468"/>
      <c r="LDJ28" s="3468"/>
      <c r="LDK28" s="3468"/>
      <c r="LDL28" s="3468"/>
      <c r="LDM28" s="3468"/>
      <c r="LDN28" s="3468"/>
      <c r="LDO28" s="3468"/>
      <c r="LDP28" s="3468"/>
      <c r="LDQ28" s="3468"/>
      <c r="LDR28" s="3468"/>
      <c r="LDS28" s="3468"/>
      <c r="LDT28" s="3468"/>
      <c r="LDU28" s="3468"/>
      <c r="LDV28" s="3468"/>
      <c r="LDW28" s="3468"/>
      <c r="LDX28" s="3468"/>
      <c r="LDY28" s="3468"/>
      <c r="LDZ28" s="3468"/>
      <c r="LEA28" s="3468"/>
      <c r="LEB28" s="3468"/>
      <c r="LEC28" s="3468"/>
      <c r="LED28" s="3468"/>
      <c r="LEE28" s="3468"/>
      <c r="LEF28" s="3468"/>
      <c r="LEG28" s="3468"/>
      <c r="LEH28" s="3468"/>
      <c r="LEI28" s="3468"/>
      <c r="LEJ28" s="3468"/>
      <c r="LEK28" s="3468"/>
      <c r="LEL28" s="3468"/>
      <c r="LEM28" s="3468"/>
      <c r="LEN28" s="3468"/>
      <c r="LEO28" s="3468"/>
      <c r="LEP28" s="3468"/>
      <c r="LEQ28" s="3468"/>
      <c r="LER28" s="3468"/>
      <c r="LES28" s="3468"/>
      <c r="LET28" s="3468"/>
      <c r="LEU28" s="3468"/>
      <c r="LEV28" s="3468"/>
      <c r="LEW28" s="3468"/>
      <c r="LEX28" s="3468"/>
      <c r="LEY28" s="3468"/>
      <c r="LEZ28" s="3468"/>
      <c r="LFA28" s="3468"/>
      <c r="LFB28" s="3468"/>
      <c r="LFC28" s="3468"/>
      <c r="LFD28" s="3468"/>
      <c r="LFE28" s="3468"/>
      <c r="LFF28" s="3468"/>
      <c r="LFG28" s="3468"/>
      <c r="LFH28" s="3468"/>
      <c r="LFI28" s="3468"/>
      <c r="LFJ28" s="3468"/>
      <c r="LFK28" s="3468"/>
      <c r="LFL28" s="3468"/>
      <c r="LFM28" s="3468"/>
      <c r="LFN28" s="3468"/>
      <c r="LFO28" s="3468"/>
      <c r="LFP28" s="3468"/>
      <c r="LFQ28" s="3468"/>
      <c r="LFR28" s="3468"/>
      <c r="LFS28" s="3468"/>
      <c r="LFT28" s="3468"/>
      <c r="LFU28" s="3468"/>
      <c r="LFV28" s="3468"/>
      <c r="LFW28" s="3468"/>
      <c r="LFX28" s="3468"/>
      <c r="LFY28" s="3468"/>
      <c r="LFZ28" s="3468"/>
      <c r="LGA28" s="3468"/>
      <c r="LGB28" s="3468"/>
      <c r="LGC28" s="3468"/>
      <c r="LGD28" s="3468"/>
      <c r="LGE28" s="3468"/>
      <c r="LGF28" s="3468"/>
      <c r="LGG28" s="3468"/>
      <c r="LGH28" s="3468"/>
      <c r="LGI28" s="3468"/>
      <c r="LGJ28" s="3468"/>
      <c r="LGK28" s="3468"/>
      <c r="LGL28" s="3468"/>
      <c r="LGM28" s="3468"/>
      <c r="LGN28" s="3468"/>
      <c r="LGO28" s="3468"/>
      <c r="LGP28" s="3468"/>
      <c r="LGQ28" s="3468"/>
      <c r="LGR28" s="3468"/>
      <c r="LGS28" s="3468"/>
      <c r="LGT28" s="3468"/>
      <c r="LGU28" s="3468"/>
      <c r="LGV28" s="3468"/>
      <c r="LGW28" s="3468"/>
      <c r="LGX28" s="3468"/>
      <c r="LGY28" s="3468"/>
      <c r="LGZ28" s="3468"/>
      <c r="LHA28" s="3468"/>
      <c r="LHB28" s="3468"/>
      <c r="LHC28" s="3468"/>
      <c r="LHD28" s="3468"/>
      <c r="LHE28" s="3468"/>
      <c r="LHF28" s="3468"/>
      <c r="LHG28" s="3468"/>
      <c r="LHH28" s="3468"/>
      <c r="LHI28" s="3468"/>
      <c r="LHJ28" s="3468"/>
      <c r="LHK28" s="3468"/>
      <c r="LHL28" s="3468"/>
      <c r="LHM28" s="3468"/>
      <c r="LHN28" s="3468"/>
      <c r="LHO28" s="3468"/>
      <c r="LHP28" s="3468"/>
      <c r="LHQ28" s="3468"/>
      <c r="LHR28" s="3468"/>
      <c r="LHS28" s="3468"/>
      <c r="LHT28" s="3468"/>
      <c r="LHU28" s="3468"/>
      <c r="LHV28" s="3468"/>
      <c r="LHW28" s="3468"/>
      <c r="LHX28" s="3468"/>
      <c r="LHY28" s="3468"/>
      <c r="LHZ28" s="3468"/>
      <c r="LIA28" s="3468"/>
      <c r="LIB28" s="3468"/>
      <c r="LIC28" s="3468"/>
      <c r="LID28" s="3468"/>
      <c r="LIE28" s="3468"/>
      <c r="LIF28" s="3468"/>
      <c r="LIG28" s="3468"/>
      <c r="LIH28" s="3468"/>
      <c r="LII28" s="3468"/>
      <c r="LIJ28" s="3468"/>
      <c r="LIK28" s="3468"/>
      <c r="LIL28" s="3468"/>
      <c r="LIM28" s="3468"/>
      <c r="LIN28" s="3468"/>
      <c r="LIO28" s="3468"/>
      <c r="LIP28" s="3468"/>
      <c r="LIQ28" s="3468"/>
      <c r="LIR28" s="3468"/>
      <c r="LIS28" s="3468"/>
      <c r="LIT28" s="3468"/>
      <c r="LIU28" s="3468"/>
      <c r="LIV28" s="3468"/>
      <c r="LIW28" s="3468"/>
      <c r="LIX28" s="3468"/>
      <c r="LIY28" s="3468"/>
      <c r="LIZ28" s="3468"/>
      <c r="LJA28" s="3468"/>
      <c r="LJB28" s="3468"/>
      <c r="LJC28" s="3468"/>
      <c r="LJD28" s="3468"/>
      <c r="LJE28" s="3468"/>
      <c r="LJF28" s="3468"/>
      <c r="LJG28" s="3468"/>
      <c r="LJH28" s="3468"/>
      <c r="LJI28" s="3468"/>
      <c r="LJJ28" s="3468"/>
      <c r="LJK28" s="3468"/>
      <c r="LJL28" s="3468"/>
      <c r="LJM28" s="3468"/>
      <c r="LJN28" s="3468"/>
      <c r="LJO28" s="3468"/>
      <c r="LJP28" s="3468"/>
      <c r="LJQ28" s="3468"/>
      <c r="LJR28" s="3468"/>
      <c r="LJS28" s="3468"/>
      <c r="LJT28" s="3468"/>
      <c r="LJU28" s="3468"/>
      <c r="LJV28" s="3468"/>
      <c r="LJW28" s="3468"/>
      <c r="LJX28" s="3468"/>
      <c r="LJY28" s="3468"/>
      <c r="LJZ28" s="3468"/>
      <c r="LKA28" s="3468"/>
      <c r="LKB28" s="3468"/>
      <c r="LKC28" s="3468"/>
      <c r="LKD28" s="3468"/>
      <c r="LKE28" s="3468"/>
      <c r="LKF28" s="3468"/>
      <c r="LKG28" s="3468"/>
      <c r="LKH28" s="3468"/>
      <c r="LKI28" s="3468"/>
      <c r="LKJ28" s="3468"/>
      <c r="LKK28" s="3468"/>
      <c r="LKL28" s="3468"/>
      <c r="LKM28" s="3468"/>
      <c r="LKN28" s="3468"/>
      <c r="LKO28" s="3468"/>
      <c r="LKP28" s="3468"/>
      <c r="LKQ28" s="3468"/>
      <c r="LKR28" s="3468"/>
      <c r="LKS28" s="3468"/>
      <c r="LKT28" s="3468"/>
      <c r="LKU28" s="3468"/>
      <c r="LKV28" s="3468"/>
      <c r="LKW28" s="3468"/>
      <c r="LKX28" s="3468"/>
      <c r="LKY28" s="3468"/>
      <c r="LKZ28" s="3468"/>
      <c r="LLA28" s="3468"/>
      <c r="LLB28" s="3468"/>
      <c r="LLC28" s="3468"/>
      <c r="LLD28" s="3468"/>
      <c r="LLE28" s="3468"/>
      <c r="LLF28" s="3468"/>
      <c r="LLG28" s="3468"/>
      <c r="LLH28" s="3468"/>
      <c r="LLI28" s="3468"/>
      <c r="LLJ28" s="3468"/>
      <c r="LLK28" s="3468"/>
      <c r="LLL28" s="3468"/>
      <c r="LLM28" s="3468"/>
      <c r="LLN28" s="3468"/>
      <c r="LLO28" s="3468"/>
      <c r="LLP28" s="3468"/>
      <c r="LLQ28" s="3468"/>
      <c r="LLR28" s="3468"/>
      <c r="LLS28" s="3468"/>
      <c r="LLT28" s="3468"/>
      <c r="LLU28" s="3468"/>
      <c r="LLV28" s="3468"/>
      <c r="LLW28" s="3468"/>
      <c r="LLX28" s="3468"/>
      <c r="LLY28" s="3468"/>
      <c r="LLZ28" s="3468"/>
      <c r="LMA28" s="3468"/>
      <c r="LMB28" s="3468"/>
      <c r="LMC28" s="3468"/>
      <c r="LMD28" s="3468"/>
      <c r="LME28" s="3468"/>
      <c r="LMF28" s="3468"/>
      <c r="LMG28" s="3468"/>
      <c r="LMH28" s="3468"/>
      <c r="LMI28" s="3468"/>
      <c r="LMJ28" s="3468"/>
      <c r="LMK28" s="3468"/>
      <c r="LML28" s="3468"/>
      <c r="LMM28" s="3468"/>
      <c r="LMN28" s="3468"/>
      <c r="LMO28" s="3468"/>
      <c r="LMP28" s="3468"/>
      <c r="LMQ28" s="3468"/>
      <c r="LMR28" s="3468"/>
      <c r="LMS28" s="3468"/>
      <c r="LMT28" s="3468"/>
      <c r="LMU28" s="3468"/>
      <c r="LMV28" s="3468"/>
      <c r="LMW28" s="3468"/>
      <c r="LMX28" s="3468"/>
      <c r="LMY28" s="3468"/>
      <c r="LMZ28" s="3468"/>
      <c r="LNA28" s="3468"/>
      <c r="LNB28" s="3468"/>
      <c r="LNC28" s="3468"/>
      <c r="LND28" s="3468"/>
      <c r="LNE28" s="3468"/>
      <c r="LNF28" s="3468"/>
      <c r="LNG28" s="3468"/>
      <c r="LNH28" s="3468"/>
      <c r="LNI28" s="3468"/>
      <c r="LNJ28" s="3468"/>
      <c r="LNK28" s="3468"/>
      <c r="LNL28" s="3468"/>
      <c r="LNM28" s="3468"/>
      <c r="LNN28" s="3468"/>
      <c r="LNO28" s="3468"/>
      <c r="LNP28" s="3468"/>
      <c r="LNQ28" s="3468"/>
      <c r="LNR28" s="3468"/>
      <c r="LNS28" s="3468"/>
      <c r="LNT28" s="3468"/>
      <c r="LNU28" s="3468"/>
      <c r="LNV28" s="3468"/>
      <c r="LNW28" s="3468"/>
      <c r="LNX28" s="3468"/>
      <c r="LNY28" s="3468"/>
      <c r="LNZ28" s="3468"/>
      <c r="LOA28" s="3468"/>
      <c r="LOB28" s="3468"/>
      <c r="LOC28" s="3468"/>
      <c r="LOD28" s="3468"/>
      <c r="LOE28" s="3468"/>
      <c r="LOF28" s="3468"/>
      <c r="LOG28" s="3468"/>
      <c r="LOH28" s="3468"/>
      <c r="LOI28" s="3468"/>
      <c r="LOJ28" s="3468"/>
      <c r="LOK28" s="3468"/>
      <c r="LOL28" s="3468"/>
      <c r="LOM28" s="3468"/>
      <c r="LON28" s="3468"/>
      <c r="LOO28" s="3468"/>
      <c r="LOP28" s="3468"/>
      <c r="LOQ28" s="3468"/>
      <c r="LOR28" s="3468"/>
      <c r="LOS28" s="3468"/>
      <c r="LOT28" s="3468"/>
      <c r="LOU28" s="3468"/>
      <c r="LOV28" s="3468"/>
      <c r="LOW28" s="3468"/>
      <c r="LOX28" s="3468"/>
      <c r="LOY28" s="3468"/>
      <c r="LOZ28" s="3468"/>
      <c r="LPA28" s="3468"/>
      <c r="LPB28" s="3468"/>
      <c r="LPC28" s="3468"/>
      <c r="LPD28" s="3468"/>
      <c r="LPE28" s="3468"/>
      <c r="LPF28" s="3468"/>
      <c r="LPG28" s="3468"/>
      <c r="LPH28" s="3468"/>
      <c r="LPI28" s="3468"/>
      <c r="LPJ28" s="3468"/>
      <c r="LPK28" s="3468"/>
      <c r="LPL28" s="3468"/>
      <c r="LPM28" s="3468"/>
      <c r="LPN28" s="3468"/>
      <c r="LPO28" s="3468"/>
      <c r="LPP28" s="3468"/>
      <c r="LPQ28" s="3468"/>
      <c r="LPR28" s="3468"/>
      <c r="LPS28" s="3468"/>
      <c r="LPT28" s="3468"/>
      <c r="LPU28" s="3468"/>
      <c r="LPV28" s="3468"/>
      <c r="LPW28" s="3468"/>
      <c r="LPX28" s="3468"/>
      <c r="LPY28" s="3468"/>
      <c r="LPZ28" s="3468"/>
      <c r="LQA28" s="3468"/>
      <c r="LQB28" s="3468"/>
      <c r="LQC28" s="3468"/>
      <c r="LQD28" s="3468"/>
      <c r="LQE28" s="3468"/>
      <c r="LQF28" s="3468"/>
      <c r="LQG28" s="3468"/>
      <c r="LQH28" s="3468"/>
      <c r="LQI28" s="3468"/>
      <c r="LQJ28" s="3468"/>
      <c r="LQK28" s="3468"/>
      <c r="LQL28" s="3468"/>
      <c r="LQM28" s="3468"/>
      <c r="LQN28" s="3468"/>
      <c r="LQO28" s="3468"/>
      <c r="LQP28" s="3468"/>
      <c r="LQQ28" s="3468"/>
      <c r="LQR28" s="3468"/>
      <c r="LQS28" s="3468"/>
      <c r="LQT28" s="3468"/>
      <c r="LQU28" s="3468"/>
      <c r="LQV28" s="3468"/>
      <c r="LQW28" s="3468"/>
      <c r="LQX28" s="3468"/>
      <c r="LQY28" s="3468"/>
      <c r="LQZ28" s="3468"/>
      <c r="LRA28" s="3468"/>
      <c r="LRB28" s="3468"/>
      <c r="LRC28" s="3468"/>
      <c r="LRD28" s="3468"/>
      <c r="LRE28" s="3468"/>
      <c r="LRF28" s="3468"/>
      <c r="LRG28" s="3468"/>
      <c r="LRH28" s="3468"/>
      <c r="LRI28" s="3468"/>
      <c r="LRJ28" s="3468"/>
      <c r="LRK28" s="3468"/>
      <c r="LRL28" s="3468"/>
      <c r="LRM28" s="3468"/>
      <c r="LRN28" s="3468"/>
      <c r="LRO28" s="3468"/>
      <c r="LRP28" s="3468"/>
      <c r="LRQ28" s="3468"/>
      <c r="LRR28" s="3468"/>
      <c r="LRS28" s="3468"/>
      <c r="LRT28" s="3468"/>
      <c r="LRU28" s="3468"/>
      <c r="LRV28" s="3468"/>
      <c r="LRW28" s="3468"/>
      <c r="LRX28" s="3468"/>
      <c r="LRY28" s="3468"/>
      <c r="LRZ28" s="3468"/>
      <c r="LSA28" s="3468"/>
      <c r="LSB28" s="3468"/>
      <c r="LSC28" s="3468"/>
      <c r="LSD28" s="3468"/>
      <c r="LSE28" s="3468"/>
      <c r="LSF28" s="3468"/>
      <c r="LSG28" s="3468"/>
      <c r="LSH28" s="3468"/>
      <c r="LSI28" s="3468"/>
      <c r="LSJ28" s="3468"/>
      <c r="LSK28" s="3468"/>
      <c r="LSL28" s="3468"/>
      <c r="LSM28" s="3468"/>
      <c r="LSN28" s="3468"/>
      <c r="LSO28" s="3468"/>
      <c r="LSP28" s="3468"/>
      <c r="LSQ28" s="3468"/>
      <c r="LSR28" s="3468"/>
      <c r="LSS28" s="3468"/>
      <c r="LST28" s="3468"/>
      <c r="LSU28" s="3468"/>
      <c r="LSV28" s="3468"/>
      <c r="LSW28" s="3468"/>
      <c r="LSX28" s="3468"/>
      <c r="LSY28" s="3468"/>
      <c r="LSZ28" s="3468"/>
      <c r="LTA28" s="3468"/>
      <c r="LTB28" s="3468"/>
      <c r="LTC28" s="3468"/>
      <c r="LTD28" s="3468"/>
      <c r="LTE28" s="3468"/>
      <c r="LTF28" s="3468"/>
      <c r="LTG28" s="3468"/>
      <c r="LTH28" s="3468"/>
      <c r="LTI28" s="3468"/>
      <c r="LTJ28" s="3468"/>
      <c r="LTK28" s="3468"/>
      <c r="LTL28" s="3468"/>
      <c r="LTM28" s="3468"/>
      <c r="LTN28" s="3468"/>
      <c r="LTO28" s="3468"/>
      <c r="LTP28" s="3468"/>
      <c r="LTQ28" s="3468"/>
      <c r="LTR28" s="3468"/>
      <c r="LTS28" s="3468"/>
      <c r="LTT28" s="3468"/>
      <c r="LTU28" s="3468"/>
      <c r="LTV28" s="3468"/>
      <c r="LTW28" s="3468"/>
      <c r="LTX28" s="3468"/>
      <c r="LTY28" s="3468"/>
      <c r="LTZ28" s="3468"/>
      <c r="LUA28" s="3468"/>
      <c r="LUB28" s="3468"/>
      <c r="LUC28" s="3468"/>
      <c r="LUD28" s="3468"/>
      <c r="LUE28" s="3468"/>
      <c r="LUF28" s="3468"/>
      <c r="LUG28" s="3468"/>
      <c r="LUH28" s="3468"/>
      <c r="LUI28" s="3468"/>
      <c r="LUJ28" s="3468"/>
      <c r="LUK28" s="3468"/>
      <c r="LUL28" s="3468"/>
      <c r="LUM28" s="3468"/>
      <c r="LUN28" s="3468"/>
      <c r="LUO28" s="3468"/>
      <c r="LUP28" s="3468"/>
      <c r="LUQ28" s="3468"/>
      <c r="LUR28" s="3468"/>
      <c r="LUS28" s="3468"/>
      <c r="LUT28" s="3468"/>
      <c r="LUU28" s="3468"/>
      <c r="LUV28" s="3468"/>
      <c r="LUW28" s="3468"/>
      <c r="LUX28" s="3468"/>
      <c r="LUY28" s="3468"/>
      <c r="LUZ28" s="3468"/>
      <c r="LVA28" s="3468"/>
      <c r="LVB28" s="3468"/>
      <c r="LVC28" s="3468"/>
      <c r="LVD28" s="3468"/>
      <c r="LVE28" s="3468"/>
      <c r="LVF28" s="3468"/>
      <c r="LVG28" s="3468"/>
      <c r="LVH28" s="3468"/>
      <c r="LVI28" s="3468"/>
      <c r="LVJ28" s="3468"/>
      <c r="LVK28" s="3468"/>
      <c r="LVL28" s="3468"/>
      <c r="LVM28" s="3468"/>
      <c r="LVN28" s="3468"/>
      <c r="LVO28" s="3468"/>
      <c r="LVP28" s="3468"/>
      <c r="LVQ28" s="3468"/>
      <c r="LVR28" s="3468"/>
      <c r="LVS28" s="3468"/>
      <c r="LVT28" s="3468"/>
      <c r="LVU28" s="3468"/>
      <c r="LVV28" s="3468"/>
      <c r="LVW28" s="3468"/>
      <c r="LVX28" s="3468"/>
      <c r="LVY28" s="3468"/>
      <c r="LVZ28" s="3468"/>
      <c r="LWA28" s="3468"/>
      <c r="LWB28" s="3468"/>
      <c r="LWC28" s="3468"/>
      <c r="LWD28" s="3468"/>
      <c r="LWE28" s="3468"/>
      <c r="LWF28" s="3468"/>
      <c r="LWG28" s="3468"/>
      <c r="LWH28" s="3468"/>
      <c r="LWI28" s="3468"/>
      <c r="LWJ28" s="3468"/>
      <c r="LWK28" s="3468"/>
      <c r="LWL28" s="3468"/>
      <c r="LWM28" s="3468"/>
      <c r="LWN28" s="3468"/>
      <c r="LWO28" s="3468"/>
      <c r="LWP28" s="3468"/>
      <c r="LWQ28" s="3468"/>
      <c r="LWR28" s="3468"/>
      <c r="LWS28" s="3468"/>
      <c r="LWT28" s="3468"/>
      <c r="LWU28" s="3468"/>
      <c r="LWV28" s="3468"/>
      <c r="LWW28" s="3468"/>
      <c r="LWX28" s="3468"/>
      <c r="LWY28" s="3468"/>
      <c r="LWZ28" s="3468"/>
      <c r="LXA28" s="3468"/>
      <c r="LXB28" s="3468"/>
      <c r="LXC28" s="3468"/>
      <c r="LXD28" s="3468"/>
      <c r="LXE28" s="3468"/>
      <c r="LXF28" s="3468"/>
      <c r="LXG28" s="3468"/>
      <c r="LXH28" s="3468"/>
      <c r="LXI28" s="3468"/>
      <c r="LXJ28" s="3468"/>
      <c r="LXK28" s="3468"/>
      <c r="LXL28" s="3468"/>
      <c r="LXM28" s="3468"/>
      <c r="LXN28" s="3468"/>
      <c r="LXO28" s="3468"/>
      <c r="LXP28" s="3468"/>
      <c r="LXQ28" s="3468"/>
      <c r="LXR28" s="3468"/>
      <c r="LXS28" s="3468"/>
      <c r="LXT28" s="3468"/>
      <c r="LXU28" s="3468"/>
      <c r="LXV28" s="3468"/>
      <c r="LXW28" s="3468"/>
      <c r="LXX28" s="3468"/>
      <c r="LXY28" s="3468"/>
      <c r="LXZ28" s="3468"/>
      <c r="LYA28" s="3468"/>
      <c r="LYB28" s="3468"/>
      <c r="LYC28" s="3468"/>
      <c r="LYD28" s="3468"/>
      <c r="LYE28" s="3468"/>
      <c r="LYF28" s="3468"/>
      <c r="LYG28" s="3468"/>
      <c r="LYH28" s="3468"/>
      <c r="LYI28" s="3468"/>
      <c r="LYJ28" s="3468"/>
      <c r="LYK28" s="3468"/>
      <c r="LYL28" s="3468"/>
      <c r="LYM28" s="3468"/>
      <c r="LYN28" s="3468"/>
      <c r="LYO28" s="3468"/>
      <c r="LYP28" s="3468"/>
      <c r="LYQ28" s="3468"/>
      <c r="LYR28" s="3468"/>
      <c r="LYS28" s="3468"/>
      <c r="LYT28" s="3468"/>
      <c r="LYU28" s="3468"/>
      <c r="LYV28" s="3468"/>
      <c r="LYW28" s="3468"/>
      <c r="LYX28" s="3468"/>
      <c r="LYY28" s="3468"/>
      <c r="LYZ28" s="3468"/>
      <c r="LZA28" s="3468"/>
      <c r="LZB28" s="3468"/>
      <c r="LZC28" s="3468"/>
      <c r="LZD28" s="3468"/>
      <c r="LZE28" s="3468"/>
      <c r="LZF28" s="3468"/>
      <c r="LZG28" s="3468"/>
      <c r="LZH28" s="3468"/>
      <c r="LZI28" s="3468"/>
      <c r="LZJ28" s="3468"/>
      <c r="LZK28" s="3468"/>
      <c r="LZL28" s="3468"/>
      <c r="LZM28" s="3468"/>
      <c r="LZN28" s="3468"/>
      <c r="LZO28" s="3468"/>
      <c r="LZP28" s="3468"/>
      <c r="LZQ28" s="3468"/>
      <c r="LZR28" s="3468"/>
      <c r="LZS28" s="3468"/>
      <c r="LZT28" s="3468"/>
      <c r="LZU28" s="3468"/>
      <c r="LZV28" s="3468"/>
      <c r="LZW28" s="3468"/>
      <c r="LZX28" s="3468"/>
      <c r="LZY28" s="3468"/>
      <c r="LZZ28" s="3468"/>
      <c r="MAA28" s="3468"/>
      <c r="MAB28" s="3468"/>
      <c r="MAC28" s="3468"/>
      <c r="MAD28" s="3468"/>
      <c r="MAE28" s="3468"/>
      <c r="MAF28" s="3468"/>
      <c r="MAG28" s="3468"/>
      <c r="MAH28" s="3468"/>
      <c r="MAI28" s="3468"/>
      <c r="MAJ28" s="3468"/>
      <c r="MAK28" s="3468"/>
      <c r="MAL28" s="3468"/>
      <c r="MAM28" s="3468"/>
      <c r="MAN28" s="3468"/>
      <c r="MAO28" s="3468"/>
      <c r="MAP28" s="3468"/>
      <c r="MAQ28" s="3468"/>
      <c r="MAR28" s="3468"/>
      <c r="MAS28" s="3468"/>
      <c r="MAT28" s="3468"/>
      <c r="MAU28" s="3468"/>
      <c r="MAV28" s="3468"/>
      <c r="MAW28" s="3468"/>
      <c r="MAX28" s="3468"/>
      <c r="MAY28" s="3468"/>
      <c r="MAZ28" s="3468"/>
      <c r="MBA28" s="3468"/>
      <c r="MBB28" s="3468"/>
      <c r="MBC28" s="3468"/>
      <c r="MBD28" s="3468"/>
      <c r="MBE28" s="3468"/>
      <c r="MBF28" s="3468"/>
      <c r="MBG28" s="3468"/>
      <c r="MBH28" s="3468"/>
      <c r="MBI28" s="3468"/>
      <c r="MBJ28" s="3468"/>
      <c r="MBK28" s="3468"/>
      <c r="MBL28" s="3468"/>
      <c r="MBM28" s="3468"/>
      <c r="MBN28" s="3468"/>
      <c r="MBO28" s="3468"/>
      <c r="MBP28" s="3468"/>
      <c r="MBQ28" s="3468"/>
      <c r="MBR28" s="3468"/>
      <c r="MBS28" s="3468"/>
      <c r="MBT28" s="3468"/>
      <c r="MBU28" s="3468"/>
      <c r="MBV28" s="3468"/>
      <c r="MBW28" s="3468"/>
      <c r="MBX28" s="3468"/>
      <c r="MBY28" s="3468"/>
      <c r="MBZ28" s="3468"/>
      <c r="MCA28" s="3468"/>
      <c r="MCB28" s="3468"/>
      <c r="MCC28" s="3468"/>
      <c r="MCD28" s="3468"/>
      <c r="MCE28" s="3468"/>
      <c r="MCF28" s="3468"/>
      <c r="MCG28" s="3468"/>
      <c r="MCH28" s="3468"/>
      <c r="MCI28" s="3468"/>
      <c r="MCJ28" s="3468"/>
      <c r="MCK28" s="3468"/>
      <c r="MCL28" s="3468"/>
      <c r="MCM28" s="3468"/>
      <c r="MCN28" s="3468"/>
      <c r="MCO28" s="3468"/>
      <c r="MCP28" s="3468"/>
      <c r="MCQ28" s="3468"/>
      <c r="MCR28" s="3468"/>
      <c r="MCS28" s="3468"/>
      <c r="MCT28" s="3468"/>
      <c r="MCU28" s="3468"/>
      <c r="MCV28" s="3468"/>
      <c r="MCW28" s="3468"/>
      <c r="MCX28" s="3468"/>
      <c r="MCY28" s="3468"/>
      <c r="MCZ28" s="3468"/>
      <c r="MDA28" s="3468"/>
      <c r="MDB28" s="3468"/>
      <c r="MDC28" s="3468"/>
      <c r="MDD28" s="3468"/>
      <c r="MDE28" s="3468"/>
      <c r="MDF28" s="3468"/>
      <c r="MDG28" s="3468"/>
      <c r="MDH28" s="3468"/>
      <c r="MDI28" s="3468"/>
      <c r="MDJ28" s="3468"/>
      <c r="MDK28" s="3468"/>
      <c r="MDL28" s="3468"/>
      <c r="MDM28" s="3468"/>
      <c r="MDN28" s="3468"/>
      <c r="MDO28" s="3468"/>
      <c r="MDP28" s="3468"/>
      <c r="MDQ28" s="3468"/>
      <c r="MDR28" s="3468"/>
      <c r="MDS28" s="3468"/>
      <c r="MDT28" s="3468"/>
      <c r="MDU28" s="3468"/>
      <c r="MDV28" s="3468"/>
      <c r="MDW28" s="3468"/>
      <c r="MDX28" s="3468"/>
      <c r="MDY28" s="3468"/>
      <c r="MDZ28" s="3468"/>
      <c r="MEA28" s="3468"/>
      <c r="MEB28" s="3468"/>
      <c r="MEC28" s="3468"/>
      <c r="MED28" s="3468"/>
      <c r="MEE28" s="3468"/>
      <c r="MEF28" s="3468"/>
      <c r="MEG28" s="3468"/>
      <c r="MEH28" s="3468"/>
      <c r="MEI28" s="3468"/>
      <c r="MEJ28" s="3468"/>
      <c r="MEK28" s="3468"/>
      <c r="MEL28" s="3468"/>
      <c r="MEM28" s="3468"/>
      <c r="MEN28" s="3468"/>
      <c r="MEO28" s="3468"/>
      <c r="MEP28" s="3468"/>
      <c r="MEQ28" s="3468"/>
      <c r="MER28" s="3468"/>
      <c r="MES28" s="3468"/>
      <c r="MET28" s="3468"/>
      <c r="MEU28" s="3468"/>
      <c r="MEV28" s="3468"/>
      <c r="MEW28" s="3468"/>
      <c r="MEX28" s="3468"/>
      <c r="MEY28" s="3468"/>
      <c r="MEZ28" s="3468"/>
      <c r="MFA28" s="3468"/>
      <c r="MFB28" s="3468"/>
      <c r="MFC28" s="3468"/>
      <c r="MFD28" s="3468"/>
      <c r="MFE28" s="3468"/>
      <c r="MFF28" s="3468"/>
      <c r="MFG28" s="3468"/>
      <c r="MFH28" s="3468"/>
      <c r="MFI28" s="3468"/>
      <c r="MFJ28" s="3468"/>
      <c r="MFK28" s="3468"/>
      <c r="MFL28" s="3468"/>
      <c r="MFM28" s="3468"/>
      <c r="MFN28" s="3468"/>
      <c r="MFO28" s="3468"/>
      <c r="MFP28" s="3468"/>
      <c r="MFQ28" s="3468"/>
      <c r="MFR28" s="3468"/>
      <c r="MFS28" s="3468"/>
      <c r="MFT28" s="3468"/>
      <c r="MFU28" s="3468"/>
      <c r="MFV28" s="3468"/>
      <c r="MFW28" s="3468"/>
      <c r="MFX28" s="3468"/>
      <c r="MFY28" s="3468"/>
      <c r="MFZ28" s="3468"/>
      <c r="MGA28" s="3468"/>
      <c r="MGB28" s="3468"/>
      <c r="MGC28" s="3468"/>
      <c r="MGD28" s="3468"/>
      <c r="MGE28" s="3468"/>
      <c r="MGF28" s="3468"/>
      <c r="MGG28" s="3468"/>
      <c r="MGH28" s="3468"/>
      <c r="MGI28" s="3468"/>
      <c r="MGJ28" s="3468"/>
      <c r="MGK28" s="3468"/>
      <c r="MGL28" s="3468"/>
      <c r="MGM28" s="3468"/>
      <c r="MGN28" s="3468"/>
      <c r="MGO28" s="3468"/>
      <c r="MGP28" s="3468"/>
      <c r="MGQ28" s="3468"/>
      <c r="MGR28" s="3468"/>
      <c r="MGS28" s="3468"/>
      <c r="MGT28" s="3468"/>
      <c r="MGU28" s="3468"/>
      <c r="MGV28" s="3468"/>
      <c r="MGW28" s="3468"/>
      <c r="MGX28" s="3468"/>
      <c r="MGY28" s="3468"/>
      <c r="MGZ28" s="3468"/>
      <c r="MHA28" s="3468"/>
      <c r="MHB28" s="3468"/>
      <c r="MHC28" s="3468"/>
      <c r="MHD28" s="3468"/>
      <c r="MHE28" s="3468"/>
      <c r="MHF28" s="3468"/>
      <c r="MHG28" s="3468"/>
      <c r="MHH28" s="3468"/>
      <c r="MHI28" s="3468"/>
      <c r="MHJ28" s="3468"/>
      <c r="MHK28" s="3468"/>
      <c r="MHL28" s="3468"/>
      <c r="MHM28" s="3468"/>
      <c r="MHN28" s="3468"/>
      <c r="MHO28" s="3468"/>
      <c r="MHP28" s="3468"/>
      <c r="MHQ28" s="3468"/>
      <c r="MHR28" s="3468"/>
      <c r="MHS28" s="3468"/>
      <c r="MHT28" s="3468"/>
      <c r="MHU28" s="3468"/>
      <c r="MHV28" s="3468"/>
      <c r="MHW28" s="3468"/>
      <c r="MHX28" s="3468"/>
      <c r="MHY28" s="3468"/>
      <c r="MHZ28" s="3468"/>
      <c r="MIA28" s="3468"/>
      <c r="MIB28" s="3468"/>
      <c r="MIC28" s="3468"/>
      <c r="MID28" s="3468"/>
      <c r="MIE28" s="3468"/>
      <c r="MIF28" s="3468"/>
      <c r="MIG28" s="3468"/>
      <c r="MIH28" s="3468"/>
      <c r="MII28" s="3468"/>
      <c r="MIJ28" s="3468"/>
      <c r="MIK28" s="3468"/>
      <c r="MIL28" s="3468"/>
      <c r="MIM28" s="3468"/>
      <c r="MIN28" s="3468"/>
      <c r="MIO28" s="3468"/>
      <c r="MIP28" s="3468"/>
      <c r="MIQ28" s="3468"/>
      <c r="MIR28" s="3468"/>
      <c r="MIS28" s="3468"/>
      <c r="MIT28" s="3468"/>
      <c r="MIU28" s="3468"/>
      <c r="MIV28" s="3468"/>
      <c r="MIW28" s="3468"/>
      <c r="MIX28" s="3468"/>
      <c r="MIY28" s="3468"/>
      <c r="MIZ28" s="3468"/>
      <c r="MJA28" s="3468"/>
      <c r="MJB28" s="3468"/>
      <c r="MJC28" s="3468"/>
      <c r="MJD28" s="3468"/>
      <c r="MJE28" s="3468"/>
      <c r="MJF28" s="3468"/>
      <c r="MJG28" s="3468"/>
      <c r="MJH28" s="3468"/>
      <c r="MJI28" s="3468"/>
      <c r="MJJ28" s="3468"/>
      <c r="MJK28" s="3468"/>
      <c r="MJL28" s="3468"/>
      <c r="MJM28" s="3468"/>
      <c r="MJN28" s="3468"/>
      <c r="MJO28" s="3468"/>
      <c r="MJP28" s="3468"/>
      <c r="MJQ28" s="3468"/>
      <c r="MJR28" s="3468"/>
      <c r="MJS28" s="3468"/>
      <c r="MJT28" s="3468"/>
      <c r="MJU28" s="3468"/>
      <c r="MJV28" s="3468"/>
      <c r="MJW28" s="3468"/>
      <c r="MJX28" s="3468"/>
      <c r="MJY28" s="3468"/>
      <c r="MJZ28" s="3468"/>
      <c r="MKA28" s="3468"/>
      <c r="MKB28" s="3468"/>
      <c r="MKC28" s="3468"/>
      <c r="MKD28" s="3468"/>
      <c r="MKE28" s="3468"/>
      <c r="MKF28" s="3468"/>
      <c r="MKG28" s="3468"/>
      <c r="MKH28" s="3468"/>
      <c r="MKI28" s="3468"/>
      <c r="MKJ28" s="3468"/>
      <c r="MKK28" s="3468"/>
      <c r="MKL28" s="3468"/>
      <c r="MKM28" s="3468"/>
      <c r="MKN28" s="3468"/>
      <c r="MKO28" s="3468"/>
      <c r="MKP28" s="3468"/>
      <c r="MKQ28" s="3468"/>
      <c r="MKR28" s="3468"/>
      <c r="MKS28" s="3468"/>
      <c r="MKT28" s="3468"/>
      <c r="MKU28" s="3468"/>
      <c r="MKV28" s="3468"/>
      <c r="MKW28" s="3468"/>
      <c r="MKX28" s="3468"/>
      <c r="MKY28" s="3468"/>
      <c r="MKZ28" s="3468"/>
      <c r="MLA28" s="3468"/>
      <c r="MLB28" s="3468"/>
      <c r="MLC28" s="3468"/>
      <c r="MLD28" s="3468"/>
      <c r="MLE28" s="3468"/>
      <c r="MLF28" s="3468"/>
      <c r="MLG28" s="3468"/>
      <c r="MLH28" s="3468"/>
      <c r="MLI28" s="3468"/>
      <c r="MLJ28" s="3468"/>
      <c r="MLK28" s="3468"/>
      <c r="MLL28" s="3468"/>
      <c r="MLM28" s="3468"/>
      <c r="MLN28" s="3468"/>
      <c r="MLO28" s="3468"/>
      <c r="MLP28" s="3468"/>
      <c r="MLQ28" s="3468"/>
      <c r="MLR28" s="3468"/>
      <c r="MLS28" s="3468"/>
      <c r="MLT28" s="3468"/>
      <c r="MLU28" s="3468"/>
      <c r="MLV28" s="3468"/>
      <c r="MLW28" s="3468"/>
      <c r="MLX28" s="3468"/>
      <c r="MLY28" s="3468"/>
      <c r="MLZ28" s="3468"/>
      <c r="MMA28" s="3468"/>
      <c r="MMB28" s="3468"/>
      <c r="MMC28" s="3468"/>
      <c r="MMD28" s="3468"/>
      <c r="MME28" s="3468"/>
      <c r="MMF28" s="3468"/>
      <c r="MMG28" s="3468"/>
      <c r="MMH28" s="3468"/>
      <c r="MMI28" s="3468"/>
      <c r="MMJ28" s="3468"/>
      <c r="MMK28" s="3468"/>
      <c r="MML28" s="3468"/>
      <c r="MMM28" s="3468"/>
      <c r="MMN28" s="3468"/>
      <c r="MMO28" s="3468"/>
      <c r="MMP28" s="3468"/>
      <c r="MMQ28" s="3468"/>
      <c r="MMR28" s="3468"/>
      <c r="MMS28" s="3468"/>
      <c r="MMT28" s="3468"/>
      <c r="MMU28" s="3468"/>
      <c r="MMV28" s="3468"/>
      <c r="MMW28" s="3468"/>
      <c r="MMX28" s="3468"/>
      <c r="MMY28" s="3468"/>
      <c r="MMZ28" s="3468"/>
      <c r="MNA28" s="3468"/>
      <c r="MNB28" s="3468"/>
      <c r="MNC28" s="3468"/>
      <c r="MND28" s="3468"/>
      <c r="MNE28" s="3468"/>
      <c r="MNF28" s="3468"/>
      <c r="MNG28" s="3468"/>
      <c r="MNH28" s="3468"/>
      <c r="MNI28" s="3468"/>
      <c r="MNJ28" s="3468"/>
      <c r="MNK28" s="3468"/>
      <c r="MNL28" s="3468"/>
      <c r="MNM28" s="3468"/>
      <c r="MNN28" s="3468"/>
      <c r="MNO28" s="3468"/>
      <c r="MNP28" s="3468"/>
      <c r="MNQ28" s="3468"/>
      <c r="MNR28" s="3468"/>
      <c r="MNS28" s="3468"/>
      <c r="MNT28" s="3468"/>
      <c r="MNU28" s="3468"/>
      <c r="MNV28" s="3468"/>
      <c r="MNW28" s="3468"/>
      <c r="MNX28" s="3468"/>
      <c r="MNY28" s="3468"/>
      <c r="MNZ28" s="3468"/>
      <c r="MOA28" s="3468"/>
      <c r="MOB28" s="3468"/>
      <c r="MOC28" s="3468"/>
      <c r="MOD28" s="3468"/>
      <c r="MOE28" s="3468"/>
      <c r="MOF28" s="3468"/>
      <c r="MOG28" s="3468"/>
      <c r="MOH28" s="3468"/>
      <c r="MOI28" s="3468"/>
      <c r="MOJ28" s="3468"/>
      <c r="MOK28" s="3468"/>
      <c r="MOL28" s="3468"/>
      <c r="MOM28" s="3468"/>
      <c r="MON28" s="3468"/>
      <c r="MOO28" s="3468"/>
      <c r="MOP28" s="3468"/>
      <c r="MOQ28" s="3468"/>
      <c r="MOR28" s="3468"/>
      <c r="MOS28" s="3468"/>
      <c r="MOT28" s="3468"/>
      <c r="MOU28" s="3468"/>
      <c r="MOV28" s="3468"/>
      <c r="MOW28" s="3468"/>
      <c r="MOX28" s="3468"/>
      <c r="MOY28" s="3468"/>
      <c r="MOZ28" s="3468"/>
      <c r="MPA28" s="3468"/>
      <c r="MPB28" s="3468"/>
      <c r="MPC28" s="3468"/>
      <c r="MPD28" s="3468"/>
      <c r="MPE28" s="3468"/>
      <c r="MPF28" s="3468"/>
      <c r="MPG28" s="3468"/>
      <c r="MPH28" s="3468"/>
      <c r="MPI28" s="3468"/>
      <c r="MPJ28" s="3468"/>
      <c r="MPK28" s="3468"/>
      <c r="MPL28" s="3468"/>
      <c r="MPM28" s="3468"/>
      <c r="MPN28" s="3468"/>
      <c r="MPO28" s="3468"/>
      <c r="MPP28" s="3468"/>
      <c r="MPQ28" s="3468"/>
      <c r="MPR28" s="3468"/>
      <c r="MPS28" s="3468"/>
      <c r="MPT28" s="3468"/>
      <c r="MPU28" s="3468"/>
      <c r="MPV28" s="3468"/>
      <c r="MPW28" s="3468"/>
      <c r="MPX28" s="3468"/>
      <c r="MPY28" s="3468"/>
      <c r="MPZ28" s="3468"/>
      <c r="MQA28" s="3468"/>
      <c r="MQB28" s="3468"/>
      <c r="MQC28" s="3468"/>
      <c r="MQD28" s="3468"/>
      <c r="MQE28" s="3468"/>
      <c r="MQF28" s="3468"/>
      <c r="MQG28" s="3468"/>
      <c r="MQH28" s="3468"/>
      <c r="MQI28" s="3468"/>
      <c r="MQJ28" s="3468"/>
      <c r="MQK28" s="3468"/>
      <c r="MQL28" s="3468"/>
      <c r="MQM28" s="3468"/>
      <c r="MQN28" s="3468"/>
      <c r="MQO28" s="3468"/>
      <c r="MQP28" s="3468"/>
      <c r="MQQ28" s="3468"/>
      <c r="MQR28" s="3468"/>
      <c r="MQS28" s="3468"/>
      <c r="MQT28" s="3468"/>
      <c r="MQU28" s="3468"/>
      <c r="MQV28" s="3468"/>
      <c r="MQW28" s="3468"/>
      <c r="MQX28" s="3468"/>
      <c r="MQY28" s="3468"/>
      <c r="MQZ28" s="3468"/>
      <c r="MRA28" s="3468"/>
      <c r="MRB28" s="3468"/>
      <c r="MRC28" s="3468"/>
      <c r="MRD28" s="3468"/>
      <c r="MRE28" s="3468"/>
      <c r="MRF28" s="3468"/>
      <c r="MRG28" s="3468"/>
      <c r="MRH28" s="3468"/>
      <c r="MRI28" s="3468"/>
      <c r="MRJ28" s="3468"/>
      <c r="MRK28" s="3468"/>
      <c r="MRL28" s="3468"/>
      <c r="MRM28" s="3468"/>
      <c r="MRN28" s="3468"/>
      <c r="MRO28" s="3468"/>
      <c r="MRP28" s="3468"/>
      <c r="MRQ28" s="3468"/>
      <c r="MRR28" s="3468"/>
      <c r="MRS28" s="3468"/>
      <c r="MRT28" s="3468"/>
      <c r="MRU28" s="3468"/>
      <c r="MRV28" s="3468"/>
      <c r="MRW28" s="3468"/>
      <c r="MRX28" s="3468"/>
      <c r="MRY28" s="3468"/>
      <c r="MRZ28" s="3468"/>
      <c r="MSA28" s="3468"/>
      <c r="MSB28" s="3468"/>
      <c r="MSC28" s="3468"/>
      <c r="MSD28" s="3468"/>
      <c r="MSE28" s="3468"/>
      <c r="MSF28" s="3468"/>
      <c r="MSG28" s="3468"/>
      <c r="MSH28" s="3468"/>
      <c r="MSI28" s="3468"/>
      <c r="MSJ28" s="3468"/>
      <c r="MSK28" s="3468"/>
      <c r="MSL28" s="3468"/>
      <c r="MSM28" s="3468"/>
      <c r="MSN28" s="3468"/>
      <c r="MSO28" s="3468"/>
      <c r="MSP28" s="3468"/>
      <c r="MSQ28" s="3468"/>
      <c r="MSR28" s="3468"/>
      <c r="MSS28" s="3468"/>
      <c r="MST28" s="3468"/>
      <c r="MSU28" s="3468"/>
      <c r="MSV28" s="3468"/>
      <c r="MSW28" s="3468"/>
      <c r="MSX28" s="3468"/>
      <c r="MSY28" s="3468"/>
      <c r="MSZ28" s="3468"/>
      <c r="MTA28" s="3468"/>
      <c r="MTB28" s="3468"/>
      <c r="MTC28" s="3468"/>
      <c r="MTD28" s="3468"/>
      <c r="MTE28" s="3468"/>
      <c r="MTF28" s="3468"/>
      <c r="MTG28" s="3468"/>
      <c r="MTH28" s="3468"/>
      <c r="MTI28" s="3468"/>
      <c r="MTJ28" s="3468"/>
      <c r="MTK28" s="3468"/>
      <c r="MTL28" s="3468"/>
      <c r="MTM28" s="3468"/>
      <c r="MTN28" s="3468"/>
      <c r="MTO28" s="3468"/>
      <c r="MTP28" s="3468"/>
      <c r="MTQ28" s="3468"/>
      <c r="MTR28" s="3468"/>
      <c r="MTS28" s="3468"/>
      <c r="MTT28" s="3468"/>
      <c r="MTU28" s="3468"/>
      <c r="MTV28" s="3468"/>
      <c r="MTW28" s="3468"/>
      <c r="MTX28" s="3468"/>
      <c r="MTY28" s="3468"/>
      <c r="MTZ28" s="3468"/>
      <c r="MUA28" s="3468"/>
      <c r="MUB28" s="3468"/>
      <c r="MUC28" s="3468"/>
      <c r="MUD28" s="3468"/>
      <c r="MUE28" s="3468"/>
      <c r="MUF28" s="3468"/>
      <c r="MUG28" s="3468"/>
      <c r="MUH28" s="3468"/>
      <c r="MUI28" s="3468"/>
      <c r="MUJ28" s="3468"/>
      <c r="MUK28" s="3468"/>
      <c r="MUL28" s="3468"/>
      <c r="MUM28" s="3468"/>
      <c r="MUN28" s="3468"/>
      <c r="MUO28" s="3468"/>
      <c r="MUP28" s="3468"/>
      <c r="MUQ28" s="3468"/>
      <c r="MUR28" s="3468"/>
      <c r="MUS28" s="3468"/>
      <c r="MUT28" s="3468"/>
      <c r="MUU28" s="3468"/>
      <c r="MUV28" s="3468"/>
      <c r="MUW28" s="3468"/>
      <c r="MUX28" s="3468"/>
      <c r="MUY28" s="3468"/>
      <c r="MUZ28" s="3468"/>
      <c r="MVA28" s="3468"/>
      <c r="MVB28" s="3468"/>
      <c r="MVC28" s="3468"/>
      <c r="MVD28" s="3468"/>
      <c r="MVE28" s="3468"/>
      <c r="MVF28" s="3468"/>
      <c r="MVG28" s="3468"/>
      <c r="MVH28" s="3468"/>
      <c r="MVI28" s="3468"/>
      <c r="MVJ28" s="3468"/>
      <c r="MVK28" s="3468"/>
      <c r="MVL28" s="3468"/>
      <c r="MVM28" s="3468"/>
      <c r="MVN28" s="3468"/>
      <c r="MVO28" s="3468"/>
      <c r="MVP28" s="3468"/>
      <c r="MVQ28" s="3468"/>
      <c r="MVR28" s="3468"/>
      <c r="MVS28" s="3468"/>
      <c r="MVT28" s="3468"/>
      <c r="MVU28" s="3468"/>
      <c r="MVV28" s="3468"/>
      <c r="MVW28" s="3468"/>
      <c r="MVX28" s="3468"/>
      <c r="MVY28" s="3468"/>
      <c r="MVZ28" s="3468"/>
      <c r="MWA28" s="3468"/>
      <c r="MWB28" s="3468"/>
      <c r="MWC28" s="3468"/>
      <c r="MWD28" s="3468"/>
      <c r="MWE28" s="3468"/>
      <c r="MWF28" s="3468"/>
      <c r="MWG28" s="3468"/>
      <c r="MWH28" s="3468"/>
      <c r="MWI28" s="3468"/>
      <c r="MWJ28" s="3468"/>
      <c r="MWK28" s="3468"/>
      <c r="MWL28" s="3468"/>
      <c r="MWM28" s="3468"/>
      <c r="MWN28" s="3468"/>
      <c r="MWO28" s="3468"/>
      <c r="MWP28" s="3468"/>
      <c r="MWQ28" s="3468"/>
      <c r="MWR28" s="3468"/>
      <c r="MWS28" s="3468"/>
      <c r="MWT28" s="3468"/>
      <c r="MWU28" s="3468"/>
      <c r="MWV28" s="3468"/>
      <c r="MWW28" s="3468"/>
      <c r="MWX28" s="3468"/>
      <c r="MWY28" s="3468"/>
      <c r="MWZ28" s="3468"/>
      <c r="MXA28" s="3468"/>
      <c r="MXB28" s="3468"/>
      <c r="MXC28" s="3468"/>
      <c r="MXD28" s="3468"/>
      <c r="MXE28" s="3468"/>
      <c r="MXF28" s="3468"/>
      <c r="MXG28" s="3468"/>
      <c r="MXH28" s="3468"/>
      <c r="MXI28" s="3468"/>
      <c r="MXJ28" s="3468"/>
      <c r="MXK28" s="3468"/>
      <c r="MXL28" s="3468"/>
      <c r="MXM28" s="3468"/>
      <c r="MXN28" s="3468"/>
      <c r="MXO28" s="3468"/>
      <c r="MXP28" s="3468"/>
      <c r="MXQ28" s="3468"/>
      <c r="MXR28" s="3468"/>
      <c r="MXS28" s="3468"/>
      <c r="MXT28" s="3468"/>
      <c r="MXU28" s="3468"/>
      <c r="MXV28" s="3468"/>
      <c r="MXW28" s="3468"/>
      <c r="MXX28" s="3468"/>
      <c r="MXY28" s="3468"/>
      <c r="MXZ28" s="3468"/>
      <c r="MYA28" s="3468"/>
      <c r="MYB28" s="3468"/>
      <c r="MYC28" s="3468"/>
      <c r="MYD28" s="3468"/>
      <c r="MYE28" s="3468"/>
      <c r="MYF28" s="3468"/>
      <c r="MYG28" s="3468"/>
      <c r="MYH28" s="3468"/>
      <c r="MYI28" s="3468"/>
      <c r="MYJ28" s="3468"/>
      <c r="MYK28" s="3468"/>
      <c r="MYL28" s="3468"/>
      <c r="MYM28" s="3468"/>
      <c r="MYN28" s="3468"/>
      <c r="MYO28" s="3468"/>
      <c r="MYP28" s="3468"/>
      <c r="MYQ28" s="3468"/>
      <c r="MYR28" s="3468"/>
      <c r="MYS28" s="3468"/>
      <c r="MYT28" s="3468"/>
      <c r="MYU28" s="3468"/>
      <c r="MYV28" s="3468"/>
      <c r="MYW28" s="3468"/>
      <c r="MYX28" s="3468"/>
      <c r="MYY28" s="3468"/>
      <c r="MYZ28" s="3468"/>
      <c r="MZA28" s="3468"/>
      <c r="MZB28" s="3468"/>
      <c r="MZC28" s="3468"/>
      <c r="MZD28" s="3468"/>
      <c r="MZE28" s="3468"/>
      <c r="MZF28" s="3468"/>
      <c r="MZG28" s="3468"/>
      <c r="MZH28" s="3468"/>
      <c r="MZI28" s="3468"/>
      <c r="MZJ28" s="3468"/>
      <c r="MZK28" s="3468"/>
      <c r="MZL28" s="3468"/>
      <c r="MZM28" s="3468"/>
      <c r="MZN28" s="3468"/>
      <c r="MZO28" s="3468"/>
      <c r="MZP28" s="3468"/>
      <c r="MZQ28" s="3468"/>
      <c r="MZR28" s="3468"/>
      <c r="MZS28" s="3468"/>
      <c r="MZT28" s="3468"/>
      <c r="MZU28" s="3468"/>
      <c r="MZV28" s="3468"/>
      <c r="MZW28" s="3468"/>
      <c r="MZX28" s="3468"/>
      <c r="MZY28" s="3468"/>
      <c r="MZZ28" s="3468"/>
      <c r="NAA28" s="3468"/>
      <c r="NAB28" s="3468"/>
      <c r="NAC28" s="3468"/>
      <c r="NAD28" s="3468"/>
      <c r="NAE28" s="3468"/>
      <c r="NAF28" s="3468"/>
      <c r="NAG28" s="3468"/>
      <c r="NAH28" s="3468"/>
      <c r="NAI28" s="3468"/>
      <c r="NAJ28" s="3468"/>
      <c r="NAK28" s="3468"/>
      <c r="NAL28" s="3468"/>
      <c r="NAM28" s="3468"/>
      <c r="NAN28" s="3468"/>
      <c r="NAO28" s="3468"/>
      <c r="NAP28" s="3468"/>
      <c r="NAQ28" s="3468"/>
      <c r="NAR28" s="3468"/>
      <c r="NAS28" s="3468"/>
      <c r="NAT28" s="3468"/>
      <c r="NAU28" s="3468"/>
      <c r="NAV28" s="3468"/>
      <c r="NAW28" s="3468"/>
      <c r="NAX28" s="3468"/>
      <c r="NAY28" s="3468"/>
      <c r="NAZ28" s="3468"/>
      <c r="NBA28" s="3468"/>
      <c r="NBB28" s="3468"/>
      <c r="NBC28" s="3468"/>
      <c r="NBD28" s="3468"/>
      <c r="NBE28" s="3468"/>
      <c r="NBF28" s="3468"/>
      <c r="NBG28" s="3468"/>
      <c r="NBH28" s="3468"/>
      <c r="NBI28" s="3468"/>
      <c r="NBJ28" s="3468"/>
      <c r="NBK28" s="3468"/>
      <c r="NBL28" s="3468"/>
      <c r="NBM28" s="3468"/>
      <c r="NBN28" s="3468"/>
      <c r="NBO28" s="3468"/>
      <c r="NBP28" s="3468"/>
      <c r="NBQ28" s="3468"/>
      <c r="NBR28" s="3468"/>
      <c r="NBS28" s="3468"/>
      <c r="NBT28" s="3468"/>
      <c r="NBU28" s="3468"/>
      <c r="NBV28" s="3468"/>
      <c r="NBW28" s="3468"/>
      <c r="NBX28" s="3468"/>
      <c r="NBY28" s="3468"/>
      <c r="NBZ28" s="3468"/>
      <c r="NCA28" s="3468"/>
      <c r="NCB28" s="3468"/>
      <c r="NCC28" s="3468"/>
      <c r="NCD28" s="3468"/>
      <c r="NCE28" s="3468"/>
      <c r="NCF28" s="3468"/>
      <c r="NCG28" s="3468"/>
      <c r="NCH28" s="3468"/>
      <c r="NCI28" s="3468"/>
      <c r="NCJ28" s="3468"/>
      <c r="NCK28" s="3468"/>
      <c r="NCL28" s="3468"/>
      <c r="NCM28" s="3468"/>
      <c r="NCN28" s="3468"/>
      <c r="NCO28" s="3468"/>
      <c r="NCP28" s="3468"/>
      <c r="NCQ28" s="3468"/>
      <c r="NCR28" s="3468"/>
      <c r="NCS28" s="3468"/>
      <c r="NCT28" s="3468"/>
      <c r="NCU28" s="3468"/>
      <c r="NCV28" s="3468"/>
      <c r="NCW28" s="3468"/>
      <c r="NCX28" s="3468"/>
      <c r="NCY28" s="3468"/>
      <c r="NCZ28" s="3468"/>
      <c r="NDA28" s="3468"/>
      <c r="NDB28" s="3468"/>
      <c r="NDC28" s="3468"/>
      <c r="NDD28" s="3468"/>
      <c r="NDE28" s="3468"/>
      <c r="NDF28" s="3468"/>
      <c r="NDG28" s="3468"/>
      <c r="NDH28" s="3468"/>
      <c r="NDI28" s="3468"/>
      <c r="NDJ28" s="3468"/>
      <c r="NDK28" s="3468"/>
      <c r="NDL28" s="3468"/>
      <c r="NDM28" s="3468"/>
      <c r="NDN28" s="3468"/>
      <c r="NDO28" s="3468"/>
      <c r="NDP28" s="3468"/>
      <c r="NDQ28" s="3468"/>
      <c r="NDR28" s="3468"/>
      <c r="NDS28" s="3468"/>
      <c r="NDT28" s="3468"/>
      <c r="NDU28" s="3468"/>
      <c r="NDV28" s="3468"/>
      <c r="NDW28" s="3468"/>
      <c r="NDX28" s="3468"/>
      <c r="NDY28" s="3468"/>
      <c r="NDZ28" s="3468"/>
      <c r="NEA28" s="3468"/>
      <c r="NEB28" s="3468"/>
      <c r="NEC28" s="3468"/>
      <c r="NED28" s="3468"/>
      <c r="NEE28" s="3468"/>
      <c r="NEF28" s="3468"/>
      <c r="NEG28" s="3468"/>
      <c r="NEH28" s="3468"/>
      <c r="NEI28" s="3468"/>
      <c r="NEJ28" s="3468"/>
      <c r="NEK28" s="3468"/>
      <c r="NEL28" s="3468"/>
      <c r="NEM28" s="3468"/>
      <c r="NEN28" s="3468"/>
      <c r="NEO28" s="3468"/>
      <c r="NEP28" s="3468"/>
      <c r="NEQ28" s="3468"/>
      <c r="NER28" s="3468"/>
      <c r="NES28" s="3468"/>
      <c r="NET28" s="3468"/>
      <c r="NEU28" s="3468"/>
      <c r="NEV28" s="3468"/>
      <c r="NEW28" s="3468"/>
      <c r="NEX28" s="3468"/>
      <c r="NEY28" s="3468"/>
      <c r="NEZ28" s="3468"/>
      <c r="NFA28" s="3468"/>
      <c r="NFB28" s="3468"/>
      <c r="NFC28" s="3468"/>
      <c r="NFD28" s="3468"/>
      <c r="NFE28" s="3468"/>
      <c r="NFF28" s="3468"/>
      <c r="NFG28" s="3468"/>
      <c r="NFH28" s="3468"/>
      <c r="NFI28" s="3468"/>
      <c r="NFJ28" s="3468"/>
      <c r="NFK28" s="3468"/>
      <c r="NFL28" s="3468"/>
      <c r="NFM28" s="3468"/>
      <c r="NFN28" s="3468"/>
      <c r="NFO28" s="3468"/>
      <c r="NFP28" s="3468"/>
      <c r="NFQ28" s="3468"/>
      <c r="NFR28" s="3468"/>
      <c r="NFS28" s="3468"/>
      <c r="NFT28" s="3468"/>
      <c r="NFU28" s="3468"/>
      <c r="NFV28" s="3468"/>
      <c r="NFW28" s="3468"/>
      <c r="NFX28" s="3468"/>
      <c r="NFY28" s="3468"/>
      <c r="NFZ28" s="3468"/>
      <c r="NGA28" s="3468"/>
      <c r="NGB28" s="3468"/>
      <c r="NGC28" s="3468"/>
      <c r="NGD28" s="3468"/>
      <c r="NGE28" s="3468"/>
      <c r="NGF28" s="3468"/>
      <c r="NGG28" s="3468"/>
      <c r="NGH28" s="3468"/>
      <c r="NGI28" s="3468"/>
      <c r="NGJ28" s="3468"/>
      <c r="NGK28" s="3468"/>
      <c r="NGL28" s="3468"/>
      <c r="NGM28" s="3468"/>
      <c r="NGN28" s="3468"/>
      <c r="NGO28" s="3468"/>
      <c r="NGP28" s="3468"/>
      <c r="NGQ28" s="3468"/>
      <c r="NGR28" s="3468"/>
      <c r="NGS28" s="3468"/>
      <c r="NGT28" s="3468"/>
      <c r="NGU28" s="3468"/>
      <c r="NGV28" s="3468"/>
      <c r="NGW28" s="3468"/>
      <c r="NGX28" s="3468"/>
      <c r="NGY28" s="3468"/>
      <c r="NGZ28" s="3468"/>
      <c r="NHA28" s="3468"/>
      <c r="NHB28" s="3468"/>
      <c r="NHC28" s="3468"/>
      <c r="NHD28" s="3468"/>
      <c r="NHE28" s="3468"/>
      <c r="NHF28" s="3468"/>
      <c r="NHG28" s="3468"/>
      <c r="NHH28" s="3468"/>
      <c r="NHI28" s="3468"/>
      <c r="NHJ28" s="3468"/>
      <c r="NHK28" s="3468"/>
      <c r="NHL28" s="3468"/>
      <c r="NHM28" s="3468"/>
      <c r="NHN28" s="3468"/>
      <c r="NHO28" s="3468"/>
      <c r="NHP28" s="3468"/>
      <c r="NHQ28" s="3468"/>
      <c r="NHR28" s="3468"/>
      <c r="NHS28" s="3468"/>
      <c r="NHT28" s="3468"/>
      <c r="NHU28" s="3468"/>
      <c r="NHV28" s="3468"/>
      <c r="NHW28" s="3468"/>
      <c r="NHX28" s="3468"/>
      <c r="NHY28" s="3468"/>
      <c r="NHZ28" s="3468"/>
      <c r="NIA28" s="3468"/>
      <c r="NIB28" s="3468"/>
      <c r="NIC28" s="3468"/>
      <c r="NID28" s="3468"/>
      <c r="NIE28" s="3468"/>
      <c r="NIF28" s="3468"/>
      <c r="NIG28" s="3468"/>
      <c r="NIH28" s="3468"/>
      <c r="NII28" s="3468"/>
      <c r="NIJ28" s="3468"/>
      <c r="NIK28" s="3468"/>
      <c r="NIL28" s="3468"/>
      <c r="NIM28" s="3468"/>
      <c r="NIN28" s="3468"/>
      <c r="NIO28" s="3468"/>
      <c r="NIP28" s="3468"/>
      <c r="NIQ28" s="3468"/>
      <c r="NIR28" s="3468"/>
      <c r="NIS28" s="3468"/>
      <c r="NIT28" s="3468"/>
      <c r="NIU28" s="3468"/>
      <c r="NIV28" s="3468"/>
      <c r="NIW28" s="3468"/>
      <c r="NIX28" s="3468"/>
      <c r="NIY28" s="3468"/>
      <c r="NIZ28" s="3468"/>
      <c r="NJA28" s="3468"/>
      <c r="NJB28" s="3468"/>
      <c r="NJC28" s="3468"/>
      <c r="NJD28" s="3468"/>
      <c r="NJE28" s="3468"/>
      <c r="NJF28" s="3468"/>
      <c r="NJG28" s="3468"/>
      <c r="NJH28" s="3468"/>
      <c r="NJI28" s="3468"/>
      <c r="NJJ28" s="3468"/>
      <c r="NJK28" s="3468"/>
      <c r="NJL28" s="3468"/>
      <c r="NJM28" s="3468"/>
      <c r="NJN28" s="3468"/>
      <c r="NJO28" s="3468"/>
      <c r="NJP28" s="3468"/>
      <c r="NJQ28" s="3468"/>
      <c r="NJR28" s="3468"/>
      <c r="NJS28" s="3468"/>
      <c r="NJT28" s="3468"/>
      <c r="NJU28" s="3468"/>
      <c r="NJV28" s="3468"/>
      <c r="NJW28" s="3468"/>
      <c r="NJX28" s="3468"/>
      <c r="NJY28" s="3468"/>
      <c r="NJZ28" s="3468"/>
      <c r="NKA28" s="3468"/>
      <c r="NKB28" s="3468"/>
      <c r="NKC28" s="3468"/>
      <c r="NKD28" s="3468"/>
      <c r="NKE28" s="3468"/>
      <c r="NKF28" s="3468"/>
      <c r="NKG28" s="3468"/>
      <c r="NKH28" s="3468"/>
      <c r="NKI28" s="3468"/>
      <c r="NKJ28" s="3468"/>
      <c r="NKK28" s="3468"/>
      <c r="NKL28" s="3468"/>
      <c r="NKM28" s="3468"/>
      <c r="NKN28" s="3468"/>
      <c r="NKO28" s="3468"/>
      <c r="NKP28" s="3468"/>
      <c r="NKQ28" s="3468"/>
      <c r="NKR28" s="3468"/>
      <c r="NKS28" s="3468"/>
      <c r="NKT28" s="3468"/>
      <c r="NKU28" s="3468"/>
      <c r="NKV28" s="3468"/>
      <c r="NKW28" s="3468"/>
      <c r="NKX28" s="3468"/>
      <c r="NKY28" s="3468"/>
      <c r="NKZ28" s="3468"/>
      <c r="NLA28" s="3468"/>
      <c r="NLB28" s="3468"/>
      <c r="NLC28" s="3468"/>
      <c r="NLD28" s="3468"/>
      <c r="NLE28" s="3468"/>
      <c r="NLF28" s="3468"/>
      <c r="NLG28" s="3468"/>
      <c r="NLH28" s="3468"/>
      <c r="NLI28" s="3468"/>
      <c r="NLJ28" s="3468"/>
      <c r="NLK28" s="3468"/>
      <c r="NLL28" s="3468"/>
      <c r="NLM28" s="3468"/>
      <c r="NLN28" s="3468"/>
      <c r="NLO28" s="3468"/>
      <c r="NLP28" s="3468"/>
      <c r="NLQ28" s="3468"/>
      <c r="NLR28" s="3468"/>
      <c r="NLS28" s="3468"/>
      <c r="NLT28" s="3468"/>
      <c r="NLU28" s="3468"/>
      <c r="NLV28" s="3468"/>
      <c r="NLW28" s="3468"/>
      <c r="NLX28" s="3468"/>
      <c r="NLY28" s="3468"/>
      <c r="NLZ28" s="3468"/>
      <c r="NMA28" s="3468"/>
      <c r="NMB28" s="3468"/>
      <c r="NMC28" s="3468"/>
      <c r="NMD28" s="3468"/>
      <c r="NME28" s="3468"/>
      <c r="NMF28" s="3468"/>
      <c r="NMG28" s="3468"/>
      <c r="NMH28" s="3468"/>
      <c r="NMI28" s="3468"/>
      <c r="NMJ28" s="3468"/>
      <c r="NMK28" s="3468"/>
      <c r="NML28" s="3468"/>
      <c r="NMM28" s="3468"/>
      <c r="NMN28" s="3468"/>
      <c r="NMO28" s="3468"/>
      <c r="NMP28" s="3468"/>
      <c r="NMQ28" s="3468"/>
      <c r="NMR28" s="3468"/>
      <c r="NMS28" s="3468"/>
      <c r="NMT28" s="3468"/>
      <c r="NMU28" s="3468"/>
      <c r="NMV28" s="3468"/>
      <c r="NMW28" s="3468"/>
      <c r="NMX28" s="3468"/>
      <c r="NMY28" s="3468"/>
      <c r="NMZ28" s="3468"/>
      <c r="NNA28" s="3468"/>
      <c r="NNB28" s="3468"/>
      <c r="NNC28" s="3468"/>
      <c r="NND28" s="3468"/>
      <c r="NNE28" s="3468"/>
      <c r="NNF28" s="3468"/>
      <c r="NNG28" s="3468"/>
      <c r="NNH28" s="3468"/>
      <c r="NNI28" s="3468"/>
      <c r="NNJ28" s="3468"/>
      <c r="NNK28" s="3468"/>
      <c r="NNL28" s="3468"/>
      <c r="NNM28" s="3468"/>
      <c r="NNN28" s="3468"/>
      <c r="NNO28" s="3468"/>
      <c r="NNP28" s="3468"/>
      <c r="NNQ28" s="3468"/>
      <c r="NNR28" s="3468"/>
      <c r="NNS28" s="3468"/>
      <c r="NNT28" s="3468"/>
      <c r="NNU28" s="3468"/>
      <c r="NNV28" s="3468"/>
      <c r="NNW28" s="3468"/>
      <c r="NNX28" s="3468"/>
      <c r="NNY28" s="3468"/>
      <c r="NNZ28" s="3468"/>
      <c r="NOA28" s="3468"/>
      <c r="NOB28" s="3468"/>
      <c r="NOC28" s="3468"/>
      <c r="NOD28" s="3468"/>
      <c r="NOE28" s="3468"/>
      <c r="NOF28" s="3468"/>
      <c r="NOG28" s="3468"/>
      <c r="NOH28" s="3468"/>
      <c r="NOI28" s="3468"/>
      <c r="NOJ28" s="3468"/>
      <c r="NOK28" s="3468"/>
      <c r="NOL28" s="3468"/>
      <c r="NOM28" s="3468"/>
      <c r="NON28" s="3468"/>
      <c r="NOO28" s="3468"/>
      <c r="NOP28" s="3468"/>
      <c r="NOQ28" s="3468"/>
      <c r="NOR28" s="3468"/>
      <c r="NOS28" s="3468"/>
      <c r="NOT28" s="3468"/>
      <c r="NOU28" s="3468"/>
      <c r="NOV28" s="3468"/>
      <c r="NOW28" s="3468"/>
      <c r="NOX28" s="3468"/>
      <c r="NOY28" s="3468"/>
      <c r="NOZ28" s="3468"/>
      <c r="NPA28" s="3468"/>
      <c r="NPB28" s="3468"/>
      <c r="NPC28" s="3468"/>
      <c r="NPD28" s="3468"/>
      <c r="NPE28" s="3468"/>
      <c r="NPF28" s="3468"/>
      <c r="NPG28" s="3468"/>
      <c r="NPH28" s="3468"/>
      <c r="NPI28" s="3468"/>
      <c r="NPJ28" s="3468"/>
      <c r="NPK28" s="3468"/>
      <c r="NPL28" s="3468"/>
      <c r="NPM28" s="3468"/>
      <c r="NPN28" s="3468"/>
      <c r="NPO28" s="3468"/>
      <c r="NPP28" s="3468"/>
      <c r="NPQ28" s="3468"/>
      <c r="NPR28" s="3468"/>
      <c r="NPS28" s="3468"/>
      <c r="NPT28" s="3468"/>
      <c r="NPU28" s="3468"/>
      <c r="NPV28" s="3468"/>
      <c r="NPW28" s="3468"/>
      <c r="NPX28" s="3468"/>
      <c r="NPY28" s="3468"/>
      <c r="NPZ28" s="3468"/>
      <c r="NQA28" s="3468"/>
      <c r="NQB28" s="3468"/>
      <c r="NQC28" s="3468"/>
      <c r="NQD28" s="3468"/>
      <c r="NQE28" s="3468"/>
      <c r="NQF28" s="3468"/>
      <c r="NQG28" s="3468"/>
      <c r="NQH28" s="3468"/>
      <c r="NQI28" s="3468"/>
      <c r="NQJ28" s="3468"/>
      <c r="NQK28" s="3468"/>
      <c r="NQL28" s="3468"/>
      <c r="NQM28" s="3468"/>
      <c r="NQN28" s="3468"/>
      <c r="NQO28" s="3468"/>
      <c r="NQP28" s="3468"/>
      <c r="NQQ28" s="3468"/>
      <c r="NQR28" s="3468"/>
      <c r="NQS28" s="3468"/>
      <c r="NQT28" s="3468"/>
      <c r="NQU28" s="3468"/>
      <c r="NQV28" s="3468"/>
      <c r="NQW28" s="3468"/>
      <c r="NQX28" s="3468"/>
      <c r="NQY28" s="3468"/>
      <c r="NQZ28" s="3468"/>
      <c r="NRA28" s="3468"/>
      <c r="NRB28" s="3468"/>
      <c r="NRC28" s="3468"/>
      <c r="NRD28" s="3468"/>
      <c r="NRE28" s="3468"/>
      <c r="NRF28" s="3468"/>
      <c r="NRG28" s="3468"/>
      <c r="NRH28" s="3468"/>
      <c r="NRI28" s="3468"/>
      <c r="NRJ28" s="3468"/>
      <c r="NRK28" s="3468"/>
      <c r="NRL28" s="3468"/>
      <c r="NRM28" s="3468"/>
      <c r="NRN28" s="3468"/>
      <c r="NRO28" s="3468"/>
      <c r="NRP28" s="3468"/>
      <c r="NRQ28" s="3468"/>
      <c r="NRR28" s="3468"/>
      <c r="NRS28" s="3468"/>
      <c r="NRT28" s="3468"/>
      <c r="NRU28" s="3468"/>
      <c r="NRV28" s="3468"/>
      <c r="NRW28" s="3468"/>
      <c r="NRX28" s="3468"/>
      <c r="NRY28" s="3468"/>
      <c r="NRZ28" s="3468"/>
      <c r="NSA28" s="3468"/>
      <c r="NSB28" s="3468"/>
      <c r="NSC28" s="3468"/>
      <c r="NSD28" s="3468"/>
      <c r="NSE28" s="3468"/>
      <c r="NSF28" s="3468"/>
      <c r="NSG28" s="3468"/>
      <c r="NSH28" s="3468"/>
      <c r="NSI28" s="3468"/>
      <c r="NSJ28" s="3468"/>
      <c r="NSK28" s="3468"/>
      <c r="NSL28" s="3468"/>
      <c r="NSM28" s="3468"/>
      <c r="NSN28" s="3468"/>
      <c r="NSO28" s="3468"/>
      <c r="NSP28" s="3468"/>
      <c r="NSQ28" s="3468"/>
      <c r="NSR28" s="3468"/>
      <c r="NSS28" s="3468"/>
      <c r="NST28" s="3468"/>
      <c r="NSU28" s="3468"/>
      <c r="NSV28" s="3468"/>
      <c r="NSW28" s="3468"/>
      <c r="NSX28" s="3468"/>
      <c r="NSY28" s="3468"/>
      <c r="NSZ28" s="3468"/>
      <c r="NTA28" s="3468"/>
      <c r="NTB28" s="3468"/>
      <c r="NTC28" s="3468"/>
      <c r="NTD28" s="3468"/>
      <c r="NTE28" s="3468"/>
      <c r="NTF28" s="3468"/>
      <c r="NTG28" s="3468"/>
      <c r="NTH28" s="3468"/>
      <c r="NTI28" s="3468"/>
      <c r="NTJ28" s="3468"/>
      <c r="NTK28" s="3468"/>
      <c r="NTL28" s="3468"/>
      <c r="NTM28" s="3468"/>
      <c r="NTN28" s="3468"/>
      <c r="NTO28" s="3468"/>
      <c r="NTP28" s="3468"/>
      <c r="NTQ28" s="3468"/>
      <c r="NTR28" s="3468"/>
      <c r="NTS28" s="3468"/>
      <c r="NTT28" s="3468"/>
      <c r="NTU28" s="3468"/>
      <c r="NTV28" s="3468"/>
      <c r="NTW28" s="3468"/>
      <c r="NTX28" s="3468"/>
      <c r="NTY28" s="3468"/>
      <c r="NTZ28" s="3468"/>
      <c r="NUA28" s="3468"/>
      <c r="NUB28" s="3468"/>
      <c r="NUC28" s="3468"/>
      <c r="NUD28" s="3468"/>
      <c r="NUE28" s="3468"/>
      <c r="NUF28" s="3468"/>
      <c r="NUG28" s="3468"/>
      <c r="NUH28" s="3468"/>
      <c r="NUI28" s="3468"/>
      <c r="NUJ28" s="3468"/>
      <c r="NUK28" s="3468"/>
      <c r="NUL28" s="3468"/>
      <c r="NUM28" s="3468"/>
      <c r="NUN28" s="3468"/>
      <c r="NUO28" s="3468"/>
      <c r="NUP28" s="3468"/>
      <c r="NUQ28" s="3468"/>
      <c r="NUR28" s="3468"/>
      <c r="NUS28" s="3468"/>
      <c r="NUT28" s="3468"/>
      <c r="NUU28" s="3468"/>
      <c r="NUV28" s="3468"/>
      <c r="NUW28" s="3468"/>
      <c r="NUX28" s="3468"/>
      <c r="NUY28" s="3468"/>
      <c r="NUZ28" s="3468"/>
      <c r="NVA28" s="3468"/>
      <c r="NVB28" s="3468"/>
      <c r="NVC28" s="3468"/>
      <c r="NVD28" s="3468"/>
      <c r="NVE28" s="3468"/>
      <c r="NVF28" s="3468"/>
      <c r="NVG28" s="3468"/>
      <c r="NVH28" s="3468"/>
      <c r="NVI28" s="3468"/>
      <c r="NVJ28" s="3468"/>
      <c r="NVK28" s="3468"/>
      <c r="NVL28" s="3468"/>
      <c r="NVM28" s="3468"/>
      <c r="NVN28" s="3468"/>
      <c r="NVO28" s="3468"/>
      <c r="NVP28" s="3468"/>
      <c r="NVQ28" s="3468"/>
      <c r="NVR28" s="3468"/>
      <c r="NVS28" s="3468"/>
      <c r="NVT28" s="3468"/>
      <c r="NVU28" s="3468"/>
      <c r="NVV28" s="3468"/>
      <c r="NVW28" s="3468"/>
      <c r="NVX28" s="3468"/>
      <c r="NVY28" s="3468"/>
      <c r="NVZ28" s="3468"/>
      <c r="NWA28" s="3468"/>
      <c r="NWB28" s="3468"/>
      <c r="NWC28" s="3468"/>
      <c r="NWD28" s="3468"/>
      <c r="NWE28" s="3468"/>
      <c r="NWF28" s="3468"/>
      <c r="NWG28" s="3468"/>
      <c r="NWH28" s="3468"/>
      <c r="NWI28" s="3468"/>
      <c r="NWJ28" s="3468"/>
      <c r="NWK28" s="3468"/>
      <c r="NWL28" s="3468"/>
      <c r="NWM28" s="3468"/>
      <c r="NWN28" s="3468"/>
      <c r="NWO28" s="3468"/>
      <c r="NWP28" s="3468"/>
      <c r="NWQ28" s="3468"/>
      <c r="NWR28" s="3468"/>
      <c r="NWS28" s="3468"/>
      <c r="NWT28" s="3468"/>
      <c r="NWU28" s="3468"/>
      <c r="NWV28" s="3468"/>
      <c r="NWW28" s="3468"/>
      <c r="NWX28" s="3468"/>
      <c r="NWY28" s="3468"/>
      <c r="NWZ28" s="3468"/>
      <c r="NXA28" s="3468"/>
      <c r="NXB28" s="3468"/>
      <c r="NXC28" s="3468"/>
      <c r="NXD28" s="3468"/>
      <c r="NXE28" s="3468"/>
      <c r="NXF28" s="3468"/>
      <c r="NXG28" s="3468"/>
      <c r="NXH28" s="3468"/>
      <c r="NXI28" s="3468"/>
      <c r="NXJ28" s="3468"/>
      <c r="NXK28" s="3468"/>
      <c r="NXL28" s="3468"/>
      <c r="NXM28" s="3468"/>
      <c r="NXN28" s="3468"/>
      <c r="NXO28" s="3468"/>
      <c r="NXP28" s="3468"/>
      <c r="NXQ28" s="3468"/>
      <c r="NXR28" s="3468"/>
      <c r="NXS28" s="3468"/>
      <c r="NXT28" s="3468"/>
      <c r="NXU28" s="3468"/>
      <c r="NXV28" s="3468"/>
      <c r="NXW28" s="3468"/>
      <c r="NXX28" s="3468"/>
      <c r="NXY28" s="3468"/>
      <c r="NXZ28" s="3468"/>
      <c r="NYA28" s="3468"/>
      <c r="NYB28" s="3468"/>
      <c r="NYC28" s="3468"/>
      <c r="NYD28" s="3468"/>
      <c r="NYE28" s="3468"/>
      <c r="NYF28" s="3468"/>
      <c r="NYG28" s="3468"/>
      <c r="NYH28" s="3468"/>
      <c r="NYI28" s="3468"/>
      <c r="NYJ28" s="3468"/>
      <c r="NYK28" s="3468"/>
      <c r="NYL28" s="3468"/>
      <c r="NYM28" s="3468"/>
      <c r="NYN28" s="3468"/>
      <c r="NYO28" s="3468"/>
      <c r="NYP28" s="3468"/>
      <c r="NYQ28" s="3468"/>
      <c r="NYR28" s="3468"/>
      <c r="NYS28" s="3468"/>
      <c r="NYT28" s="3468"/>
      <c r="NYU28" s="3468"/>
      <c r="NYV28" s="3468"/>
      <c r="NYW28" s="3468"/>
      <c r="NYX28" s="3468"/>
      <c r="NYY28" s="3468"/>
      <c r="NYZ28" s="3468"/>
      <c r="NZA28" s="3468"/>
      <c r="NZB28" s="3468"/>
      <c r="NZC28" s="3468"/>
      <c r="NZD28" s="3468"/>
      <c r="NZE28" s="3468"/>
      <c r="NZF28" s="3468"/>
      <c r="NZG28" s="3468"/>
      <c r="NZH28" s="3468"/>
      <c r="NZI28" s="3468"/>
      <c r="NZJ28" s="3468"/>
      <c r="NZK28" s="3468"/>
      <c r="NZL28" s="3468"/>
      <c r="NZM28" s="3468"/>
      <c r="NZN28" s="3468"/>
      <c r="NZO28" s="3468"/>
      <c r="NZP28" s="3468"/>
      <c r="NZQ28" s="3468"/>
      <c r="NZR28" s="3468"/>
      <c r="NZS28" s="3468"/>
      <c r="NZT28" s="3468"/>
      <c r="NZU28" s="3468"/>
      <c r="NZV28" s="3468"/>
      <c r="NZW28" s="3468"/>
      <c r="NZX28" s="3468"/>
      <c r="NZY28" s="3468"/>
      <c r="NZZ28" s="3468"/>
      <c r="OAA28" s="3468"/>
      <c r="OAB28" s="3468"/>
      <c r="OAC28" s="3468"/>
      <c r="OAD28" s="3468"/>
      <c r="OAE28" s="3468"/>
      <c r="OAF28" s="3468"/>
      <c r="OAG28" s="3468"/>
      <c r="OAH28" s="3468"/>
      <c r="OAI28" s="3468"/>
      <c r="OAJ28" s="3468"/>
      <c r="OAK28" s="3468"/>
      <c r="OAL28" s="3468"/>
      <c r="OAM28" s="3468"/>
      <c r="OAN28" s="3468"/>
      <c r="OAO28" s="3468"/>
      <c r="OAP28" s="3468"/>
      <c r="OAQ28" s="3468"/>
      <c r="OAR28" s="3468"/>
      <c r="OAS28" s="3468"/>
      <c r="OAT28" s="3468"/>
      <c r="OAU28" s="3468"/>
      <c r="OAV28" s="3468"/>
      <c r="OAW28" s="3468"/>
      <c r="OAX28" s="3468"/>
      <c r="OAY28" s="3468"/>
      <c r="OAZ28" s="3468"/>
      <c r="OBA28" s="3468"/>
      <c r="OBB28" s="3468"/>
      <c r="OBC28" s="3468"/>
      <c r="OBD28" s="3468"/>
      <c r="OBE28" s="3468"/>
      <c r="OBF28" s="3468"/>
      <c r="OBG28" s="3468"/>
      <c r="OBH28" s="3468"/>
      <c r="OBI28" s="3468"/>
      <c r="OBJ28" s="3468"/>
      <c r="OBK28" s="3468"/>
      <c r="OBL28" s="3468"/>
      <c r="OBM28" s="3468"/>
      <c r="OBN28" s="3468"/>
      <c r="OBO28" s="3468"/>
      <c r="OBP28" s="3468"/>
      <c r="OBQ28" s="3468"/>
      <c r="OBR28" s="3468"/>
      <c r="OBS28" s="3468"/>
      <c r="OBT28" s="3468"/>
      <c r="OBU28" s="3468"/>
      <c r="OBV28" s="3468"/>
      <c r="OBW28" s="3468"/>
      <c r="OBX28" s="3468"/>
      <c r="OBY28" s="3468"/>
      <c r="OBZ28" s="3468"/>
      <c r="OCA28" s="3468"/>
      <c r="OCB28" s="3468"/>
      <c r="OCC28" s="3468"/>
      <c r="OCD28" s="3468"/>
      <c r="OCE28" s="3468"/>
      <c r="OCF28" s="3468"/>
      <c r="OCG28" s="3468"/>
      <c r="OCH28" s="3468"/>
      <c r="OCI28" s="3468"/>
      <c r="OCJ28" s="3468"/>
      <c r="OCK28" s="3468"/>
      <c r="OCL28" s="3468"/>
      <c r="OCM28" s="3468"/>
      <c r="OCN28" s="3468"/>
      <c r="OCO28" s="3468"/>
      <c r="OCP28" s="3468"/>
      <c r="OCQ28" s="3468"/>
      <c r="OCR28" s="3468"/>
      <c r="OCS28" s="3468"/>
      <c r="OCT28" s="3468"/>
      <c r="OCU28" s="3468"/>
      <c r="OCV28" s="3468"/>
      <c r="OCW28" s="3468"/>
      <c r="OCX28" s="3468"/>
      <c r="OCY28" s="3468"/>
      <c r="OCZ28" s="3468"/>
      <c r="ODA28" s="3468"/>
      <c r="ODB28" s="3468"/>
      <c r="ODC28" s="3468"/>
      <c r="ODD28" s="3468"/>
      <c r="ODE28" s="3468"/>
      <c r="ODF28" s="3468"/>
      <c r="ODG28" s="3468"/>
      <c r="ODH28" s="3468"/>
      <c r="ODI28" s="3468"/>
      <c r="ODJ28" s="3468"/>
      <c r="ODK28" s="3468"/>
      <c r="ODL28" s="3468"/>
      <c r="ODM28" s="3468"/>
      <c r="ODN28" s="3468"/>
      <c r="ODO28" s="3468"/>
      <c r="ODP28" s="3468"/>
      <c r="ODQ28" s="3468"/>
      <c r="ODR28" s="3468"/>
      <c r="ODS28" s="3468"/>
      <c r="ODT28" s="3468"/>
      <c r="ODU28" s="3468"/>
      <c r="ODV28" s="3468"/>
      <c r="ODW28" s="3468"/>
      <c r="ODX28" s="3468"/>
      <c r="ODY28" s="3468"/>
      <c r="ODZ28" s="3468"/>
      <c r="OEA28" s="3468"/>
      <c r="OEB28" s="3468"/>
      <c r="OEC28" s="3468"/>
      <c r="OED28" s="3468"/>
      <c r="OEE28" s="3468"/>
      <c r="OEF28" s="3468"/>
      <c r="OEG28" s="3468"/>
      <c r="OEH28" s="3468"/>
      <c r="OEI28" s="3468"/>
      <c r="OEJ28" s="3468"/>
      <c r="OEK28" s="3468"/>
      <c r="OEL28" s="3468"/>
      <c r="OEM28" s="3468"/>
      <c r="OEN28" s="3468"/>
      <c r="OEO28" s="3468"/>
      <c r="OEP28" s="3468"/>
      <c r="OEQ28" s="3468"/>
      <c r="OER28" s="3468"/>
      <c r="OES28" s="3468"/>
      <c r="OET28" s="3468"/>
      <c r="OEU28" s="3468"/>
      <c r="OEV28" s="3468"/>
      <c r="OEW28" s="3468"/>
      <c r="OEX28" s="3468"/>
      <c r="OEY28" s="3468"/>
      <c r="OEZ28" s="3468"/>
      <c r="OFA28" s="3468"/>
      <c r="OFB28" s="3468"/>
      <c r="OFC28" s="3468"/>
      <c r="OFD28" s="3468"/>
      <c r="OFE28" s="3468"/>
      <c r="OFF28" s="3468"/>
      <c r="OFG28" s="3468"/>
      <c r="OFH28" s="3468"/>
      <c r="OFI28" s="3468"/>
      <c r="OFJ28" s="3468"/>
      <c r="OFK28" s="3468"/>
      <c r="OFL28" s="3468"/>
      <c r="OFM28" s="3468"/>
      <c r="OFN28" s="3468"/>
      <c r="OFO28" s="3468"/>
      <c r="OFP28" s="3468"/>
      <c r="OFQ28" s="3468"/>
      <c r="OFR28" s="3468"/>
      <c r="OFS28" s="3468"/>
      <c r="OFT28" s="3468"/>
      <c r="OFU28" s="3468"/>
      <c r="OFV28" s="3468"/>
      <c r="OFW28" s="3468"/>
      <c r="OFX28" s="3468"/>
      <c r="OFY28" s="3468"/>
      <c r="OFZ28" s="3468"/>
      <c r="OGA28" s="3468"/>
      <c r="OGB28" s="3468"/>
      <c r="OGC28" s="3468"/>
      <c r="OGD28" s="3468"/>
      <c r="OGE28" s="3468"/>
      <c r="OGF28" s="3468"/>
      <c r="OGG28" s="3468"/>
      <c r="OGH28" s="3468"/>
      <c r="OGI28" s="3468"/>
      <c r="OGJ28" s="3468"/>
      <c r="OGK28" s="3468"/>
      <c r="OGL28" s="3468"/>
      <c r="OGM28" s="3468"/>
      <c r="OGN28" s="3468"/>
      <c r="OGO28" s="3468"/>
      <c r="OGP28" s="3468"/>
      <c r="OGQ28" s="3468"/>
      <c r="OGR28" s="3468"/>
      <c r="OGS28" s="3468"/>
      <c r="OGT28" s="3468"/>
      <c r="OGU28" s="3468"/>
      <c r="OGV28" s="3468"/>
      <c r="OGW28" s="3468"/>
      <c r="OGX28" s="3468"/>
      <c r="OGY28" s="3468"/>
      <c r="OGZ28" s="3468"/>
      <c r="OHA28" s="3468"/>
      <c r="OHB28" s="3468"/>
      <c r="OHC28" s="3468"/>
      <c r="OHD28" s="3468"/>
      <c r="OHE28" s="3468"/>
      <c r="OHF28" s="3468"/>
      <c r="OHG28" s="3468"/>
      <c r="OHH28" s="3468"/>
      <c r="OHI28" s="3468"/>
      <c r="OHJ28" s="3468"/>
      <c r="OHK28" s="3468"/>
      <c r="OHL28" s="3468"/>
      <c r="OHM28" s="3468"/>
      <c r="OHN28" s="3468"/>
      <c r="OHO28" s="3468"/>
      <c r="OHP28" s="3468"/>
      <c r="OHQ28" s="3468"/>
      <c r="OHR28" s="3468"/>
      <c r="OHS28" s="3468"/>
      <c r="OHT28" s="3468"/>
      <c r="OHU28" s="3468"/>
      <c r="OHV28" s="3468"/>
      <c r="OHW28" s="3468"/>
      <c r="OHX28" s="3468"/>
      <c r="OHY28" s="3468"/>
      <c r="OHZ28" s="3468"/>
      <c r="OIA28" s="3468"/>
      <c r="OIB28" s="3468"/>
      <c r="OIC28" s="3468"/>
      <c r="OID28" s="3468"/>
      <c r="OIE28" s="3468"/>
      <c r="OIF28" s="3468"/>
      <c r="OIG28" s="3468"/>
      <c r="OIH28" s="3468"/>
      <c r="OII28" s="3468"/>
      <c r="OIJ28" s="3468"/>
      <c r="OIK28" s="3468"/>
      <c r="OIL28" s="3468"/>
      <c r="OIM28" s="3468"/>
      <c r="OIN28" s="3468"/>
      <c r="OIO28" s="3468"/>
      <c r="OIP28" s="3468"/>
      <c r="OIQ28" s="3468"/>
      <c r="OIR28" s="3468"/>
      <c r="OIS28" s="3468"/>
      <c r="OIT28" s="3468"/>
      <c r="OIU28" s="3468"/>
      <c r="OIV28" s="3468"/>
      <c r="OIW28" s="3468"/>
      <c r="OIX28" s="3468"/>
      <c r="OIY28" s="3468"/>
      <c r="OIZ28" s="3468"/>
      <c r="OJA28" s="3468"/>
      <c r="OJB28" s="3468"/>
      <c r="OJC28" s="3468"/>
      <c r="OJD28" s="3468"/>
      <c r="OJE28" s="3468"/>
      <c r="OJF28" s="3468"/>
      <c r="OJG28" s="3468"/>
      <c r="OJH28" s="3468"/>
      <c r="OJI28" s="3468"/>
      <c r="OJJ28" s="3468"/>
      <c r="OJK28" s="3468"/>
      <c r="OJL28" s="3468"/>
      <c r="OJM28" s="3468"/>
      <c r="OJN28" s="3468"/>
      <c r="OJO28" s="3468"/>
      <c r="OJP28" s="3468"/>
      <c r="OJQ28" s="3468"/>
      <c r="OJR28" s="3468"/>
      <c r="OJS28" s="3468"/>
      <c r="OJT28" s="3468"/>
      <c r="OJU28" s="3468"/>
      <c r="OJV28" s="3468"/>
      <c r="OJW28" s="3468"/>
      <c r="OJX28" s="3468"/>
      <c r="OJY28" s="3468"/>
      <c r="OJZ28" s="3468"/>
      <c r="OKA28" s="3468"/>
      <c r="OKB28" s="3468"/>
      <c r="OKC28" s="3468"/>
      <c r="OKD28" s="3468"/>
      <c r="OKE28" s="3468"/>
      <c r="OKF28" s="3468"/>
      <c r="OKG28" s="3468"/>
      <c r="OKH28" s="3468"/>
      <c r="OKI28" s="3468"/>
      <c r="OKJ28" s="3468"/>
      <c r="OKK28" s="3468"/>
      <c r="OKL28" s="3468"/>
      <c r="OKM28" s="3468"/>
      <c r="OKN28" s="3468"/>
      <c r="OKO28" s="3468"/>
      <c r="OKP28" s="3468"/>
      <c r="OKQ28" s="3468"/>
      <c r="OKR28" s="3468"/>
      <c r="OKS28" s="3468"/>
      <c r="OKT28" s="3468"/>
      <c r="OKU28" s="3468"/>
      <c r="OKV28" s="3468"/>
      <c r="OKW28" s="3468"/>
      <c r="OKX28" s="3468"/>
      <c r="OKY28" s="3468"/>
      <c r="OKZ28" s="3468"/>
      <c r="OLA28" s="3468"/>
      <c r="OLB28" s="3468"/>
      <c r="OLC28" s="3468"/>
      <c r="OLD28" s="3468"/>
      <c r="OLE28" s="3468"/>
      <c r="OLF28" s="3468"/>
      <c r="OLG28" s="3468"/>
      <c r="OLH28" s="3468"/>
      <c r="OLI28" s="3468"/>
      <c r="OLJ28" s="3468"/>
      <c r="OLK28" s="3468"/>
      <c r="OLL28" s="3468"/>
      <c r="OLM28" s="3468"/>
      <c r="OLN28" s="3468"/>
      <c r="OLO28" s="3468"/>
      <c r="OLP28" s="3468"/>
      <c r="OLQ28" s="3468"/>
      <c r="OLR28" s="3468"/>
      <c r="OLS28" s="3468"/>
      <c r="OLT28" s="3468"/>
      <c r="OLU28" s="3468"/>
      <c r="OLV28" s="3468"/>
      <c r="OLW28" s="3468"/>
      <c r="OLX28" s="3468"/>
      <c r="OLY28" s="3468"/>
      <c r="OLZ28" s="3468"/>
      <c r="OMA28" s="3468"/>
      <c r="OMB28" s="3468"/>
      <c r="OMC28" s="3468"/>
      <c r="OMD28" s="3468"/>
      <c r="OME28" s="3468"/>
      <c r="OMF28" s="3468"/>
      <c r="OMG28" s="3468"/>
      <c r="OMH28" s="3468"/>
      <c r="OMI28" s="3468"/>
      <c r="OMJ28" s="3468"/>
      <c r="OMK28" s="3468"/>
      <c r="OML28" s="3468"/>
      <c r="OMM28" s="3468"/>
      <c r="OMN28" s="3468"/>
      <c r="OMO28" s="3468"/>
      <c r="OMP28" s="3468"/>
      <c r="OMQ28" s="3468"/>
      <c r="OMR28" s="3468"/>
      <c r="OMS28" s="3468"/>
      <c r="OMT28" s="3468"/>
      <c r="OMU28" s="3468"/>
      <c r="OMV28" s="3468"/>
      <c r="OMW28" s="3468"/>
      <c r="OMX28" s="3468"/>
      <c r="OMY28" s="3468"/>
      <c r="OMZ28" s="3468"/>
      <c r="ONA28" s="3468"/>
      <c r="ONB28" s="3468"/>
      <c r="ONC28" s="3468"/>
      <c r="OND28" s="3468"/>
      <c r="ONE28" s="3468"/>
      <c r="ONF28" s="3468"/>
      <c r="ONG28" s="3468"/>
      <c r="ONH28" s="3468"/>
      <c r="ONI28" s="3468"/>
      <c r="ONJ28" s="3468"/>
      <c r="ONK28" s="3468"/>
      <c r="ONL28" s="3468"/>
      <c r="ONM28" s="3468"/>
      <c r="ONN28" s="3468"/>
      <c r="ONO28" s="3468"/>
      <c r="ONP28" s="3468"/>
      <c r="ONQ28" s="3468"/>
      <c r="ONR28" s="3468"/>
      <c r="ONS28" s="3468"/>
      <c r="ONT28" s="3468"/>
      <c r="ONU28" s="3468"/>
      <c r="ONV28" s="3468"/>
      <c r="ONW28" s="3468"/>
      <c r="ONX28" s="3468"/>
      <c r="ONY28" s="3468"/>
      <c r="ONZ28" s="3468"/>
      <c r="OOA28" s="3468"/>
      <c r="OOB28" s="3468"/>
      <c r="OOC28" s="3468"/>
      <c r="OOD28" s="3468"/>
      <c r="OOE28" s="3468"/>
      <c r="OOF28" s="3468"/>
      <c r="OOG28" s="3468"/>
      <c r="OOH28" s="3468"/>
      <c r="OOI28" s="3468"/>
      <c r="OOJ28" s="3468"/>
      <c r="OOK28" s="3468"/>
      <c r="OOL28" s="3468"/>
      <c r="OOM28" s="3468"/>
      <c r="OON28" s="3468"/>
      <c r="OOO28" s="3468"/>
      <c r="OOP28" s="3468"/>
      <c r="OOQ28" s="3468"/>
      <c r="OOR28" s="3468"/>
      <c r="OOS28" s="3468"/>
      <c r="OOT28" s="3468"/>
      <c r="OOU28" s="3468"/>
      <c r="OOV28" s="3468"/>
      <c r="OOW28" s="3468"/>
      <c r="OOX28" s="3468"/>
      <c r="OOY28" s="3468"/>
      <c r="OOZ28" s="3468"/>
      <c r="OPA28" s="3468"/>
      <c r="OPB28" s="3468"/>
      <c r="OPC28" s="3468"/>
      <c r="OPD28" s="3468"/>
      <c r="OPE28" s="3468"/>
      <c r="OPF28" s="3468"/>
      <c r="OPG28" s="3468"/>
      <c r="OPH28" s="3468"/>
      <c r="OPI28" s="3468"/>
      <c r="OPJ28" s="3468"/>
      <c r="OPK28" s="3468"/>
      <c r="OPL28" s="3468"/>
      <c r="OPM28" s="3468"/>
      <c r="OPN28" s="3468"/>
      <c r="OPO28" s="3468"/>
      <c r="OPP28" s="3468"/>
      <c r="OPQ28" s="3468"/>
      <c r="OPR28" s="3468"/>
      <c r="OPS28" s="3468"/>
      <c r="OPT28" s="3468"/>
      <c r="OPU28" s="3468"/>
      <c r="OPV28" s="3468"/>
      <c r="OPW28" s="3468"/>
      <c r="OPX28" s="3468"/>
      <c r="OPY28" s="3468"/>
      <c r="OPZ28" s="3468"/>
      <c r="OQA28" s="3468"/>
      <c r="OQB28" s="3468"/>
      <c r="OQC28" s="3468"/>
      <c r="OQD28" s="3468"/>
      <c r="OQE28" s="3468"/>
      <c r="OQF28" s="3468"/>
      <c r="OQG28" s="3468"/>
      <c r="OQH28" s="3468"/>
      <c r="OQI28" s="3468"/>
      <c r="OQJ28" s="3468"/>
      <c r="OQK28" s="3468"/>
      <c r="OQL28" s="3468"/>
      <c r="OQM28" s="3468"/>
      <c r="OQN28" s="3468"/>
      <c r="OQO28" s="3468"/>
      <c r="OQP28" s="3468"/>
      <c r="OQQ28" s="3468"/>
      <c r="OQR28" s="3468"/>
      <c r="OQS28" s="3468"/>
      <c r="OQT28" s="3468"/>
      <c r="OQU28" s="3468"/>
      <c r="OQV28" s="3468"/>
      <c r="OQW28" s="3468"/>
      <c r="OQX28" s="3468"/>
      <c r="OQY28" s="3468"/>
      <c r="OQZ28" s="3468"/>
      <c r="ORA28" s="3468"/>
      <c r="ORB28" s="3468"/>
      <c r="ORC28" s="3468"/>
      <c r="ORD28" s="3468"/>
      <c r="ORE28" s="3468"/>
      <c r="ORF28" s="3468"/>
      <c r="ORG28" s="3468"/>
      <c r="ORH28" s="3468"/>
      <c r="ORI28" s="3468"/>
      <c r="ORJ28" s="3468"/>
      <c r="ORK28" s="3468"/>
      <c r="ORL28" s="3468"/>
      <c r="ORM28" s="3468"/>
      <c r="ORN28" s="3468"/>
      <c r="ORO28" s="3468"/>
      <c r="ORP28" s="3468"/>
      <c r="ORQ28" s="3468"/>
      <c r="ORR28" s="3468"/>
      <c r="ORS28" s="3468"/>
      <c r="ORT28" s="3468"/>
      <c r="ORU28" s="3468"/>
      <c r="ORV28" s="3468"/>
      <c r="ORW28" s="3468"/>
      <c r="ORX28" s="3468"/>
      <c r="ORY28" s="3468"/>
      <c r="ORZ28" s="3468"/>
      <c r="OSA28" s="3468"/>
      <c r="OSB28" s="3468"/>
      <c r="OSC28" s="3468"/>
      <c r="OSD28" s="3468"/>
      <c r="OSE28" s="3468"/>
      <c r="OSF28" s="3468"/>
      <c r="OSG28" s="3468"/>
      <c r="OSH28" s="3468"/>
      <c r="OSI28" s="3468"/>
      <c r="OSJ28" s="3468"/>
      <c r="OSK28" s="3468"/>
      <c r="OSL28" s="3468"/>
      <c r="OSM28" s="3468"/>
      <c r="OSN28" s="3468"/>
      <c r="OSO28" s="3468"/>
      <c r="OSP28" s="3468"/>
      <c r="OSQ28" s="3468"/>
      <c r="OSR28" s="3468"/>
      <c r="OSS28" s="3468"/>
      <c r="OST28" s="3468"/>
      <c r="OSU28" s="3468"/>
      <c r="OSV28" s="3468"/>
      <c r="OSW28" s="3468"/>
      <c r="OSX28" s="3468"/>
      <c r="OSY28" s="3468"/>
      <c r="OSZ28" s="3468"/>
      <c r="OTA28" s="3468"/>
      <c r="OTB28" s="3468"/>
      <c r="OTC28" s="3468"/>
      <c r="OTD28" s="3468"/>
      <c r="OTE28" s="3468"/>
      <c r="OTF28" s="3468"/>
      <c r="OTG28" s="3468"/>
      <c r="OTH28" s="3468"/>
      <c r="OTI28" s="3468"/>
      <c r="OTJ28" s="3468"/>
      <c r="OTK28" s="3468"/>
      <c r="OTL28" s="3468"/>
      <c r="OTM28" s="3468"/>
      <c r="OTN28" s="3468"/>
      <c r="OTO28" s="3468"/>
      <c r="OTP28" s="3468"/>
      <c r="OTQ28" s="3468"/>
      <c r="OTR28" s="3468"/>
      <c r="OTS28" s="3468"/>
      <c r="OTT28" s="3468"/>
      <c r="OTU28" s="3468"/>
      <c r="OTV28" s="3468"/>
      <c r="OTW28" s="3468"/>
      <c r="OTX28" s="3468"/>
      <c r="OTY28" s="3468"/>
      <c r="OTZ28" s="3468"/>
      <c r="OUA28" s="3468"/>
      <c r="OUB28" s="3468"/>
      <c r="OUC28" s="3468"/>
      <c r="OUD28" s="3468"/>
      <c r="OUE28" s="3468"/>
      <c r="OUF28" s="3468"/>
      <c r="OUG28" s="3468"/>
      <c r="OUH28" s="3468"/>
      <c r="OUI28" s="3468"/>
      <c r="OUJ28" s="3468"/>
      <c r="OUK28" s="3468"/>
      <c r="OUL28" s="3468"/>
      <c r="OUM28" s="3468"/>
      <c r="OUN28" s="3468"/>
      <c r="OUO28" s="3468"/>
      <c r="OUP28" s="3468"/>
      <c r="OUQ28" s="3468"/>
      <c r="OUR28" s="3468"/>
      <c r="OUS28" s="3468"/>
      <c r="OUT28" s="3468"/>
      <c r="OUU28" s="3468"/>
      <c r="OUV28" s="3468"/>
      <c r="OUW28" s="3468"/>
      <c r="OUX28" s="3468"/>
      <c r="OUY28" s="3468"/>
      <c r="OUZ28" s="3468"/>
      <c r="OVA28" s="3468"/>
      <c r="OVB28" s="3468"/>
      <c r="OVC28" s="3468"/>
      <c r="OVD28" s="3468"/>
      <c r="OVE28" s="3468"/>
      <c r="OVF28" s="3468"/>
      <c r="OVG28" s="3468"/>
      <c r="OVH28" s="3468"/>
      <c r="OVI28" s="3468"/>
      <c r="OVJ28" s="3468"/>
      <c r="OVK28" s="3468"/>
      <c r="OVL28" s="3468"/>
      <c r="OVM28" s="3468"/>
      <c r="OVN28" s="3468"/>
      <c r="OVO28" s="3468"/>
      <c r="OVP28" s="3468"/>
      <c r="OVQ28" s="3468"/>
      <c r="OVR28" s="3468"/>
      <c r="OVS28" s="3468"/>
      <c r="OVT28" s="3468"/>
      <c r="OVU28" s="3468"/>
      <c r="OVV28" s="3468"/>
      <c r="OVW28" s="3468"/>
      <c r="OVX28" s="3468"/>
      <c r="OVY28" s="3468"/>
      <c r="OVZ28" s="3468"/>
      <c r="OWA28" s="3468"/>
      <c r="OWB28" s="3468"/>
      <c r="OWC28" s="3468"/>
      <c r="OWD28" s="3468"/>
      <c r="OWE28" s="3468"/>
      <c r="OWF28" s="3468"/>
      <c r="OWG28" s="3468"/>
      <c r="OWH28" s="3468"/>
      <c r="OWI28" s="3468"/>
      <c r="OWJ28" s="3468"/>
      <c r="OWK28" s="3468"/>
      <c r="OWL28" s="3468"/>
      <c r="OWM28" s="3468"/>
      <c r="OWN28" s="3468"/>
      <c r="OWO28" s="3468"/>
      <c r="OWP28" s="3468"/>
      <c r="OWQ28" s="3468"/>
      <c r="OWR28" s="3468"/>
      <c r="OWS28" s="3468"/>
      <c r="OWT28" s="3468"/>
      <c r="OWU28" s="3468"/>
      <c r="OWV28" s="3468"/>
      <c r="OWW28" s="3468"/>
      <c r="OWX28" s="3468"/>
      <c r="OWY28" s="3468"/>
      <c r="OWZ28" s="3468"/>
      <c r="OXA28" s="3468"/>
      <c r="OXB28" s="3468"/>
      <c r="OXC28" s="3468"/>
      <c r="OXD28" s="3468"/>
      <c r="OXE28" s="3468"/>
      <c r="OXF28" s="3468"/>
      <c r="OXG28" s="3468"/>
      <c r="OXH28" s="3468"/>
      <c r="OXI28" s="3468"/>
      <c r="OXJ28" s="3468"/>
      <c r="OXK28" s="3468"/>
      <c r="OXL28" s="3468"/>
      <c r="OXM28" s="3468"/>
      <c r="OXN28" s="3468"/>
      <c r="OXO28" s="3468"/>
      <c r="OXP28" s="3468"/>
      <c r="OXQ28" s="3468"/>
      <c r="OXR28" s="3468"/>
      <c r="OXS28" s="3468"/>
      <c r="OXT28" s="3468"/>
      <c r="OXU28" s="3468"/>
      <c r="OXV28" s="3468"/>
      <c r="OXW28" s="3468"/>
      <c r="OXX28" s="3468"/>
      <c r="OXY28" s="3468"/>
      <c r="OXZ28" s="3468"/>
      <c r="OYA28" s="3468"/>
      <c r="OYB28" s="3468"/>
      <c r="OYC28" s="3468"/>
      <c r="OYD28" s="3468"/>
      <c r="OYE28" s="3468"/>
      <c r="OYF28" s="3468"/>
      <c r="OYG28" s="3468"/>
      <c r="OYH28" s="3468"/>
      <c r="OYI28" s="3468"/>
      <c r="OYJ28" s="3468"/>
      <c r="OYK28" s="3468"/>
      <c r="OYL28" s="3468"/>
      <c r="OYM28" s="3468"/>
      <c r="OYN28" s="3468"/>
      <c r="OYO28" s="3468"/>
      <c r="OYP28" s="3468"/>
      <c r="OYQ28" s="3468"/>
      <c r="OYR28" s="3468"/>
      <c r="OYS28" s="3468"/>
      <c r="OYT28" s="3468"/>
      <c r="OYU28" s="3468"/>
      <c r="OYV28" s="3468"/>
      <c r="OYW28" s="3468"/>
      <c r="OYX28" s="3468"/>
      <c r="OYY28" s="3468"/>
      <c r="OYZ28" s="3468"/>
      <c r="OZA28" s="3468"/>
      <c r="OZB28" s="3468"/>
      <c r="OZC28" s="3468"/>
      <c r="OZD28" s="3468"/>
      <c r="OZE28" s="3468"/>
      <c r="OZF28" s="3468"/>
      <c r="OZG28" s="3468"/>
      <c r="OZH28" s="3468"/>
      <c r="OZI28" s="3468"/>
      <c r="OZJ28" s="3468"/>
      <c r="OZK28" s="3468"/>
      <c r="OZL28" s="3468"/>
      <c r="OZM28" s="3468"/>
      <c r="OZN28" s="3468"/>
      <c r="OZO28" s="3468"/>
      <c r="OZP28" s="3468"/>
      <c r="OZQ28" s="3468"/>
      <c r="OZR28" s="3468"/>
      <c r="OZS28" s="3468"/>
      <c r="OZT28" s="3468"/>
      <c r="OZU28" s="3468"/>
      <c r="OZV28" s="3468"/>
      <c r="OZW28" s="3468"/>
      <c r="OZX28" s="3468"/>
      <c r="OZY28" s="3468"/>
      <c r="OZZ28" s="3468"/>
      <c r="PAA28" s="3468"/>
      <c r="PAB28" s="3468"/>
      <c r="PAC28" s="3468"/>
      <c r="PAD28" s="3468"/>
      <c r="PAE28" s="3468"/>
      <c r="PAF28" s="3468"/>
      <c r="PAG28" s="3468"/>
      <c r="PAH28" s="3468"/>
      <c r="PAI28" s="3468"/>
      <c r="PAJ28" s="3468"/>
      <c r="PAK28" s="3468"/>
      <c r="PAL28" s="3468"/>
      <c r="PAM28" s="3468"/>
      <c r="PAN28" s="3468"/>
      <c r="PAO28" s="3468"/>
      <c r="PAP28" s="3468"/>
      <c r="PAQ28" s="3468"/>
      <c r="PAR28" s="3468"/>
      <c r="PAS28" s="3468"/>
      <c r="PAT28" s="3468"/>
      <c r="PAU28" s="3468"/>
      <c r="PAV28" s="3468"/>
      <c r="PAW28" s="3468"/>
      <c r="PAX28" s="3468"/>
      <c r="PAY28" s="3468"/>
      <c r="PAZ28" s="3468"/>
      <c r="PBA28" s="3468"/>
      <c r="PBB28" s="3468"/>
      <c r="PBC28" s="3468"/>
      <c r="PBD28" s="3468"/>
      <c r="PBE28" s="3468"/>
      <c r="PBF28" s="3468"/>
      <c r="PBG28" s="3468"/>
      <c r="PBH28" s="3468"/>
      <c r="PBI28" s="3468"/>
      <c r="PBJ28" s="3468"/>
      <c r="PBK28" s="3468"/>
      <c r="PBL28" s="3468"/>
      <c r="PBM28" s="3468"/>
      <c r="PBN28" s="3468"/>
      <c r="PBO28" s="3468"/>
      <c r="PBP28" s="3468"/>
      <c r="PBQ28" s="3468"/>
      <c r="PBR28" s="3468"/>
      <c r="PBS28" s="3468"/>
      <c r="PBT28" s="3468"/>
      <c r="PBU28" s="3468"/>
      <c r="PBV28" s="3468"/>
      <c r="PBW28" s="3468"/>
      <c r="PBX28" s="3468"/>
      <c r="PBY28" s="3468"/>
      <c r="PBZ28" s="3468"/>
      <c r="PCA28" s="3468"/>
      <c r="PCB28" s="3468"/>
      <c r="PCC28" s="3468"/>
      <c r="PCD28" s="3468"/>
      <c r="PCE28" s="3468"/>
      <c r="PCF28" s="3468"/>
      <c r="PCG28" s="3468"/>
      <c r="PCH28" s="3468"/>
      <c r="PCI28" s="3468"/>
      <c r="PCJ28" s="3468"/>
      <c r="PCK28" s="3468"/>
      <c r="PCL28" s="3468"/>
      <c r="PCM28" s="3468"/>
      <c r="PCN28" s="3468"/>
      <c r="PCO28" s="3468"/>
      <c r="PCP28" s="3468"/>
      <c r="PCQ28" s="3468"/>
      <c r="PCR28" s="3468"/>
      <c r="PCS28" s="3468"/>
      <c r="PCT28" s="3468"/>
      <c r="PCU28" s="3468"/>
      <c r="PCV28" s="3468"/>
      <c r="PCW28" s="3468"/>
      <c r="PCX28" s="3468"/>
      <c r="PCY28" s="3468"/>
      <c r="PCZ28" s="3468"/>
      <c r="PDA28" s="3468"/>
      <c r="PDB28" s="3468"/>
      <c r="PDC28" s="3468"/>
      <c r="PDD28" s="3468"/>
      <c r="PDE28" s="3468"/>
      <c r="PDF28" s="3468"/>
      <c r="PDG28" s="3468"/>
      <c r="PDH28" s="3468"/>
      <c r="PDI28" s="3468"/>
      <c r="PDJ28" s="3468"/>
      <c r="PDK28" s="3468"/>
      <c r="PDL28" s="3468"/>
      <c r="PDM28" s="3468"/>
      <c r="PDN28" s="3468"/>
      <c r="PDO28" s="3468"/>
      <c r="PDP28" s="3468"/>
      <c r="PDQ28" s="3468"/>
      <c r="PDR28" s="3468"/>
      <c r="PDS28" s="3468"/>
      <c r="PDT28" s="3468"/>
      <c r="PDU28" s="3468"/>
      <c r="PDV28" s="3468"/>
      <c r="PDW28" s="3468"/>
      <c r="PDX28" s="3468"/>
      <c r="PDY28" s="3468"/>
      <c r="PDZ28" s="3468"/>
      <c r="PEA28" s="3468"/>
      <c r="PEB28" s="3468"/>
      <c r="PEC28" s="3468"/>
      <c r="PED28" s="3468"/>
      <c r="PEE28" s="3468"/>
      <c r="PEF28" s="3468"/>
      <c r="PEG28" s="3468"/>
      <c r="PEH28" s="3468"/>
      <c r="PEI28" s="3468"/>
      <c r="PEJ28" s="3468"/>
      <c r="PEK28" s="3468"/>
      <c r="PEL28" s="3468"/>
      <c r="PEM28" s="3468"/>
      <c r="PEN28" s="3468"/>
      <c r="PEO28" s="3468"/>
      <c r="PEP28" s="3468"/>
      <c r="PEQ28" s="3468"/>
      <c r="PER28" s="3468"/>
      <c r="PES28" s="3468"/>
      <c r="PET28" s="3468"/>
      <c r="PEU28" s="3468"/>
      <c r="PEV28" s="3468"/>
      <c r="PEW28" s="3468"/>
      <c r="PEX28" s="3468"/>
      <c r="PEY28" s="3468"/>
      <c r="PEZ28" s="3468"/>
      <c r="PFA28" s="3468"/>
      <c r="PFB28" s="3468"/>
      <c r="PFC28" s="3468"/>
      <c r="PFD28" s="3468"/>
      <c r="PFE28" s="3468"/>
      <c r="PFF28" s="3468"/>
      <c r="PFG28" s="3468"/>
      <c r="PFH28" s="3468"/>
      <c r="PFI28" s="3468"/>
      <c r="PFJ28" s="3468"/>
      <c r="PFK28" s="3468"/>
      <c r="PFL28" s="3468"/>
      <c r="PFM28" s="3468"/>
      <c r="PFN28" s="3468"/>
      <c r="PFO28" s="3468"/>
      <c r="PFP28" s="3468"/>
      <c r="PFQ28" s="3468"/>
      <c r="PFR28" s="3468"/>
      <c r="PFS28" s="3468"/>
      <c r="PFT28" s="3468"/>
      <c r="PFU28" s="3468"/>
      <c r="PFV28" s="3468"/>
      <c r="PFW28" s="3468"/>
      <c r="PFX28" s="3468"/>
      <c r="PFY28" s="3468"/>
      <c r="PFZ28" s="3468"/>
      <c r="PGA28" s="3468"/>
      <c r="PGB28" s="3468"/>
      <c r="PGC28" s="3468"/>
      <c r="PGD28" s="3468"/>
      <c r="PGE28" s="3468"/>
      <c r="PGF28" s="3468"/>
      <c r="PGG28" s="3468"/>
      <c r="PGH28" s="3468"/>
      <c r="PGI28" s="3468"/>
      <c r="PGJ28" s="3468"/>
      <c r="PGK28" s="3468"/>
      <c r="PGL28" s="3468"/>
      <c r="PGM28" s="3468"/>
      <c r="PGN28" s="3468"/>
      <c r="PGO28" s="3468"/>
      <c r="PGP28" s="3468"/>
      <c r="PGQ28" s="3468"/>
      <c r="PGR28" s="3468"/>
      <c r="PGS28" s="3468"/>
      <c r="PGT28" s="3468"/>
      <c r="PGU28" s="3468"/>
      <c r="PGV28" s="3468"/>
      <c r="PGW28" s="3468"/>
      <c r="PGX28" s="3468"/>
      <c r="PGY28" s="3468"/>
      <c r="PGZ28" s="3468"/>
      <c r="PHA28" s="3468"/>
      <c r="PHB28" s="3468"/>
      <c r="PHC28" s="3468"/>
      <c r="PHD28" s="3468"/>
      <c r="PHE28" s="3468"/>
      <c r="PHF28" s="3468"/>
      <c r="PHG28" s="3468"/>
      <c r="PHH28" s="3468"/>
      <c r="PHI28" s="3468"/>
      <c r="PHJ28" s="3468"/>
      <c r="PHK28" s="3468"/>
      <c r="PHL28" s="3468"/>
      <c r="PHM28" s="3468"/>
      <c r="PHN28" s="3468"/>
      <c r="PHO28" s="3468"/>
      <c r="PHP28" s="3468"/>
      <c r="PHQ28" s="3468"/>
      <c r="PHR28" s="3468"/>
      <c r="PHS28" s="3468"/>
      <c r="PHT28" s="3468"/>
      <c r="PHU28" s="3468"/>
      <c r="PHV28" s="3468"/>
      <c r="PHW28" s="3468"/>
      <c r="PHX28" s="3468"/>
      <c r="PHY28" s="3468"/>
      <c r="PHZ28" s="3468"/>
      <c r="PIA28" s="3468"/>
      <c r="PIB28" s="3468"/>
      <c r="PIC28" s="3468"/>
      <c r="PID28" s="3468"/>
      <c r="PIE28" s="3468"/>
      <c r="PIF28" s="3468"/>
      <c r="PIG28" s="3468"/>
      <c r="PIH28" s="3468"/>
      <c r="PII28" s="3468"/>
      <c r="PIJ28" s="3468"/>
      <c r="PIK28" s="3468"/>
      <c r="PIL28" s="3468"/>
      <c r="PIM28" s="3468"/>
      <c r="PIN28" s="3468"/>
      <c r="PIO28" s="3468"/>
      <c r="PIP28" s="3468"/>
      <c r="PIQ28" s="3468"/>
      <c r="PIR28" s="3468"/>
      <c r="PIS28" s="3468"/>
      <c r="PIT28" s="3468"/>
      <c r="PIU28" s="3468"/>
      <c r="PIV28" s="3468"/>
      <c r="PIW28" s="3468"/>
      <c r="PIX28" s="3468"/>
      <c r="PIY28" s="3468"/>
      <c r="PIZ28" s="3468"/>
      <c r="PJA28" s="3468"/>
      <c r="PJB28" s="3468"/>
      <c r="PJC28" s="3468"/>
      <c r="PJD28" s="3468"/>
      <c r="PJE28" s="3468"/>
      <c r="PJF28" s="3468"/>
      <c r="PJG28" s="3468"/>
      <c r="PJH28" s="3468"/>
      <c r="PJI28" s="3468"/>
      <c r="PJJ28" s="3468"/>
      <c r="PJK28" s="3468"/>
      <c r="PJL28" s="3468"/>
      <c r="PJM28" s="3468"/>
      <c r="PJN28" s="3468"/>
      <c r="PJO28" s="3468"/>
      <c r="PJP28" s="3468"/>
      <c r="PJQ28" s="3468"/>
      <c r="PJR28" s="3468"/>
      <c r="PJS28" s="3468"/>
      <c r="PJT28" s="3468"/>
      <c r="PJU28" s="3468"/>
      <c r="PJV28" s="3468"/>
      <c r="PJW28" s="3468"/>
      <c r="PJX28" s="3468"/>
      <c r="PJY28" s="3468"/>
      <c r="PJZ28" s="3468"/>
      <c r="PKA28" s="3468"/>
      <c r="PKB28" s="3468"/>
      <c r="PKC28" s="3468"/>
      <c r="PKD28" s="3468"/>
      <c r="PKE28" s="3468"/>
      <c r="PKF28" s="3468"/>
      <c r="PKG28" s="3468"/>
      <c r="PKH28" s="3468"/>
      <c r="PKI28" s="3468"/>
      <c r="PKJ28" s="3468"/>
      <c r="PKK28" s="3468"/>
      <c r="PKL28" s="3468"/>
      <c r="PKM28" s="3468"/>
      <c r="PKN28" s="3468"/>
      <c r="PKO28" s="3468"/>
      <c r="PKP28" s="3468"/>
      <c r="PKQ28" s="3468"/>
      <c r="PKR28" s="3468"/>
      <c r="PKS28" s="3468"/>
      <c r="PKT28" s="3468"/>
      <c r="PKU28" s="3468"/>
      <c r="PKV28" s="3468"/>
      <c r="PKW28" s="3468"/>
      <c r="PKX28" s="3468"/>
      <c r="PKY28" s="3468"/>
      <c r="PKZ28" s="3468"/>
      <c r="PLA28" s="3468"/>
      <c r="PLB28" s="3468"/>
      <c r="PLC28" s="3468"/>
      <c r="PLD28" s="3468"/>
      <c r="PLE28" s="3468"/>
      <c r="PLF28" s="3468"/>
      <c r="PLG28" s="3468"/>
      <c r="PLH28" s="3468"/>
      <c r="PLI28" s="3468"/>
      <c r="PLJ28" s="3468"/>
      <c r="PLK28" s="3468"/>
      <c r="PLL28" s="3468"/>
      <c r="PLM28" s="3468"/>
      <c r="PLN28" s="3468"/>
      <c r="PLO28" s="3468"/>
      <c r="PLP28" s="3468"/>
      <c r="PLQ28" s="3468"/>
      <c r="PLR28" s="3468"/>
      <c r="PLS28" s="3468"/>
      <c r="PLT28" s="3468"/>
      <c r="PLU28" s="3468"/>
      <c r="PLV28" s="3468"/>
      <c r="PLW28" s="3468"/>
      <c r="PLX28" s="3468"/>
      <c r="PLY28" s="3468"/>
      <c r="PLZ28" s="3468"/>
      <c r="PMA28" s="3468"/>
      <c r="PMB28" s="3468"/>
      <c r="PMC28" s="3468"/>
      <c r="PMD28" s="3468"/>
      <c r="PME28" s="3468"/>
      <c r="PMF28" s="3468"/>
      <c r="PMG28" s="3468"/>
      <c r="PMH28" s="3468"/>
      <c r="PMI28" s="3468"/>
      <c r="PMJ28" s="3468"/>
      <c r="PMK28" s="3468"/>
      <c r="PML28" s="3468"/>
      <c r="PMM28" s="3468"/>
      <c r="PMN28" s="3468"/>
      <c r="PMO28" s="3468"/>
      <c r="PMP28" s="3468"/>
      <c r="PMQ28" s="3468"/>
      <c r="PMR28" s="3468"/>
      <c r="PMS28" s="3468"/>
      <c r="PMT28" s="3468"/>
      <c r="PMU28" s="3468"/>
      <c r="PMV28" s="3468"/>
      <c r="PMW28" s="3468"/>
      <c r="PMX28" s="3468"/>
      <c r="PMY28" s="3468"/>
      <c r="PMZ28" s="3468"/>
      <c r="PNA28" s="3468"/>
      <c r="PNB28" s="3468"/>
      <c r="PNC28" s="3468"/>
      <c r="PND28" s="3468"/>
      <c r="PNE28" s="3468"/>
      <c r="PNF28" s="3468"/>
      <c r="PNG28" s="3468"/>
      <c r="PNH28" s="3468"/>
      <c r="PNI28" s="3468"/>
      <c r="PNJ28" s="3468"/>
      <c r="PNK28" s="3468"/>
      <c r="PNL28" s="3468"/>
      <c r="PNM28" s="3468"/>
      <c r="PNN28" s="3468"/>
      <c r="PNO28" s="3468"/>
      <c r="PNP28" s="3468"/>
      <c r="PNQ28" s="3468"/>
      <c r="PNR28" s="3468"/>
      <c r="PNS28" s="3468"/>
      <c r="PNT28" s="3468"/>
      <c r="PNU28" s="3468"/>
      <c r="PNV28" s="3468"/>
      <c r="PNW28" s="3468"/>
      <c r="PNX28" s="3468"/>
      <c r="PNY28" s="3468"/>
      <c r="PNZ28" s="3468"/>
      <c r="POA28" s="3468"/>
      <c r="POB28" s="3468"/>
      <c r="POC28" s="3468"/>
      <c r="POD28" s="3468"/>
      <c r="POE28" s="3468"/>
      <c r="POF28" s="3468"/>
      <c r="POG28" s="3468"/>
      <c r="POH28" s="3468"/>
      <c r="POI28" s="3468"/>
      <c r="POJ28" s="3468"/>
      <c r="POK28" s="3468"/>
      <c r="POL28" s="3468"/>
      <c r="POM28" s="3468"/>
      <c r="PON28" s="3468"/>
      <c r="POO28" s="3468"/>
      <c r="POP28" s="3468"/>
      <c r="POQ28" s="3468"/>
      <c r="POR28" s="3468"/>
      <c r="POS28" s="3468"/>
      <c r="POT28" s="3468"/>
      <c r="POU28" s="3468"/>
      <c r="POV28" s="3468"/>
      <c r="POW28" s="3468"/>
      <c r="POX28" s="3468"/>
      <c r="POY28" s="3468"/>
      <c r="POZ28" s="3468"/>
      <c r="PPA28" s="3468"/>
      <c r="PPB28" s="3468"/>
      <c r="PPC28" s="3468"/>
      <c r="PPD28" s="3468"/>
      <c r="PPE28" s="3468"/>
      <c r="PPF28" s="3468"/>
      <c r="PPG28" s="3468"/>
      <c r="PPH28" s="3468"/>
      <c r="PPI28" s="3468"/>
      <c r="PPJ28" s="3468"/>
      <c r="PPK28" s="3468"/>
      <c r="PPL28" s="3468"/>
      <c r="PPM28" s="3468"/>
      <c r="PPN28" s="3468"/>
      <c r="PPO28" s="3468"/>
      <c r="PPP28" s="3468"/>
      <c r="PPQ28" s="3468"/>
      <c r="PPR28" s="3468"/>
      <c r="PPS28" s="3468"/>
      <c r="PPT28" s="3468"/>
      <c r="PPU28" s="3468"/>
      <c r="PPV28" s="3468"/>
      <c r="PPW28" s="3468"/>
      <c r="PPX28" s="3468"/>
      <c r="PPY28" s="3468"/>
      <c r="PPZ28" s="3468"/>
      <c r="PQA28" s="3468"/>
      <c r="PQB28" s="3468"/>
      <c r="PQC28" s="3468"/>
      <c r="PQD28" s="3468"/>
      <c r="PQE28" s="3468"/>
      <c r="PQF28" s="3468"/>
      <c r="PQG28" s="3468"/>
      <c r="PQH28" s="3468"/>
      <c r="PQI28" s="3468"/>
      <c r="PQJ28" s="3468"/>
      <c r="PQK28" s="3468"/>
      <c r="PQL28" s="3468"/>
      <c r="PQM28" s="3468"/>
      <c r="PQN28" s="3468"/>
      <c r="PQO28" s="3468"/>
      <c r="PQP28" s="3468"/>
      <c r="PQQ28" s="3468"/>
      <c r="PQR28" s="3468"/>
      <c r="PQS28" s="3468"/>
      <c r="PQT28" s="3468"/>
      <c r="PQU28" s="3468"/>
      <c r="PQV28" s="3468"/>
      <c r="PQW28" s="3468"/>
      <c r="PQX28" s="3468"/>
      <c r="PQY28" s="3468"/>
      <c r="PQZ28" s="3468"/>
      <c r="PRA28" s="3468"/>
      <c r="PRB28" s="3468"/>
      <c r="PRC28" s="3468"/>
      <c r="PRD28" s="3468"/>
      <c r="PRE28" s="3468"/>
      <c r="PRF28" s="3468"/>
      <c r="PRG28" s="3468"/>
      <c r="PRH28" s="3468"/>
      <c r="PRI28" s="3468"/>
      <c r="PRJ28" s="3468"/>
      <c r="PRK28" s="3468"/>
      <c r="PRL28" s="3468"/>
      <c r="PRM28" s="3468"/>
      <c r="PRN28" s="3468"/>
      <c r="PRO28" s="3468"/>
      <c r="PRP28" s="3468"/>
      <c r="PRQ28" s="3468"/>
      <c r="PRR28" s="3468"/>
      <c r="PRS28" s="3468"/>
      <c r="PRT28" s="3468"/>
      <c r="PRU28" s="3468"/>
      <c r="PRV28" s="3468"/>
      <c r="PRW28" s="3468"/>
      <c r="PRX28" s="3468"/>
      <c r="PRY28" s="3468"/>
      <c r="PRZ28" s="3468"/>
      <c r="PSA28" s="3468"/>
      <c r="PSB28" s="3468"/>
      <c r="PSC28" s="3468"/>
      <c r="PSD28" s="3468"/>
      <c r="PSE28" s="3468"/>
      <c r="PSF28" s="3468"/>
      <c r="PSG28" s="3468"/>
      <c r="PSH28" s="3468"/>
      <c r="PSI28" s="3468"/>
      <c r="PSJ28" s="3468"/>
      <c r="PSK28" s="3468"/>
      <c r="PSL28" s="3468"/>
      <c r="PSM28" s="3468"/>
      <c r="PSN28" s="3468"/>
      <c r="PSO28" s="3468"/>
      <c r="PSP28" s="3468"/>
      <c r="PSQ28" s="3468"/>
      <c r="PSR28" s="3468"/>
      <c r="PSS28" s="3468"/>
      <c r="PST28" s="3468"/>
      <c r="PSU28" s="3468"/>
      <c r="PSV28" s="3468"/>
      <c r="PSW28" s="3468"/>
      <c r="PSX28" s="3468"/>
      <c r="PSY28" s="3468"/>
      <c r="PSZ28" s="3468"/>
      <c r="PTA28" s="3468"/>
      <c r="PTB28" s="3468"/>
      <c r="PTC28" s="3468"/>
      <c r="PTD28" s="3468"/>
      <c r="PTE28" s="3468"/>
      <c r="PTF28" s="3468"/>
      <c r="PTG28" s="3468"/>
      <c r="PTH28" s="3468"/>
      <c r="PTI28" s="3468"/>
      <c r="PTJ28" s="3468"/>
      <c r="PTK28" s="3468"/>
      <c r="PTL28" s="3468"/>
      <c r="PTM28" s="3468"/>
      <c r="PTN28" s="3468"/>
      <c r="PTO28" s="3468"/>
      <c r="PTP28" s="3468"/>
      <c r="PTQ28" s="3468"/>
      <c r="PTR28" s="3468"/>
      <c r="PTS28" s="3468"/>
      <c r="PTT28" s="3468"/>
      <c r="PTU28" s="3468"/>
      <c r="PTV28" s="3468"/>
      <c r="PTW28" s="3468"/>
      <c r="PTX28" s="3468"/>
      <c r="PTY28" s="3468"/>
      <c r="PTZ28" s="3468"/>
      <c r="PUA28" s="3468"/>
      <c r="PUB28" s="3468"/>
      <c r="PUC28" s="3468"/>
      <c r="PUD28" s="3468"/>
      <c r="PUE28" s="3468"/>
      <c r="PUF28" s="3468"/>
      <c r="PUG28" s="3468"/>
      <c r="PUH28" s="3468"/>
      <c r="PUI28" s="3468"/>
      <c r="PUJ28" s="3468"/>
      <c r="PUK28" s="3468"/>
      <c r="PUL28" s="3468"/>
      <c r="PUM28" s="3468"/>
      <c r="PUN28" s="3468"/>
      <c r="PUO28" s="3468"/>
      <c r="PUP28" s="3468"/>
      <c r="PUQ28" s="3468"/>
      <c r="PUR28" s="3468"/>
      <c r="PUS28" s="3468"/>
      <c r="PUT28" s="3468"/>
      <c r="PUU28" s="3468"/>
      <c r="PUV28" s="3468"/>
      <c r="PUW28" s="3468"/>
      <c r="PUX28" s="3468"/>
      <c r="PUY28" s="3468"/>
      <c r="PUZ28" s="3468"/>
      <c r="PVA28" s="3468"/>
      <c r="PVB28" s="3468"/>
      <c r="PVC28" s="3468"/>
      <c r="PVD28" s="3468"/>
      <c r="PVE28" s="3468"/>
      <c r="PVF28" s="3468"/>
      <c r="PVG28" s="3468"/>
      <c r="PVH28" s="3468"/>
      <c r="PVI28" s="3468"/>
      <c r="PVJ28" s="3468"/>
      <c r="PVK28" s="3468"/>
      <c r="PVL28" s="3468"/>
      <c r="PVM28" s="3468"/>
      <c r="PVN28" s="3468"/>
      <c r="PVO28" s="3468"/>
      <c r="PVP28" s="3468"/>
      <c r="PVQ28" s="3468"/>
      <c r="PVR28" s="3468"/>
      <c r="PVS28" s="3468"/>
      <c r="PVT28" s="3468"/>
      <c r="PVU28" s="3468"/>
      <c r="PVV28" s="3468"/>
      <c r="PVW28" s="3468"/>
      <c r="PVX28" s="3468"/>
      <c r="PVY28" s="3468"/>
      <c r="PVZ28" s="3468"/>
      <c r="PWA28" s="3468"/>
      <c r="PWB28" s="3468"/>
      <c r="PWC28" s="3468"/>
      <c r="PWD28" s="3468"/>
      <c r="PWE28" s="3468"/>
      <c r="PWF28" s="3468"/>
      <c r="PWG28" s="3468"/>
      <c r="PWH28" s="3468"/>
      <c r="PWI28" s="3468"/>
      <c r="PWJ28" s="3468"/>
      <c r="PWK28" s="3468"/>
      <c r="PWL28" s="3468"/>
      <c r="PWM28" s="3468"/>
      <c r="PWN28" s="3468"/>
      <c r="PWO28" s="3468"/>
      <c r="PWP28" s="3468"/>
      <c r="PWQ28" s="3468"/>
      <c r="PWR28" s="3468"/>
      <c r="PWS28" s="3468"/>
      <c r="PWT28" s="3468"/>
      <c r="PWU28" s="3468"/>
      <c r="PWV28" s="3468"/>
      <c r="PWW28" s="3468"/>
      <c r="PWX28" s="3468"/>
      <c r="PWY28" s="3468"/>
      <c r="PWZ28" s="3468"/>
      <c r="PXA28" s="3468"/>
      <c r="PXB28" s="3468"/>
      <c r="PXC28" s="3468"/>
      <c r="PXD28" s="3468"/>
      <c r="PXE28" s="3468"/>
      <c r="PXF28" s="3468"/>
      <c r="PXG28" s="3468"/>
      <c r="PXH28" s="3468"/>
      <c r="PXI28" s="3468"/>
      <c r="PXJ28" s="3468"/>
      <c r="PXK28" s="3468"/>
      <c r="PXL28" s="3468"/>
      <c r="PXM28" s="3468"/>
      <c r="PXN28" s="3468"/>
      <c r="PXO28" s="3468"/>
      <c r="PXP28" s="3468"/>
      <c r="PXQ28" s="3468"/>
      <c r="PXR28" s="3468"/>
      <c r="PXS28" s="3468"/>
      <c r="PXT28" s="3468"/>
      <c r="PXU28" s="3468"/>
      <c r="PXV28" s="3468"/>
      <c r="PXW28" s="3468"/>
      <c r="PXX28" s="3468"/>
      <c r="PXY28" s="3468"/>
      <c r="PXZ28" s="3468"/>
      <c r="PYA28" s="3468"/>
      <c r="PYB28" s="3468"/>
      <c r="PYC28" s="3468"/>
      <c r="PYD28" s="3468"/>
      <c r="PYE28" s="3468"/>
      <c r="PYF28" s="3468"/>
      <c r="PYG28" s="3468"/>
      <c r="PYH28" s="3468"/>
      <c r="PYI28" s="3468"/>
      <c r="PYJ28" s="3468"/>
      <c r="PYK28" s="3468"/>
      <c r="PYL28" s="3468"/>
      <c r="PYM28" s="3468"/>
      <c r="PYN28" s="3468"/>
      <c r="PYO28" s="3468"/>
      <c r="PYP28" s="3468"/>
      <c r="PYQ28" s="3468"/>
      <c r="PYR28" s="3468"/>
      <c r="PYS28" s="3468"/>
      <c r="PYT28" s="3468"/>
      <c r="PYU28" s="3468"/>
      <c r="PYV28" s="3468"/>
      <c r="PYW28" s="3468"/>
      <c r="PYX28" s="3468"/>
      <c r="PYY28" s="3468"/>
      <c r="PYZ28" s="3468"/>
      <c r="PZA28" s="3468"/>
      <c r="PZB28" s="3468"/>
      <c r="PZC28" s="3468"/>
      <c r="PZD28" s="3468"/>
      <c r="PZE28" s="3468"/>
      <c r="PZF28" s="3468"/>
      <c r="PZG28" s="3468"/>
      <c r="PZH28" s="3468"/>
      <c r="PZI28" s="3468"/>
      <c r="PZJ28" s="3468"/>
      <c r="PZK28" s="3468"/>
      <c r="PZL28" s="3468"/>
      <c r="PZM28" s="3468"/>
      <c r="PZN28" s="3468"/>
      <c r="PZO28" s="3468"/>
      <c r="PZP28" s="3468"/>
      <c r="PZQ28" s="3468"/>
      <c r="PZR28" s="3468"/>
      <c r="PZS28" s="3468"/>
      <c r="PZT28" s="3468"/>
      <c r="PZU28" s="3468"/>
      <c r="PZV28" s="3468"/>
      <c r="PZW28" s="3468"/>
      <c r="PZX28" s="3468"/>
      <c r="PZY28" s="3468"/>
      <c r="PZZ28" s="3468"/>
      <c r="QAA28" s="3468"/>
      <c r="QAB28" s="3468"/>
      <c r="QAC28" s="3468"/>
      <c r="QAD28" s="3468"/>
      <c r="QAE28" s="3468"/>
      <c r="QAF28" s="3468"/>
      <c r="QAG28" s="3468"/>
      <c r="QAH28" s="3468"/>
      <c r="QAI28" s="3468"/>
      <c r="QAJ28" s="3468"/>
      <c r="QAK28" s="3468"/>
      <c r="QAL28" s="3468"/>
      <c r="QAM28" s="3468"/>
      <c r="QAN28" s="3468"/>
      <c r="QAO28" s="3468"/>
      <c r="QAP28" s="3468"/>
      <c r="QAQ28" s="3468"/>
      <c r="QAR28" s="3468"/>
      <c r="QAS28" s="3468"/>
      <c r="QAT28" s="3468"/>
      <c r="QAU28" s="3468"/>
      <c r="QAV28" s="3468"/>
      <c r="QAW28" s="3468"/>
      <c r="QAX28" s="3468"/>
      <c r="QAY28" s="3468"/>
      <c r="QAZ28" s="3468"/>
      <c r="QBA28" s="3468"/>
      <c r="QBB28" s="3468"/>
      <c r="QBC28" s="3468"/>
      <c r="QBD28" s="3468"/>
      <c r="QBE28" s="3468"/>
      <c r="QBF28" s="3468"/>
      <c r="QBG28" s="3468"/>
      <c r="QBH28" s="3468"/>
      <c r="QBI28" s="3468"/>
      <c r="QBJ28" s="3468"/>
      <c r="QBK28" s="3468"/>
      <c r="QBL28" s="3468"/>
      <c r="QBM28" s="3468"/>
      <c r="QBN28" s="3468"/>
      <c r="QBO28" s="3468"/>
      <c r="QBP28" s="3468"/>
      <c r="QBQ28" s="3468"/>
      <c r="QBR28" s="3468"/>
      <c r="QBS28" s="3468"/>
      <c r="QBT28" s="3468"/>
      <c r="QBU28" s="3468"/>
      <c r="QBV28" s="3468"/>
      <c r="QBW28" s="3468"/>
      <c r="QBX28" s="3468"/>
      <c r="QBY28" s="3468"/>
      <c r="QBZ28" s="3468"/>
      <c r="QCA28" s="3468"/>
      <c r="QCB28" s="3468"/>
      <c r="QCC28" s="3468"/>
      <c r="QCD28" s="3468"/>
      <c r="QCE28" s="3468"/>
      <c r="QCF28" s="3468"/>
      <c r="QCG28" s="3468"/>
      <c r="QCH28" s="3468"/>
      <c r="QCI28" s="3468"/>
      <c r="QCJ28" s="3468"/>
      <c r="QCK28" s="3468"/>
      <c r="QCL28" s="3468"/>
      <c r="QCM28" s="3468"/>
      <c r="QCN28" s="3468"/>
      <c r="QCO28" s="3468"/>
      <c r="QCP28" s="3468"/>
      <c r="QCQ28" s="3468"/>
      <c r="QCR28" s="3468"/>
      <c r="QCS28" s="3468"/>
      <c r="QCT28" s="3468"/>
      <c r="QCU28" s="3468"/>
      <c r="QCV28" s="3468"/>
      <c r="QCW28" s="3468"/>
      <c r="QCX28" s="3468"/>
      <c r="QCY28" s="3468"/>
      <c r="QCZ28" s="3468"/>
      <c r="QDA28" s="3468"/>
      <c r="QDB28" s="3468"/>
      <c r="QDC28" s="3468"/>
      <c r="QDD28" s="3468"/>
      <c r="QDE28" s="3468"/>
      <c r="QDF28" s="3468"/>
      <c r="QDG28" s="3468"/>
      <c r="QDH28" s="3468"/>
      <c r="QDI28" s="3468"/>
      <c r="QDJ28" s="3468"/>
      <c r="QDK28" s="3468"/>
      <c r="QDL28" s="3468"/>
      <c r="QDM28" s="3468"/>
      <c r="QDN28" s="3468"/>
      <c r="QDO28" s="3468"/>
      <c r="QDP28" s="3468"/>
      <c r="QDQ28" s="3468"/>
      <c r="QDR28" s="3468"/>
      <c r="QDS28" s="3468"/>
      <c r="QDT28" s="3468"/>
      <c r="QDU28" s="3468"/>
      <c r="QDV28" s="3468"/>
      <c r="QDW28" s="3468"/>
      <c r="QDX28" s="3468"/>
      <c r="QDY28" s="3468"/>
      <c r="QDZ28" s="3468"/>
      <c r="QEA28" s="3468"/>
      <c r="QEB28" s="3468"/>
      <c r="QEC28" s="3468"/>
      <c r="QED28" s="3468"/>
      <c r="QEE28" s="3468"/>
      <c r="QEF28" s="3468"/>
      <c r="QEG28" s="3468"/>
      <c r="QEH28" s="3468"/>
      <c r="QEI28" s="3468"/>
      <c r="QEJ28" s="3468"/>
      <c r="QEK28" s="3468"/>
      <c r="QEL28" s="3468"/>
      <c r="QEM28" s="3468"/>
      <c r="QEN28" s="3468"/>
      <c r="QEO28" s="3468"/>
      <c r="QEP28" s="3468"/>
      <c r="QEQ28" s="3468"/>
      <c r="QER28" s="3468"/>
      <c r="QES28" s="3468"/>
      <c r="QET28" s="3468"/>
      <c r="QEU28" s="3468"/>
      <c r="QEV28" s="3468"/>
      <c r="QEW28" s="3468"/>
      <c r="QEX28" s="3468"/>
      <c r="QEY28" s="3468"/>
      <c r="QEZ28" s="3468"/>
      <c r="QFA28" s="3468"/>
      <c r="QFB28" s="3468"/>
      <c r="QFC28" s="3468"/>
      <c r="QFD28" s="3468"/>
      <c r="QFE28" s="3468"/>
      <c r="QFF28" s="3468"/>
      <c r="QFG28" s="3468"/>
      <c r="QFH28" s="3468"/>
      <c r="QFI28" s="3468"/>
      <c r="QFJ28" s="3468"/>
      <c r="QFK28" s="3468"/>
      <c r="QFL28" s="3468"/>
      <c r="QFM28" s="3468"/>
      <c r="QFN28" s="3468"/>
      <c r="QFO28" s="3468"/>
      <c r="QFP28" s="3468"/>
      <c r="QFQ28" s="3468"/>
      <c r="QFR28" s="3468"/>
      <c r="QFS28" s="3468"/>
      <c r="QFT28" s="3468"/>
      <c r="QFU28" s="3468"/>
      <c r="QFV28" s="3468"/>
      <c r="QFW28" s="3468"/>
      <c r="QFX28" s="3468"/>
      <c r="QFY28" s="3468"/>
      <c r="QFZ28" s="3468"/>
      <c r="QGA28" s="3468"/>
      <c r="QGB28" s="3468"/>
      <c r="QGC28" s="3468"/>
      <c r="QGD28" s="3468"/>
      <c r="QGE28" s="3468"/>
      <c r="QGF28" s="3468"/>
      <c r="QGG28" s="3468"/>
      <c r="QGH28" s="3468"/>
      <c r="QGI28" s="3468"/>
      <c r="QGJ28" s="3468"/>
      <c r="QGK28" s="3468"/>
      <c r="QGL28" s="3468"/>
      <c r="QGM28" s="3468"/>
      <c r="QGN28" s="3468"/>
      <c r="QGO28" s="3468"/>
      <c r="QGP28" s="3468"/>
      <c r="QGQ28" s="3468"/>
      <c r="QGR28" s="3468"/>
      <c r="QGS28" s="3468"/>
      <c r="QGT28" s="3468"/>
      <c r="QGU28" s="3468"/>
      <c r="QGV28" s="3468"/>
      <c r="QGW28" s="3468"/>
      <c r="QGX28" s="3468"/>
      <c r="QGY28" s="3468"/>
      <c r="QGZ28" s="3468"/>
      <c r="QHA28" s="3468"/>
      <c r="QHB28" s="3468"/>
      <c r="QHC28" s="3468"/>
      <c r="QHD28" s="3468"/>
      <c r="QHE28" s="3468"/>
      <c r="QHF28" s="3468"/>
      <c r="QHG28" s="3468"/>
      <c r="QHH28" s="3468"/>
      <c r="QHI28" s="3468"/>
      <c r="QHJ28" s="3468"/>
      <c r="QHK28" s="3468"/>
      <c r="QHL28" s="3468"/>
      <c r="QHM28" s="3468"/>
      <c r="QHN28" s="3468"/>
      <c r="QHO28" s="3468"/>
      <c r="QHP28" s="3468"/>
      <c r="QHQ28" s="3468"/>
      <c r="QHR28" s="3468"/>
      <c r="QHS28" s="3468"/>
      <c r="QHT28" s="3468"/>
      <c r="QHU28" s="3468"/>
      <c r="QHV28" s="3468"/>
      <c r="QHW28" s="3468"/>
      <c r="QHX28" s="3468"/>
      <c r="QHY28" s="3468"/>
      <c r="QHZ28" s="3468"/>
      <c r="QIA28" s="3468"/>
      <c r="QIB28" s="3468"/>
      <c r="QIC28" s="3468"/>
      <c r="QID28" s="3468"/>
      <c r="QIE28" s="3468"/>
      <c r="QIF28" s="3468"/>
      <c r="QIG28" s="3468"/>
      <c r="QIH28" s="3468"/>
      <c r="QII28" s="3468"/>
      <c r="QIJ28" s="3468"/>
      <c r="QIK28" s="3468"/>
      <c r="QIL28" s="3468"/>
      <c r="QIM28" s="3468"/>
      <c r="QIN28" s="3468"/>
      <c r="QIO28" s="3468"/>
      <c r="QIP28" s="3468"/>
      <c r="QIQ28" s="3468"/>
      <c r="QIR28" s="3468"/>
      <c r="QIS28" s="3468"/>
      <c r="QIT28" s="3468"/>
      <c r="QIU28" s="3468"/>
      <c r="QIV28" s="3468"/>
      <c r="QIW28" s="3468"/>
      <c r="QIX28" s="3468"/>
      <c r="QIY28" s="3468"/>
      <c r="QIZ28" s="3468"/>
      <c r="QJA28" s="3468"/>
      <c r="QJB28" s="3468"/>
      <c r="QJC28" s="3468"/>
      <c r="QJD28" s="3468"/>
      <c r="QJE28" s="3468"/>
      <c r="QJF28" s="3468"/>
      <c r="QJG28" s="3468"/>
      <c r="QJH28" s="3468"/>
      <c r="QJI28" s="3468"/>
      <c r="QJJ28" s="3468"/>
      <c r="QJK28" s="3468"/>
      <c r="QJL28" s="3468"/>
      <c r="QJM28" s="3468"/>
      <c r="QJN28" s="3468"/>
      <c r="QJO28" s="3468"/>
      <c r="QJP28" s="3468"/>
      <c r="QJQ28" s="3468"/>
      <c r="QJR28" s="3468"/>
      <c r="QJS28" s="3468"/>
      <c r="QJT28" s="3468"/>
      <c r="QJU28" s="3468"/>
      <c r="QJV28" s="3468"/>
      <c r="QJW28" s="3468"/>
      <c r="QJX28" s="3468"/>
      <c r="QJY28" s="3468"/>
      <c r="QJZ28" s="3468"/>
      <c r="QKA28" s="3468"/>
      <c r="QKB28" s="3468"/>
      <c r="QKC28" s="3468"/>
      <c r="QKD28" s="3468"/>
      <c r="QKE28" s="3468"/>
      <c r="QKF28" s="3468"/>
      <c r="QKG28" s="3468"/>
      <c r="QKH28" s="3468"/>
      <c r="QKI28" s="3468"/>
      <c r="QKJ28" s="3468"/>
      <c r="QKK28" s="3468"/>
      <c r="QKL28" s="3468"/>
      <c r="QKM28" s="3468"/>
      <c r="QKN28" s="3468"/>
      <c r="QKO28" s="3468"/>
      <c r="QKP28" s="3468"/>
      <c r="QKQ28" s="3468"/>
      <c r="QKR28" s="3468"/>
      <c r="QKS28" s="3468"/>
      <c r="QKT28" s="3468"/>
      <c r="QKU28" s="3468"/>
      <c r="QKV28" s="3468"/>
      <c r="QKW28" s="3468"/>
      <c r="QKX28" s="3468"/>
      <c r="QKY28" s="3468"/>
      <c r="QKZ28" s="3468"/>
      <c r="QLA28" s="3468"/>
      <c r="QLB28" s="3468"/>
      <c r="QLC28" s="3468"/>
      <c r="QLD28" s="3468"/>
      <c r="QLE28" s="3468"/>
      <c r="QLF28" s="3468"/>
      <c r="QLG28" s="3468"/>
      <c r="QLH28" s="3468"/>
      <c r="QLI28" s="3468"/>
      <c r="QLJ28" s="3468"/>
      <c r="QLK28" s="3468"/>
      <c r="QLL28" s="3468"/>
      <c r="QLM28" s="3468"/>
      <c r="QLN28" s="3468"/>
      <c r="QLO28" s="3468"/>
      <c r="QLP28" s="3468"/>
      <c r="QLQ28" s="3468"/>
      <c r="QLR28" s="3468"/>
      <c r="QLS28" s="3468"/>
      <c r="QLT28" s="3468"/>
      <c r="QLU28" s="3468"/>
      <c r="QLV28" s="3468"/>
      <c r="QLW28" s="3468"/>
      <c r="QLX28" s="3468"/>
      <c r="QLY28" s="3468"/>
      <c r="QLZ28" s="3468"/>
      <c r="QMA28" s="3468"/>
      <c r="QMB28" s="3468"/>
      <c r="QMC28" s="3468"/>
      <c r="QMD28" s="3468"/>
      <c r="QME28" s="3468"/>
      <c r="QMF28" s="3468"/>
      <c r="QMG28" s="3468"/>
      <c r="QMH28" s="3468"/>
      <c r="QMI28" s="3468"/>
      <c r="QMJ28" s="3468"/>
      <c r="QMK28" s="3468"/>
      <c r="QML28" s="3468"/>
      <c r="QMM28" s="3468"/>
      <c r="QMN28" s="3468"/>
      <c r="QMO28" s="3468"/>
      <c r="QMP28" s="3468"/>
      <c r="QMQ28" s="3468"/>
      <c r="QMR28" s="3468"/>
      <c r="QMS28" s="3468"/>
      <c r="QMT28" s="3468"/>
      <c r="QMU28" s="3468"/>
      <c r="QMV28" s="3468"/>
      <c r="QMW28" s="3468"/>
      <c r="QMX28" s="3468"/>
      <c r="QMY28" s="3468"/>
      <c r="QMZ28" s="3468"/>
      <c r="QNA28" s="3468"/>
      <c r="QNB28" s="3468"/>
      <c r="QNC28" s="3468"/>
      <c r="QND28" s="3468"/>
      <c r="QNE28" s="3468"/>
      <c r="QNF28" s="3468"/>
      <c r="QNG28" s="3468"/>
      <c r="QNH28" s="3468"/>
      <c r="QNI28" s="3468"/>
      <c r="QNJ28" s="3468"/>
      <c r="QNK28" s="3468"/>
      <c r="QNL28" s="3468"/>
      <c r="QNM28" s="3468"/>
      <c r="QNN28" s="3468"/>
      <c r="QNO28" s="3468"/>
      <c r="QNP28" s="3468"/>
      <c r="QNQ28" s="3468"/>
      <c r="QNR28" s="3468"/>
      <c r="QNS28" s="3468"/>
      <c r="QNT28" s="3468"/>
      <c r="QNU28" s="3468"/>
      <c r="QNV28" s="3468"/>
      <c r="QNW28" s="3468"/>
      <c r="QNX28" s="3468"/>
      <c r="QNY28" s="3468"/>
      <c r="QNZ28" s="3468"/>
      <c r="QOA28" s="3468"/>
      <c r="QOB28" s="3468"/>
      <c r="QOC28" s="3468"/>
      <c r="QOD28" s="3468"/>
      <c r="QOE28" s="3468"/>
      <c r="QOF28" s="3468"/>
      <c r="QOG28" s="3468"/>
      <c r="QOH28" s="3468"/>
      <c r="QOI28" s="3468"/>
      <c r="QOJ28" s="3468"/>
      <c r="QOK28" s="3468"/>
      <c r="QOL28" s="3468"/>
      <c r="QOM28" s="3468"/>
      <c r="QON28" s="3468"/>
      <c r="QOO28" s="3468"/>
      <c r="QOP28" s="3468"/>
      <c r="QOQ28" s="3468"/>
      <c r="QOR28" s="3468"/>
      <c r="QOS28" s="3468"/>
      <c r="QOT28" s="3468"/>
      <c r="QOU28" s="3468"/>
      <c r="QOV28" s="3468"/>
      <c r="QOW28" s="3468"/>
      <c r="QOX28" s="3468"/>
      <c r="QOY28" s="3468"/>
      <c r="QOZ28" s="3468"/>
      <c r="QPA28" s="3468"/>
      <c r="QPB28" s="3468"/>
      <c r="QPC28" s="3468"/>
      <c r="QPD28" s="3468"/>
      <c r="QPE28" s="3468"/>
      <c r="QPF28" s="3468"/>
      <c r="QPG28" s="3468"/>
      <c r="QPH28" s="3468"/>
      <c r="QPI28" s="3468"/>
      <c r="QPJ28" s="3468"/>
      <c r="QPK28" s="3468"/>
      <c r="QPL28" s="3468"/>
      <c r="QPM28" s="3468"/>
      <c r="QPN28" s="3468"/>
      <c r="QPO28" s="3468"/>
      <c r="QPP28" s="3468"/>
      <c r="QPQ28" s="3468"/>
      <c r="QPR28" s="3468"/>
      <c r="QPS28" s="3468"/>
      <c r="QPT28" s="3468"/>
      <c r="QPU28" s="3468"/>
      <c r="QPV28" s="3468"/>
      <c r="QPW28" s="3468"/>
      <c r="QPX28" s="3468"/>
      <c r="QPY28" s="3468"/>
      <c r="QPZ28" s="3468"/>
      <c r="QQA28" s="3468"/>
      <c r="QQB28" s="3468"/>
      <c r="QQC28" s="3468"/>
      <c r="QQD28" s="3468"/>
      <c r="QQE28" s="3468"/>
      <c r="QQF28" s="3468"/>
      <c r="QQG28" s="3468"/>
      <c r="QQH28" s="3468"/>
      <c r="QQI28" s="3468"/>
      <c r="QQJ28" s="3468"/>
      <c r="QQK28" s="3468"/>
      <c r="QQL28" s="3468"/>
      <c r="QQM28" s="3468"/>
      <c r="QQN28" s="3468"/>
      <c r="QQO28" s="3468"/>
      <c r="QQP28" s="3468"/>
      <c r="QQQ28" s="3468"/>
      <c r="QQR28" s="3468"/>
      <c r="QQS28" s="3468"/>
      <c r="QQT28" s="3468"/>
      <c r="QQU28" s="3468"/>
      <c r="QQV28" s="3468"/>
      <c r="QQW28" s="3468"/>
      <c r="QQX28" s="3468"/>
      <c r="QQY28" s="3468"/>
      <c r="QQZ28" s="3468"/>
      <c r="QRA28" s="3468"/>
      <c r="QRB28" s="3468"/>
      <c r="QRC28" s="3468"/>
      <c r="QRD28" s="3468"/>
      <c r="QRE28" s="3468"/>
      <c r="QRF28" s="3468"/>
      <c r="QRG28" s="3468"/>
      <c r="QRH28" s="3468"/>
      <c r="QRI28" s="3468"/>
      <c r="QRJ28" s="3468"/>
      <c r="QRK28" s="3468"/>
      <c r="QRL28" s="3468"/>
      <c r="QRM28" s="3468"/>
      <c r="QRN28" s="3468"/>
      <c r="QRO28" s="3468"/>
      <c r="QRP28" s="3468"/>
      <c r="QRQ28" s="3468"/>
      <c r="QRR28" s="3468"/>
      <c r="QRS28" s="3468"/>
      <c r="QRT28" s="3468"/>
      <c r="QRU28" s="3468"/>
      <c r="QRV28" s="3468"/>
      <c r="QRW28" s="3468"/>
      <c r="QRX28" s="3468"/>
      <c r="QRY28" s="3468"/>
      <c r="QRZ28" s="3468"/>
      <c r="QSA28" s="3468"/>
      <c r="QSB28" s="3468"/>
      <c r="QSC28" s="3468"/>
      <c r="QSD28" s="3468"/>
      <c r="QSE28" s="3468"/>
      <c r="QSF28" s="3468"/>
      <c r="QSG28" s="3468"/>
      <c r="QSH28" s="3468"/>
      <c r="QSI28" s="3468"/>
      <c r="QSJ28" s="3468"/>
      <c r="QSK28" s="3468"/>
      <c r="QSL28" s="3468"/>
      <c r="QSM28" s="3468"/>
      <c r="QSN28" s="3468"/>
      <c r="QSO28" s="3468"/>
      <c r="QSP28" s="3468"/>
      <c r="QSQ28" s="3468"/>
      <c r="QSR28" s="3468"/>
      <c r="QSS28" s="3468"/>
      <c r="QST28" s="3468"/>
      <c r="QSU28" s="3468"/>
      <c r="QSV28" s="3468"/>
      <c r="QSW28" s="3468"/>
      <c r="QSX28" s="3468"/>
      <c r="QSY28" s="3468"/>
      <c r="QSZ28" s="3468"/>
      <c r="QTA28" s="3468"/>
      <c r="QTB28" s="3468"/>
      <c r="QTC28" s="3468"/>
      <c r="QTD28" s="3468"/>
      <c r="QTE28" s="3468"/>
      <c r="QTF28" s="3468"/>
      <c r="QTG28" s="3468"/>
      <c r="QTH28" s="3468"/>
      <c r="QTI28" s="3468"/>
      <c r="QTJ28" s="3468"/>
      <c r="QTK28" s="3468"/>
      <c r="QTL28" s="3468"/>
      <c r="QTM28" s="3468"/>
      <c r="QTN28" s="3468"/>
      <c r="QTO28" s="3468"/>
      <c r="QTP28" s="3468"/>
      <c r="QTQ28" s="3468"/>
      <c r="QTR28" s="3468"/>
      <c r="QTS28" s="3468"/>
      <c r="QTT28" s="3468"/>
      <c r="QTU28" s="3468"/>
      <c r="QTV28" s="3468"/>
      <c r="QTW28" s="3468"/>
      <c r="QTX28" s="3468"/>
      <c r="QTY28" s="3468"/>
      <c r="QTZ28" s="3468"/>
      <c r="QUA28" s="3468"/>
      <c r="QUB28" s="3468"/>
      <c r="QUC28" s="3468"/>
      <c r="QUD28" s="3468"/>
      <c r="QUE28" s="3468"/>
      <c r="QUF28" s="3468"/>
      <c r="QUG28" s="3468"/>
      <c r="QUH28" s="3468"/>
      <c r="QUI28" s="3468"/>
      <c r="QUJ28" s="3468"/>
      <c r="QUK28" s="3468"/>
      <c r="QUL28" s="3468"/>
      <c r="QUM28" s="3468"/>
      <c r="QUN28" s="3468"/>
      <c r="QUO28" s="3468"/>
      <c r="QUP28" s="3468"/>
      <c r="QUQ28" s="3468"/>
      <c r="QUR28" s="3468"/>
      <c r="QUS28" s="3468"/>
      <c r="QUT28" s="3468"/>
      <c r="QUU28" s="3468"/>
      <c r="QUV28" s="3468"/>
      <c r="QUW28" s="3468"/>
      <c r="QUX28" s="3468"/>
      <c r="QUY28" s="3468"/>
      <c r="QUZ28" s="3468"/>
      <c r="QVA28" s="3468"/>
      <c r="QVB28" s="3468"/>
      <c r="QVC28" s="3468"/>
      <c r="QVD28" s="3468"/>
      <c r="QVE28" s="3468"/>
      <c r="QVF28" s="3468"/>
      <c r="QVG28" s="3468"/>
      <c r="QVH28" s="3468"/>
      <c r="QVI28" s="3468"/>
      <c r="QVJ28" s="3468"/>
      <c r="QVK28" s="3468"/>
      <c r="QVL28" s="3468"/>
      <c r="QVM28" s="3468"/>
      <c r="QVN28" s="3468"/>
      <c r="QVO28" s="3468"/>
      <c r="QVP28" s="3468"/>
      <c r="QVQ28" s="3468"/>
      <c r="QVR28" s="3468"/>
      <c r="QVS28" s="3468"/>
      <c r="QVT28" s="3468"/>
      <c r="QVU28" s="3468"/>
      <c r="QVV28" s="3468"/>
      <c r="QVW28" s="3468"/>
      <c r="QVX28" s="3468"/>
      <c r="QVY28" s="3468"/>
      <c r="QVZ28" s="3468"/>
      <c r="QWA28" s="3468"/>
      <c r="QWB28" s="3468"/>
      <c r="QWC28" s="3468"/>
      <c r="QWD28" s="3468"/>
      <c r="QWE28" s="3468"/>
      <c r="QWF28" s="3468"/>
      <c r="QWG28" s="3468"/>
      <c r="QWH28" s="3468"/>
      <c r="QWI28" s="3468"/>
      <c r="QWJ28" s="3468"/>
      <c r="QWK28" s="3468"/>
      <c r="QWL28" s="3468"/>
      <c r="QWM28" s="3468"/>
      <c r="QWN28" s="3468"/>
      <c r="QWO28" s="3468"/>
      <c r="QWP28" s="3468"/>
      <c r="QWQ28" s="3468"/>
      <c r="QWR28" s="3468"/>
      <c r="QWS28" s="3468"/>
      <c r="QWT28" s="3468"/>
      <c r="QWU28" s="3468"/>
      <c r="QWV28" s="3468"/>
      <c r="QWW28" s="3468"/>
      <c r="QWX28" s="3468"/>
      <c r="QWY28" s="3468"/>
      <c r="QWZ28" s="3468"/>
      <c r="QXA28" s="3468"/>
      <c r="QXB28" s="3468"/>
      <c r="QXC28" s="3468"/>
      <c r="QXD28" s="3468"/>
      <c r="QXE28" s="3468"/>
      <c r="QXF28" s="3468"/>
      <c r="QXG28" s="3468"/>
      <c r="QXH28" s="3468"/>
      <c r="QXI28" s="3468"/>
      <c r="QXJ28" s="3468"/>
      <c r="QXK28" s="3468"/>
      <c r="QXL28" s="3468"/>
      <c r="QXM28" s="3468"/>
      <c r="QXN28" s="3468"/>
      <c r="QXO28" s="3468"/>
      <c r="QXP28" s="3468"/>
      <c r="QXQ28" s="3468"/>
      <c r="QXR28" s="3468"/>
      <c r="QXS28" s="3468"/>
      <c r="QXT28" s="3468"/>
      <c r="QXU28" s="3468"/>
      <c r="QXV28" s="3468"/>
      <c r="QXW28" s="3468"/>
      <c r="QXX28" s="3468"/>
      <c r="QXY28" s="3468"/>
      <c r="QXZ28" s="3468"/>
      <c r="QYA28" s="3468"/>
      <c r="QYB28" s="3468"/>
      <c r="QYC28" s="3468"/>
      <c r="QYD28" s="3468"/>
      <c r="QYE28" s="3468"/>
      <c r="QYF28" s="3468"/>
      <c r="QYG28" s="3468"/>
      <c r="QYH28" s="3468"/>
      <c r="QYI28" s="3468"/>
      <c r="QYJ28" s="3468"/>
      <c r="QYK28" s="3468"/>
      <c r="QYL28" s="3468"/>
      <c r="QYM28" s="3468"/>
      <c r="QYN28" s="3468"/>
      <c r="QYO28" s="3468"/>
      <c r="QYP28" s="3468"/>
      <c r="QYQ28" s="3468"/>
      <c r="QYR28" s="3468"/>
      <c r="QYS28" s="3468"/>
      <c r="QYT28" s="3468"/>
      <c r="QYU28" s="3468"/>
      <c r="QYV28" s="3468"/>
      <c r="QYW28" s="3468"/>
      <c r="QYX28" s="3468"/>
      <c r="QYY28" s="3468"/>
      <c r="QYZ28" s="3468"/>
      <c r="QZA28" s="3468"/>
      <c r="QZB28" s="3468"/>
      <c r="QZC28" s="3468"/>
      <c r="QZD28" s="3468"/>
      <c r="QZE28" s="3468"/>
      <c r="QZF28" s="3468"/>
      <c r="QZG28" s="3468"/>
      <c r="QZH28" s="3468"/>
      <c r="QZI28" s="3468"/>
      <c r="QZJ28" s="3468"/>
      <c r="QZK28" s="3468"/>
      <c r="QZL28" s="3468"/>
      <c r="QZM28" s="3468"/>
      <c r="QZN28" s="3468"/>
      <c r="QZO28" s="3468"/>
      <c r="QZP28" s="3468"/>
      <c r="QZQ28" s="3468"/>
      <c r="QZR28" s="3468"/>
      <c r="QZS28" s="3468"/>
      <c r="QZT28" s="3468"/>
      <c r="QZU28" s="3468"/>
      <c r="QZV28" s="3468"/>
      <c r="QZW28" s="3468"/>
      <c r="QZX28" s="3468"/>
      <c r="QZY28" s="3468"/>
      <c r="QZZ28" s="3468"/>
      <c r="RAA28" s="3468"/>
      <c r="RAB28" s="3468"/>
      <c r="RAC28" s="3468"/>
      <c r="RAD28" s="3468"/>
      <c r="RAE28" s="3468"/>
      <c r="RAF28" s="3468"/>
      <c r="RAG28" s="3468"/>
      <c r="RAH28" s="3468"/>
      <c r="RAI28" s="3468"/>
      <c r="RAJ28" s="3468"/>
      <c r="RAK28" s="3468"/>
      <c r="RAL28" s="3468"/>
      <c r="RAM28" s="3468"/>
      <c r="RAN28" s="3468"/>
      <c r="RAO28" s="3468"/>
      <c r="RAP28" s="3468"/>
      <c r="RAQ28" s="3468"/>
      <c r="RAR28" s="3468"/>
      <c r="RAS28" s="3468"/>
      <c r="RAT28" s="3468"/>
      <c r="RAU28" s="3468"/>
      <c r="RAV28" s="3468"/>
      <c r="RAW28" s="3468"/>
      <c r="RAX28" s="3468"/>
      <c r="RAY28" s="3468"/>
      <c r="RAZ28" s="3468"/>
      <c r="RBA28" s="3468"/>
      <c r="RBB28" s="3468"/>
      <c r="RBC28" s="3468"/>
      <c r="RBD28" s="3468"/>
      <c r="RBE28" s="3468"/>
      <c r="RBF28" s="3468"/>
      <c r="RBG28" s="3468"/>
      <c r="RBH28" s="3468"/>
      <c r="RBI28" s="3468"/>
      <c r="RBJ28" s="3468"/>
      <c r="RBK28" s="3468"/>
      <c r="RBL28" s="3468"/>
      <c r="RBM28" s="3468"/>
      <c r="RBN28" s="3468"/>
      <c r="RBO28" s="3468"/>
      <c r="RBP28" s="3468"/>
      <c r="RBQ28" s="3468"/>
      <c r="RBR28" s="3468"/>
      <c r="RBS28" s="3468"/>
      <c r="RBT28" s="3468"/>
      <c r="RBU28" s="3468"/>
      <c r="RBV28" s="3468"/>
      <c r="RBW28" s="3468"/>
      <c r="RBX28" s="3468"/>
      <c r="RBY28" s="3468"/>
      <c r="RBZ28" s="3468"/>
      <c r="RCA28" s="3468"/>
      <c r="RCB28" s="3468"/>
      <c r="RCC28" s="3468"/>
      <c r="RCD28" s="3468"/>
      <c r="RCE28" s="3468"/>
      <c r="RCF28" s="3468"/>
      <c r="RCG28" s="3468"/>
      <c r="RCH28" s="3468"/>
      <c r="RCI28" s="3468"/>
      <c r="RCJ28" s="3468"/>
      <c r="RCK28" s="3468"/>
      <c r="RCL28" s="3468"/>
      <c r="RCM28" s="3468"/>
      <c r="RCN28" s="3468"/>
      <c r="RCO28" s="3468"/>
      <c r="RCP28" s="3468"/>
      <c r="RCQ28" s="3468"/>
      <c r="RCR28" s="3468"/>
      <c r="RCS28" s="3468"/>
      <c r="RCT28" s="3468"/>
      <c r="RCU28" s="3468"/>
      <c r="RCV28" s="3468"/>
      <c r="RCW28" s="3468"/>
      <c r="RCX28" s="3468"/>
      <c r="RCY28" s="3468"/>
      <c r="RCZ28" s="3468"/>
      <c r="RDA28" s="3468"/>
      <c r="RDB28" s="3468"/>
      <c r="RDC28" s="3468"/>
      <c r="RDD28" s="3468"/>
      <c r="RDE28" s="3468"/>
      <c r="RDF28" s="3468"/>
      <c r="RDG28" s="3468"/>
      <c r="RDH28" s="3468"/>
      <c r="RDI28" s="3468"/>
      <c r="RDJ28" s="3468"/>
      <c r="RDK28" s="3468"/>
      <c r="RDL28" s="3468"/>
      <c r="RDM28" s="3468"/>
      <c r="RDN28" s="3468"/>
      <c r="RDO28" s="3468"/>
      <c r="RDP28" s="3468"/>
      <c r="RDQ28" s="3468"/>
      <c r="RDR28" s="3468"/>
      <c r="RDS28" s="3468"/>
      <c r="RDT28" s="3468"/>
      <c r="RDU28" s="3468"/>
      <c r="RDV28" s="3468"/>
      <c r="RDW28" s="3468"/>
      <c r="RDX28" s="3468"/>
      <c r="RDY28" s="3468"/>
      <c r="RDZ28" s="3468"/>
      <c r="REA28" s="3468"/>
      <c r="REB28" s="3468"/>
      <c r="REC28" s="3468"/>
      <c r="RED28" s="3468"/>
      <c r="REE28" s="3468"/>
      <c r="REF28" s="3468"/>
      <c r="REG28" s="3468"/>
      <c r="REH28" s="3468"/>
      <c r="REI28" s="3468"/>
      <c r="REJ28" s="3468"/>
      <c r="REK28" s="3468"/>
      <c r="REL28" s="3468"/>
      <c r="REM28" s="3468"/>
      <c r="REN28" s="3468"/>
      <c r="REO28" s="3468"/>
      <c r="REP28" s="3468"/>
      <c r="REQ28" s="3468"/>
      <c r="RER28" s="3468"/>
      <c r="RES28" s="3468"/>
      <c r="RET28" s="3468"/>
      <c r="REU28" s="3468"/>
      <c r="REV28" s="3468"/>
      <c r="REW28" s="3468"/>
      <c r="REX28" s="3468"/>
      <c r="REY28" s="3468"/>
      <c r="REZ28" s="3468"/>
      <c r="RFA28" s="3468"/>
      <c r="RFB28" s="3468"/>
      <c r="RFC28" s="3468"/>
      <c r="RFD28" s="3468"/>
      <c r="RFE28" s="3468"/>
      <c r="RFF28" s="3468"/>
      <c r="RFG28" s="3468"/>
      <c r="RFH28" s="3468"/>
      <c r="RFI28" s="3468"/>
      <c r="RFJ28" s="3468"/>
      <c r="RFK28" s="3468"/>
      <c r="RFL28" s="3468"/>
      <c r="RFM28" s="3468"/>
      <c r="RFN28" s="3468"/>
      <c r="RFO28" s="3468"/>
      <c r="RFP28" s="3468"/>
      <c r="RFQ28" s="3468"/>
      <c r="RFR28" s="3468"/>
      <c r="RFS28" s="3468"/>
      <c r="RFT28" s="3468"/>
      <c r="RFU28" s="3468"/>
      <c r="RFV28" s="3468"/>
      <c r="RFW28" s="3468"/>
      <c r="RFX28" s="3468"/>
      <c r="RFY28" s="3468"/>
      <c r="RFZ28" s="3468"/>
      <c r="RGA28" s="3468"/>
      <c r="RGB28" s="3468"/>
      <c r="RGC28" s="3468"/>
      <c r="RGD28" s="3468"/>
      <c r="RGE28" s="3468"/>
      <c r="RGF28" s="3468"/>
      <c r="RGG28" s="3468"/>
      <c r="RGH28" s="3468"/>
      <c r="RGI28" s="3468"/>
      <c r="RGJ28" s="3468"/>
      <c r="RGK28" s="3468"/>
      <c r="RGL28" s="3468"/>
      <c r="RGM28" s="3468"/>
      <c r="RGN28" s="3468"/>
      <c r="RGO28" s="3468"/>
      <c r="RGP28" s="3468"/>
      <c r="RGQ28" s="3468"/>
      <c r="RGR28" s="3468"/>
      <c r="RGS28" s="3468"/>
      <c r="RGT28" s="3468"/>
      <c r="RGU28" s="3468"/>
      <c r="RGV28" s="3468"/>
      <c r="RGW28" s="3468"/>
      <c r="RGX28" s="3468"/>
      <c r="RGY28" s="3468"/>
      <c r="RGZ28" s="3468"/>
      <c r="RHA28" s="3468"/>
      <c r="RHB28" s="3468"/>
      <c r="RHC28" s="3468"/>
      <c r="RHD28" s="3468"/>
      <c r="RHE28" s="3468"/>
      <c r="RHF28" s="3468"/>
      <c r="RHG28" s="3468"/>
      <c r="RHH28" s="3468"/>
      <c r="RHI28" s="3468"/>
      <c r="RHJ28" s="3468"/>
      <c r="RHK28" s="3468"/>
      <c r="RHL28" s="3468"/>
      <c r="RHM28" s="3468"/>
      <c r="RHN28" s="3468"/>
      <c r="RHO28" s="3468"/>
      <c r="RHP28" s="3468"/>
      <c r="RHQ28" s="3468"/>
      <c r="RHR28" s="3468"/>
      <c r="RHS28" s="3468"/>
      <c r="RHT28" s="3468"/>
      <c r="RHU28" s="3468"/>
      <c r="RHV28" s="3468"/>
      <c r="RHW28" s="3468"/>
      <c r="RHX28" s="3468"/>
      <c r="RHY28" s="3468"/>
      <c r="RHZ28" s="3468"/>
      <c r="RIA28" s="3468"/>
      <c r="RIB28" s="3468"/>
      <c r="RIC28" s="3468"/>
      <c r="RID28" s="3468"/>
      <c r="RIE28" s="3468"/>
      <c r="RIF28" s="3468"/>
      <c r="RIG28" s="3468"/>
      <c r="RIH28" s="3468"/>
      <c r="RII28" s="3468"/>
      <c r="RIJ28" s="3468"/>
      <c r="RIK28" s="3468"/>
      <c r="RIL28" s="3468"/>
      <c r="RIM28" s="3468"/>
      <c r="RIN28" s="3468"/>
      <c r="RIO28" s="3468"/>
      <c r="RIP28" s="3468"/>
      <c r="RIQ28" s="3468"/>
      <c r="RIR28" s="3468"/>
      <c r="RIS28" s="3468"/>
      <c r="RIT28" s="3468"/>
      <c r="RIU28" s="3468"/>
      <c r="RIV28" s="3468"/>
      <c r="RIW28" s="3468"/>
      <c r="RIX28" s="3468"/>
      <c r="RIY28" s="3468"/>
      <c r="RIZ28" s="3468"/>
      <c r="RJA28" s="3468"/>
      <c r="RJB28" s="3468"/>
      <c r="RJC28" s="3468"/>
      <c r="RJD28" s="3468"/>
      <c r="RJE28" s="3468"/>
      <c r="RJF28" s="3468"/>
      <c r="RJG28" s="3468"/>
      <c r="RJH28" s="3468"/>
      <c r="RJI28" s="3468"/>
      <c r="RJJ28" s="3468"/>
      <c r="RJK28" s="3468"/>
      <c r="RJL28" s="3468"/>
      <c r="RJM28" s="3468"/>
      <c r="RJN28" s="3468"/>
      <c r="RJO28" s="3468"/>
      <c r="RJP28" s="3468"/>
      <c r="RJQ28" s="3468"/>
      <c r="RJR28" s="3468"/>
      <c r="RJS28" s="3468"/>
      <c r="RJT28" s="3468"/>
      <c r="RJU28" s="3468"/>
      <c r="RJV28" s="3468"/>
      <c r="RJW28" s="3468"/>
      <c r="RJX28" s="3468"/>
      <c r="RJY28" s="3468"/>
      <c r="RJZ28" s="3468"/>
      <c r="RKA28" s="3468"/>
      <c r="RKB28" s="3468"/>
      <c r="RKC28" s="3468"/>
      <c r="RKD28" s="3468"/>
      <c r="RKE28" s="3468"/>
      <c r="RKF28" s="3468"/>
      <c r="RKG28" s="3468"/>
      <c r="RKH28" s="3468"/>
      <c r="RKI28" s="3468"/>
      <c r="RKJ28" s="3468"/>
      <c r="RKK28" s="3468"/>
      <c r="RKL28" s="3468"/>
      <c r="RKM28" s="3468"/>
      <c r="RKN28" s="3468"/>
      <c r="RKO28" s="3468"/>
      <c r="RKP28" s="3468"/>
      <c r="RKQ28" s="3468"/>
      <c r="RKR28" s="3468"/>
      <c r="RKS28" s="3468"/>
      <c r="RKT28" s="3468"/>
      <c r="RKU28" s="3468"/>
      <c r="RKV28" s="3468"/>
      <c r="RKW28" s="3468"/>
      <c r="RKX28" s="3468"/>
      <c r="RKY28" s="3468"/>
      <c r="RKZ28" s="3468"/>
      <c r="RLA28" s="3468"/>
      <c r="RLB28" s="3468"/>
      <c r="RLC28" s="3468"/>
      <c r="RLD28" s="3468"/>
      <c r="RLE28" s="3468"/>
      <c r="RLF28" s="3468"/>
      <c r="RLG28" s="3468"/>
      <c r="RLH28" s="3468"/>
      <c r="RLI28" s="3468"/>
      <c r="RLJ28" s="3468"/>
      <c r="RLK28" s="3468"/>
      <c r="RLL28" s="3468"/>
      <c r="RLM28" s="3468"/>
      <c r="RLN28" s="3468"/>
      <c r="RLO28" s="3468"/>
      <c r="RLP28" s="3468"/>
      <c r="RLQ28" s="3468"/>
      <c r="RLR28" s="3468"/>
      <c r="RLS28" s="3468"/>
      <c r="RLT28" s="3468"/>
      <c r="RLU28" s="3468"/>
      <c r="RLV28" s="3468"/>
      <c r="RLW28" s="3468"/>
      <c r="RLX28" s="3468"/>
      <c r="RLY28" s="3468"/>
      <c r="RLZ28" s="3468"/>
      <c r="RMA28" s="3468"/>
      <c r="RMB28" s="3468"/>
      <c r="RMC28" s="3468"/>
      <c r="RMD28" s="3468"/>
      <c r="RME28" s="3468"/>
      <c r="RMF28" s="3468"/>
      <c r="RMG28" s="3468"/>
      <c r="RMH28" s="3468"/>
      <c r="RMI28" s="3468"/>
      <c r="RMJ28" s="3468"/>
      <c r="RMK28" s="3468"/>
      <c r="RML28" s="3468"/>
      <c r="RMM28" s="3468"/>
      <c r="RMN28" s="3468"/>
      <c r="RMO28" s="3468"/>
      <c r="RMP28" s="3468"/>
      <c r="RMQ28" s="3468"/>
      <c r="RMR28" s="3468"/>
      <c r="RMS28" s="3468"/>
      <c r="RMT28" s="3468"/>
      <c r="RMU28" s="3468"/>
      <c r="RMV28" s="3468"/>
      <c r="RMW28" s="3468"/>
      <c r="RMX28" s="3468"/>
      <c r="RMY28" s="3468"/>
      <c r="RMZ28" s="3468"/>
      <c r="RNA28" s="3468"/>
      <c r="RNB28" s="3468"/>
      <c r="RNC28" s="3468"/>
      <c r="RND28" s="3468"/>
      <c r="RNE28" s="3468"/>
      <c r="RNF28" s="3468"/>
      <c r="RNG28" s="3468"/>
      <c r="RNH28" s="3468"/>
      <c r="RNI28" s="3468"/>
      <c r="RNJ28" s="3468"/>
      <c r="RNK28" s="3468"/>
      <c r="RNL28" s="3468"/>
      <c r="RNM28" s="3468"/>
      <c r="RNN28" s="3468"/>
      <c r="RNO28" s="3468"/>
      <c r="RNP28" s="3468"/>
      <c r="RNQ28" s="3468"/>
      <c r="RNR28" s="3468"/>
      <c r="RNS28" s="3468"/>
      <c r="RNT28" s="3468"/>
      <c r="RNU28" s="3468"/>
      <c r="RNV28" s="3468"/>
      <c r="RNW28" s="3468"/>
      <c r="RNX28" s="3468"/>
      <c r="RNY28" s="3468"/>
      <c r="RNZ28" s="3468"/>
      <c r="ROA28" s="3468"/>
      <c r="ROB28" s="3468"/>
      <c r="ROC28" s="3468"/>
      <c r="ROD28" s="3468"/>
      <c r="ROE28" s="3468"/>
      <c r="ROF28" s="3468"/>
      <c r="ROG28" s="3468"/>
      <c r="ROH28" s="3468"/>
      <c r="ROI28" s="3468"/>
      <c r="ROJ28" s="3468"/>
      <c r="ROK28" s="3468"/>
      <c r="ROL28" s="3468"/>
      <c r="ROM28" s="3468"/>
      <c r="RON28" s="3468"/>
      <c r="ROO28" s="3468"/>
      <c r="ROP28" s="3468"/>
      <c r="ROQ28" s="3468"/>
      <c r="ROR28" s="3468"/>
      <c r="ROS28" s="3468"/>
      <c r="ROT28" s="3468"/>
      <c r="ROU28" s="3468"/>
      <c r="ROV28" s="3468"/>
      <c r="ROW28" s="3468"/>
      <c r="ROX28" s="3468"/>
      <c r="ROY28" s="3468"/>
      <c r="ROZ28" s="3468"/>
      <c r="RPA28" s="3468"/>
      <c r="RPB28" s="3468"/>
      <c r="RPC28" s="3468"/>
      <c r="RPD28" s="3468"/>
      <c r="RPE28" s="3468"/>
      <c r="RPF28" s="3468"/>
      <c r="RPG28" s="3468"/>
      <c r="RPH28" s="3468"/>
      <c r="RPI28" s="3468"/>
      <c r="RPJ28" s="3468"/>
      <c r="RPK28" s="3468"/>
      <c r="RPL28" s="3468"/>
      <c r="RPM28" s="3468"/>
      <c r="RPN28" s="3468"/>
      <c r="RPO28" s="3468"/>
      <c r="RPP28" s="3468"/>
      <c r="RPQ28" s="3468"/>
      <c r="RPR28" s="3468"/>
      <c r="RPS28" s="3468"/>
      <c r="RPT28" s="3468"/>
      <c r="RPU28" s="3468"/>
      <c r="RPV28" s="3468"/>
      <c r="RPW28" s="3468"/>
      <c r="RPX28" s="3468"/>
      <c r="RPY28" s="3468"/>
      <c r="RPZ28" s="3468"/>
      <c r="RQA28" s="3468"/>
      <c r="RQB28" s="3468"/>
      <c r="RQC28" s="3468"/>
      <c r="RQD28" s="3468"/>
      <c r="RQE28" s="3468"/>
      <c r="RQF28" s="3468"/>
      <c r="RQG28" s="3468"/>
      <c r="RQH28" s="3468"/>
      <c r="RQI28" s="3468"/>
      <c r="RQJ28" s="3468"/>
      <c r="RQK28" s="3468"/>
      <c r="RQL28" s="3468"/>
      <c r="RQM28" s="3468"/>
      <c r="RQN28" s="3468"/>
      <c r="RQO28" s="3468"/>
      <c r="RQP28" s="3468"/>
      <c r="RQQ28" s="3468"/>
      <c r="RQR28" s="3468"/>
      <c r="RQS28" s="3468"/>
      <c r="RQT28" s="3468"/>
      <c r="RQU28" s="3468"/>
      <c r="RQV28" s="3468"/>
      <c r="RQW28" s="3468"/>
      <c r="RQX28" s="3468"/>
      <c r="RQY28" s="3468"/>
      <c r="RQZ28" s="3468"/>
      <c r="RRA28" s="3468"/>
      <c r="RRB28" s="3468"/>
      <c r="RRC28" s="3468"/>
      <c r="RRD28" s="3468"/>
      <c r="RRE28" s="3468"/>
      <c r="RRF28" s="3468"/>
      <c r="RRG28" s="3468"/>
      <c r="RRH28" s="3468"/>
      <c r="RRI28" s="3468"/>
      <c r="RRJ28" s="3468"/>
      <c r="RRK28" s="3468"/>
      <c r="RRL28" s="3468"/>
      <c r="RRM28" s="3468"/>
      <c r="RRN28" s="3468"/>
      <c r="RRO28" s="3468"/>
      <c r="RRP28" s="3468"/>
      <c r="RRQ28" s="3468"/>
      <c r="RRR28" s="3468"/>
      <c r="RRS28" s="3468"/>
      <c r="RRT28" s="3468"/>
      <c r="RRU28" s="3468"/>
      <c r="RRV28" s="3468"/>
      <c r="RRW28" s="3468"/>
      <c r="RRX28" s="3468"/>
      <c r="RRY28" s="3468"/>
      <c r="RRZ28" s="3468"/>
      <c r="RSA28" s="3468"/>
      <c r="RSB28" s="3468"/>
      <c r="RSC28" s="3468"/>
      <c r="RSD28" s="3468"/>
      <c r="RSE28" s="3468"/>
      <c r="RSF28" s="3468"/>
      <c r="RSG28" s="3468"/>
      <c r="RSH28" s="3468"/>
      <c r="RSI28" s="3468"/>
      <c r="RSJ28" s="3468"/>
      <c r="RSK28" s="3468"/>
      <c r="RSL28" s="3468"/>
      <c r="RSM28" s="3468"/>
      <c r="RSN28" s="3468"/>
      <c r="RSO28" s="3468"/>
      <c r="RSP28" s="3468"/>
      <c r="RSQ28" s="3468"/>
      <c r="RSR28" s="3468"/>
      <c r="RSS28" s="3468"/>
      <c r="RST28" s="3468"/>
      <c r="RSU28" s="3468"/>
      <c r="RSV28" s="3468"/>
      <c r="RSW28" s="3468"/>
      <c r="RSX28" s="3468"/>
      <c r="RSY28" s="3468"/>
      <c r="RSZ28" s="3468"/>
      <c r="RTA28" s="3468"/>
      <c r="RTB28" s="3468"/>
      <c r="RTC28" s="3468"/>
      <c r="RTD28" s="3468"/>
      <c r="RTE28" s="3468"/>
      <c r="RTF28" s="3468"/>
      <c r="RTG28" s="3468"/>
      <c r="RTH28" s="3468"/>
      <c r="RTI28" s="3468"/>
      <c r="RTJ28" s="3468"/>
      <c r="RTK28" s="3468"/>
      <c r="RTL28" s="3468"/>
      <c r="RTM28" s="3468"/>
      <c r="RTN28" s="3468"/>
      <c r="RTO28" s="3468"/>
      <c r="RTP28" s="3468"/>
      <c r="RTQ28" s="3468"/>
      <c r="RTR28" s="3468"/>
      <c r="RTS28" s="3468"/>
      <c r="RTT28" s="3468"/>
      <c r="RTU28" s="3468"/>
      <c r="RTV28" s="3468"/>
      <c r="RTW28" s="3468"/>
      <c r="RTX28" s="3468"/>
      <c r="RTY28" s="3468"/>
      <c r="RTZ28" s="3468"/>
      <c r="RUA28" s="3468"/>
      <c r="RUB28" s="3468"/>
      <c r="RUC28" s="3468"/>
      <c r="RUD28" s="3468"/>
      <c r="RUE28" s="3468"/>
      <c r="RUF28" s="3468"/>
      <c r="RUG28" s="3468"/>
      <c r="RUH28" s="3468"/>
      <c r="RUI28" s="3468"/>
      <c r="RUJ28" s="3468"/>
      <c r="RUK28" s="3468"/>
      <c r="RUL28" s="3468"/>
      <c r="RUM28" s="3468"/>
      <c r="RUN28" s="3468"/>
      <c r="RUO28" s="3468"/>
      <c r="RUP28" s="3468"/>
      <c r="RUQ28" s="3468"/>
      <c r="RUR28" s="3468"/>
      <c r="RUS28" s="3468"/>
      <c r="RUT28" s="3468"/>
      <c r="RUU28" s="3468"/>
      <c r="RUV28" s="3468"/>
      <c r="RUW28" s="3468"/>
      <c r="RUX28" s="3468"/>
      <c r="RUY28" s="3468"/>
      <c r="RUZ28" s="3468"/>
      <c r="RVA28" s="3468"/>
      <c r="RVB28" s="3468"/>
      <c r="RVC28" s="3468"/>
      <c r="RVD28" s="3468"/>
      <c r="RVE28" s="3468"/>
      <c r="RVF28" s="3468"/>
      <c r="RVG28" s="3468"/>
      <c r="RVH28" s="3468"/>
      <c r="RVI28" s="3468"/>
      <c r="RVJ28" s="3468"/>
      <c r="RVK28" s="3468"/>
      <c r="RVL28" s="3468"/>
      <c r="RVM28" s="3468"/>
      <c r="RVN28" s="3468"/>
      <c r="RVO28" s="3468"/>
      <c r="RVP28" s="3468"/>
      <c r="RVQ28" s="3468"/>
      <c r="RVR28" s="3468"/>
      <c r="RVS28" s="3468"/>
      <c r="RVT28" s="3468"/>
      <c r="RVU28" s="3468"/>
      <c r="RVV28" s="3468"/>
      <c r="RVW28" s="3468"/>
      <c r="RVX28" s="3468"/>
      <c r="RVY28" s="3468"/>
      <c r="RVZ28" s="3468"/>
      <c r="RWA28" s="3468"/>
      <c r="RWB28" s="3468"/>
      <c r="RWC28" s="3468"/>
      <c r="RWD28" s="3468"/>
      <c r="RWE28" s="3468"/>
      <c r="RWF28" s="3468"/>
      <c r="RWG28" s="3468"/>
      <c r="RWH28" s="3468"/>
      <c r="RWI28" s="3468"/>
      <c r="RWJ28" s="3468"/>
      <c r="RWK28" s="3468"/>
      <c r="RWL28" s="3468"/>
      <c r="RWM28" s="3468"/>
      <c r="RWN28" s="3468"/>
      <c r="RWO28" s="3468"/>
      <c r="RWP28" s="3468"/>
      <c r="RWQ28" s="3468"/>
      <c r="RWR28" s="3468"/>
      <c r="RWS28" s="3468"/>
      <c r="RWT28" s="3468"/>
      <c r="RWU28" s="3468"/>
      <c r="RWV28" s="3468"/>
      <c r="RWW28" s="3468"/>
      <c r="RWX28" s="3468"/>
      <c r="RWY28" s="3468"/>
      <c r="RWZ28" s="3468"/>
      <c r="RXA28" s="3468"/>
      <c r="RXB28" s="3468"/>
      <c r="RXC28" s="3468"/>
      <c r="RXD28" s="3468"/>
      <c r="RXE28" s="3468"/>
      <c r="RXF28" s="3468"/>
      <c r="RXG28" s="3468"/>
      <c r="RXH28" s="3468"/>
      <c r="RXI28" s="3468"/>
      <c r="RXJ28" s="3468"/>
      <c r="RXK28" s="3468"/>
      <c r="RXL28" s="3468"/>
      <c r="RXM28" s="3468"/>
      <c r="RXN28" s="3468"/>
      <c r="RXO28" s="3468"/>
      <c r="RXP28" s="3468"/>
      <c r="RXQ28" s="3468"/>
      <c r="RXR28" s="3468"/>
      <c r="RXS28" s="3468"/>
      <c r="RXT28" s="3468"/>
      <c r="RXU28" s="3468"/>
      <c r="RXV28" s="3468"/>
      <c r="RXW28" s="3468"/>
      <c r="RXX28" s="3468"/>
      <c r="RXY28" s="3468"/>
      <c r="RXZ28" s="3468"/>
      <c r="RYA28" s="3468"/>
      <c r="RYB28" s="3468"/>
      <c r="RYC28" s="3468"/>
      <c r="RYD28" s="3468"/>
      <c r="RYE28" s="3468"/>
      <c r="RYF28" s="3468"/>
      <c r="RYG28" s="3468"/>
      <c r="RYH28" s="3468"/>
      <c r="RYI28" s="3468"/>
      <c r="RYJ28" s="3468"/>
      <c r="RYK28" s="3468"/>
      <c r="RYL28" s="3468"/>
      <c r="RYM28" s="3468"/>
      <c r="RYN28" s="3468"/>
      <c r="RYO28" s="3468"/>
      <c r="RYP28" s="3468"/>
      <c r="RYQ28" s="3468"/>
      <c r="RYR28" s="3468"/>
      <c r="RYS28" s="3468"/>
      <c r="RYT28" s="3468"/>
      <c r="RYU28" s="3468"/>
      <c r="RYV28" s="3468"/>
      <c r="RYW28" s="3468"/>
      <c r="RYX28" s="3468"/>
      <c r="RYY28" s="3468"/>
      <c r="RYZ28" s="3468"/>
      <c r="RZA28" s="3468"/>
      <c r="RZB28" s="3468"/>
      <c r="RZC28" s="3468"/>
      <c r="RZD28" s="3468"/>
      <c r="RZE28" s="3468"/>
      <c r="RZF28" s="3468"/>
      <c r="RZG28" s="3468"/>
      <c r="RZH28" s="3468"/>
      <c r="RZI28" s="3468"/>
      <c r="RZJ28" s="3468"/>
      <c r="RZK28" s="3468"/>
      <c r="RZL28" s="3468"/>
      <c r="RZM28" s="3468"/>
      <c r="RZN28" s="3468"/>
      <c r="RZO28" s="3468"/>
      <c r="RZP28" s="3468"/>
      <c r="RZQ28" s="3468"/>
      <c r="RZR28" s="3468"/>
      <c r="RZS28" s="3468"/>
      <c r="RZT28" s="3468"/>
      <c r="RZU28" s="3468"/>
      <c r="RZV28" s="3468"/>
      <c r="RZW28" s="3468"/>
      <c r="RZX28" s="3468"/>
      <c r="RZY28" s="3468"/>
      <c r="RZZ28" s="3468"/>
      <c r="SAA28" s="3468"/>
      <c r="SAB28" s="3468"/>
      <c r="SAC28" s="3468"/>
      <c r="SAD28" s="3468"/>
      <c r="SAE28" s="3468"/>
      <c r="SAF28" s="3468"/>
      <c r="SAG28" s="3468"/>
      <c r="SAH28" s="3468"/>
      <c r="SAI28" s="3468"/>
      <c r="SAJ28" s="3468"/>
      <c r="SAK28" s="3468"/>
      <c r="SAL28" s="3468"/>
      <c r="SAM28" s="3468"/>
      <c r="SAN28" s="3468"/>
      <c r="SAO28" s="3468"/>
      <c r="SAP28" s="3468"/>
      <c r="SAQ28" s="3468"/>
      <c r="SAR28" s="3468"/>
      <c r="SAS28" s="3468"/>
      <c r="SAT28" s="3468"/>
      <c r="SAU28" s="3468"/>
      <c r="SAV28" s="3468"/>
      <c r="SAW28" s="3468"/>
      <c r="SAX28" s="3468"/>
      <c r="SAY28" s="3468"/>
      <c r="SAZ28" s="3468"/>
      <c r="SBA28" s="3468"/>
      <c r="SBB28" s="3468"/>
      <c r="SBC28" s="3468"/>
      <c r="SBD28" s="3468"/>
      <c r="SBE28" s="3468"/>
      <c r="SBF28" s="3468"/>
      <c r="SBG28" s="3468"/>
      <c r="SBH28" s="3468"/>
      <c r="SBI28" s="3468"/>
      <c r="SBJ28" s="3468"/>
      <c r="SBK28" s="3468"/>
      <c r="SBL28" s="3468"/>
      <c r="SBM28" s="3468"/>
      <c r="SBN28" s="3468"/>
      <c r="SBO28" s="3468"/>
      <c r="SBP28" s="3468"/>
      <c r="SBQ28" s="3468"/>
      <c r="SBR28" s="3468"/>
      <c r="SBS28" s="3468"/>
      <c r="SBT28" s="3468"/>
      <c r="SBU28" s="3468"/>
      <c r="SBV28" s="3468"/>
      <c r="SBW28" s="3468"/>
      <c r="SBX28" s="3468"/>
      <c r="SBY28" s="3468"/>
      <c r="SBZ28" s="3468"/>
      <c r="SCA28" s="3468"/>
      <c r="SCB28" s="3468"/>
      <c r="SCC28" s="3468"/>
      <c r="SCD28" s="3468"/>
      <c r="SCE28" s="3468"/>
      <c r="SCF28" s="3468"/>
      <c r="SCG28" s="3468"/>
      <c r="SCH28" s="3468"/>
      <c r="SCI28" s="3468"/>
      <c r="SCJ28" s="3468"/>
      <c r="SCK28" s="3468"/>
      <c r="SCL28" s="3468"/>
      <c r="SCM28" s="3468"/>
      <c r="SCN28" s="3468"/>
      <c r="SCO28" s="3468"/>
      <c r="SCP28" s="3468"/>
      <c r="SCQ28" s="3468"/>
      <c r="SCR28" s="3468"/>
      <c r="SCS28" s="3468"/>
      <c r="SCT28" s="3468"/>
      <c r="SCU28" s="3468"/>
      <c r="SCV28" s="3468"/>
      <c r="SCW28" s="3468"/>
      <c r="SCX28" s="3468"/>
      <c r="SCY28" s="3468"/>
      <c r="SCZ28" s="3468"/>
      <c r="SDA28" s="3468"/>
      <c r="SDB28" s="3468"/>
      <c r="SDC28" s="3468"/>
      <c r="SDD28" s="3468"/>
      <c r="SDE28" s="3468"/>
      <c r="SDF28" s="3468"/>
      <c r="SDG28" s="3468"/>
      <c r="SDH28" s="3468"/>
      <c r="SDI28" s="3468"/>
      <c r="SDJ28" s="3468"/>
      <c r="SDK28" s="3468"/>
      <c r="SDL28" s="3468"/>
      <c r="SDM28" s="3468"/>
      <c r="SDN28" s="3468"/>
      <c r="SDO28" s="3468"/>
      <c r="SDP28" s="3468"/>
      <c r="SDQ28" s="3468"/>
      <c r="SDR28" s="3468"/>
      <c r="SDS28" s="3468"/>
      <c r="SDT28" s="3468"/>
      <c r="SDU28" s="3468"/>
      <c r="SDV28" s="3468"/>
      <c r="SDW28" s="3468"/>
      <c r="SDX28" s="3468"/>
      <c r="SDY28" s="3468"/>
      <c r="SDZ28" s="3468"/>
      <c r="SEA28" s="3468"/>
      <c r="SEB28" s="3468"/>
      <c r="SEC28" s="3468"/>
      <c r="SED28" s="3468"/>
      <c r="SEE28" s="3468"/>
      <c r="SEF28" s="3468"/>
      <c r="SEG28" s="3468"/>
      <c r="SEH28" s="3468"/>
      <c r="SEI28" s="3468"/>
      <c r="SEJ28" s="3468"/>
      <c r="SEK28" s="3468"/>
      <c r="SEL28" s="3468"/>
      <c r="SEM28" s="3468"/>
      <c r="SEN28" s="3468"/>
      <c r="SEO28" s="3468"/>
      <c r="SEP28" s="3468"/>
      <c r="SEQ28" s="3468"/>
      <c r="SER28" s="3468"/>
      <c r="SES28" s="3468"/>
      <c r="SET28" s="3468"/>
      <c r="SEU28" s="3468"/>
      <c r="SEV28" s="3468"/>
      <c r="SEW28" s="3468"/>
      <c r="SEX28" s="3468"/>
      <c r="SEY28" s="3468"/>
      <c r="SEZ28" s="3468"/>
      <c r="SFA28" s="3468"/>
      <c r="SFB28" s="3468"/>
      <c r="SFC28" s="3468"/>
      <c r="SFD28" s="3468"/>
      <c r="SFE28" s="3468"/>
      <c r="SFF28" s="3468"/>
      <c r="SFG28" s="3468"/>
      <c r="SFH28" s="3468"/>
      <c r="SFI28" s="3468"/>
      <c r="SFJ28" s="3468"/>
      <c r="SFK28" s="3468"/>
      <c r="SFL28" s="3468"/>
      <c r="SFM28" s="3468"/>
      <c r="SFN28" s="3468"/>
      <c r="SFO28" s="3468"/>
      <c r="SFP28" s="3468"/>
      <c r="SFQ28" s="3468"/>
      <c r="SFR28" s="3468"/>
      <c r="SFS28" s="3468"/>
      <c r="SFT28" s="3468"/>
      <c r="SFU28" s="3468"/>
      <c r="SFV28" s="3468"/>
      <c r="SFW28" s="3468"/>
      <c r="SFX28" s="3468"/>
      <c r="SFY28" s="3468"/>
      <c r="SFZ28" s="3468"/>
      <c r="SGA28" s="3468"/>
      <c r="SGB28" s="3468"/>
      <c r="SGC28" s="3468"/>
      <c r="SGD28" s="3468"/>
      <c r="SGE28" s="3468"/>
      <c r="SGF28" s="3468"/>
      <c r="SGG28" s="3468"/>
      <c r="SGH28" s="3468"/>
      <c r="SGI28" s="3468"/>
      <c r="SGJ28" s="3468"/>
      <c r="SGK28" s="3468"/>
      <c r="SGL28" s="3468"/>
      <c r="SGM28" s="3468"/>
      <c r="SGN28" s="3468"/>
      <c r="SGO28" s="3468"/>
      <c r="SGP28" s="3468"/>
      <c r="SGQ28" s="3468"/>
      <c r="SGR28" s="3468"/>
      <c r="SGS28" s="3468"/>
      <c r="SGT28" s="3468"/>
      <c r="SGU28" s="3468"/>
      <c r="SGV28" s="3468"/>
      <c r="SGW28" s="3468"/>
      <c r="SGX28" s="3468"/>
      <c r="SGY28" s="3468"/>
      <c r="SGZ28" s="3468"/>
      <c r="SHA28" s="3468"/>
      <c r="SHB28" s="3468"/>
      <c r="SHC28" s="3468"/>
      <c r="SHD28" s="3468"/>
      <c r="SHE28" s="3468"/>
      <c r="SHF28" s="3468"/>
      <c r="SHG28" s="3468"/>
      <c r="SHH28" s="3468"/>
      <c r="SHI28" s="3468"/>
      <c r="SHJ28" s="3468"/>
      <c r="SHK28" s="3468"/>
      <c r="SHL28" s="3468"/>
      <c r="SHM28" s="3468"/>
      <c r="SHN28" s="3468"/>
      <c r="SHO28" s="3468"/>
      <c r="SHP28" s="3468"/>
      <c r="SHQ28" s="3468"/>
      <c r="SHR28" s="3468"/>
      <c r="SHS28" s="3468"/>
      <c r="SHT28" s="3468"/>
      <c r="SHU28" s="3468"/>
      <c r="SHV28" s="3468"/>
      <c r="SHW28" s="3468"/>
      <c r="SHX28" s="3468"/>
      <c r="SHY28" s="3468"/>
      <c r="SHZ28" s="3468"/>
      <c r="SIA28" s="3468"/>
      <c r="SIB28" s="3468"/>
      <c r="SIC28" s="3468"/>
      <c r="SID28" s="3468"/>
      <c r="SIE28" s="3468"/>
      <c r="SIF28" s="3468"/>
      <c r="SIG28" s="3468"/>
      <c r="SIH28" s="3468"/>
      <c r="SII28" s="3468"/>
      <c r="SIJ28" s="3468"/>
      <c r="SIK28" s="3468"/>
      <c r="SIL28" s="3468"/>
      <c r="SIM28" s="3468"/>
      <c r="SIN28" s="3468"/>
      <c r="SIO28" s="3468"/>
      <c r="SIP28" s="3468"/>
      <c r="SIQ28" s="3468"/>
      <c r="SIR28" s="3468"/>
      <c r="SIS28" s="3468"/>
      <c r="SIT28" s="3468"/>
      <c r="SIU28" s="3468"/>
      <c r="SIV28" s="3468"/>
      <c r="SIW28" s="3468"/>
      <c r="SIX28" s="3468"/>
      <c r="SIY28" s="3468"/>
      <c r="SIZ28" s="3468"/>
      <c r="SJA28" s="3468"/>
      <c r="SJB28" s="3468"/>
      <c r="SJC28" s="3468"/>
      <c r="SJD28" s="3468"/>
      <c r="SJE28" s="3468"/>
      <c r="SJF28" s="3468"/>
      <c r="SJG28" s="3468"/>
      <c r="SJH28" s="3468"/>
      <c r="SJI28" s="3468"/>
      <c r="SJJ28" s="3468"/>
      <c r="SJK28" s="3468"/>
      <c r="SJL28" s="3468"/>
      <c r="SJM28" s="3468"/>
      <c r="SJN28" s="3468"/>
      <c r="SJO28" s="3468"/>
      <c r="SJP28" s="3468"/>
      <c r="SJQ28" s="3468"/>
      <c r="SJR28" s="3468"/>
      <c r="SJS28" s="3468"/>
      <c r="SJT28" s="3468"/>
      <c r="SJU28" s="3468"/>
      <c r="SJV28" s="3468"/>
      <c r="SJW28" s="3468"/>
      <c r="SJX28" s="3468"/>
      <c r="SJY28" s="3468"/>
      <c r="SJZ28" s="3468"/>
      <c r="SKA28" s="3468"/>
      <c r="SKB28" s="3468"/>
      <c r="SKC28" s="3468"/>
      <c r="SKD28" s="3468"/>
      <c r="SKE28" s="3468"/>
      <c r="SKF28" s="3468"/>
      <c r="SKG28" s="3468"/>
      <c r="SKH28" s="3468"/>
      <c r="SKI28" s="3468"/>
      <c r="SKJ28" s="3468"/>
      <c r="SKK28" s="3468"/>
      <c r="SKL28" s="3468"/>
      <c r="SKM28" s="3468"/>
      <c r="SKN28" s="3468"/>
      <c r="SKO28" s="3468"/>
      <c r="SKP28" s="3468"/>
      <c r="SKQ28" s="3468"/>
      <c r="SKR28" s="3468"/>
      <c r="SKS28" s="3468"/>
      <c r="SKT28" s="3468"/>
      <c r="SKU28" s="3468"/>
      <c r="SKV28" s="3468"/>
      <c r="SKW28" s="3468"/>
      <c r="SKX28" s="3468"/>
      <c r="SKY28" s="3468"/>
      <c r="SKZ28" s="3468"/>
      <c r="SLA28" s="3468"/>
      <c r="SLB28" s="3468"/>
      <c r="SLC28" s="3468"/>
      <c r="SLD28" s="3468"/>
      <c r="SLE28" s="3468"/>
      <c r="SLF28" s="3468"/>
      <c r="SLG28" s="3468"/>
      <c r="SLH28" s="3468"/>
      <c r="SLI28" s="3468"/>
      <c r="SLJ28" s="3468"/>
      <c r="SLK28" s="3468"/>
      <c r="SLL28" s="3468"/>
      <c r="SLM28" s="3468"/>
      <c r="SLN28" s="3468"/>
      <c r="SLO28" s="3468"/>
      <c r="SLP28" s="3468"/>
      <c r="SLQ28" s="3468"/>
      <c r="SLR28" s="3468"/>
      <c r="SLS28" s="3468"/>
      <c r="SLT28" s="3468"/>
      <c r="SLU28" s="3468"/>
      <c r="SLV28" s="3468"/>
      <c r="SLW28" s="3468"/>
      <c r="SLX28" s="3468"/>
      <c r="SLY28" s="3468"/>
      <c r="SLZ28" s="3468"/>
      <c r="SMA28" s="3468"/>
      <c r="SMB28" s="3468"/>
      <c r="SMC28" s="3468"/>
      <c r="SMD28" s="3468"/>
      <c r="SME28" s="3468"/>
      <c r="SMF28" s="3468"/>
      <c r="SMG28" s="3468"/>
      <c r="SMH28" s="3468"/>
      <c r="SMI28" s="3468"/>
      <c r="SMJ28" s="3468"/>
      <c r="SMK28" s="3468"/>
      <c r="SML28" s="3468"/>
      <c r="SMM28" s="3468"/>
      <c r="SMN28" s="3468"/>
      <c r="SMO28" s="3468"/>
      <c r="SMP28" s="3468"/>
      <c r="SMQ28" s="3468"/>
      <c r="SMR28" s="3468"/>
      <c r="SMS28" s="3468"/>
      <c r="SMT28" s="3468"/>
      <c r="SMU28" s="3468"/>
      <c r="SMV28" s="3468"/>
      <c r="SMW28" s="3468"/>
      <c r="SMX28" s="3468"/>
      <c r="SMY28" s="3468"/>
      <c r="SMZ28" s="3468"/>
      <c r="SNA28" s="3468"/>
      <c r="SNB28" s="3468"/>
      <c r="SNC28" s="3468"/>
      <c r="SND28" s="3468"/>
      <c r="SNE28" s="3468"/>
      <c r="SNF28" s="3468"/>
      <c r="SNG28" s="3468"/>
      <c r="SNH28" s="3468"/>
      <c r="SNI28" s="3468"/>
      <c r="SNJ28" s="3468"/>
      <c r="SNK28" s="3468"/>
      <c r="SNL28" s="3468"/>
      <c r="SNM28" s="3468"/>
      <c r="SNN28" s="3468"/>
      <c r="SNO28" s="3468"/>
      <c r="SNP28" s="3468"/>
      <c r="SNQ28" s="3468"/>
      <c r="SNR28" s="3468"/>
      <c r="SNS28" s="3468"/>
      <c r="SNT28" s="3468"/>
      <c r="SNU28" s="3468"/>
      <c r="SNV28" s="3468"/>
      <c r="SNW28" s="3468"/>
      <c r="SNX28" s="3468"/>
      <c r="SNY28" s="3468"/>
      <c r="SNZ28" s="3468"/>
      <c r="SOA28" s="3468"/>
      <c r="SOB28" s="3468"/>
      <c r="SOC28" s="3468"/>
      <c r="SOD28" s="3468"/>
      <c r="SOE28" s="3468"/>
      <c r="SOF28" s="3468"/>
      <c r="SOG28" s="3468"/>
      <c r="SOH28" s="3468"/>
      <c r="SOI28" s="3468"/>
      <c r="SOJ28" s="3468"/>
      <c r="SOK28" s="3468"/>
      <c r="SOL28" s="3468"/>
      <c r="SOM28" s="3468"/>
      <c r="SON28" s="3468"/>
      <c r="SOO28" s="3468"/>
      <c r="SOP28" s="3468"/>
      <c r="SOQ28" s="3468"/>
      <c r="SOR28" s="3468"/>
      <c r="SOS28" s="3468"/>
      <c r="SOT28" s="3468"/>
      <c r="SOU28" s="3468"/>
      <c r="SOV28" s="3468"/>
      <c r="SOW28" s="3468"/>
      <c r="SOX28" s="3468"/>
      <c r="SOY28" s="3468"/>
      <c r="SOZ28" s="3468"/>
      <c r="SPA28" s="3468"/>
      <c r="SPB28" s="3468"/>
      <c r="SPC28" s="3468"/>
      <c r="SPD28" s="3468"/>
      <c r="SPE28" s="3468"/>
      <c r="SPF28" s="3468"/>
      <c r="SPG28" s="3468"/>
      <c r="SPH28" s="3468"/>
      <c r="SPI28" s="3468"/>
      <c r="SPJ28" s="3468"/>
      <c r="SPK28" s="3468"/>
      <c r="SPL28" s="3468"/>
      <c r="SPM28" s="3468"/>
      <c r="SPN28" s="3468"/>
      <c r="SPO28" s="3468"/>
      <c r="SPP28" s="3468"/>
      <c r="SPQ28" s="3468"/>
      <c r="SPR28" s="3468"/>
      <c r="SPS28" s="3468"/>
      <c r="SPT28" s="3468"/>
      <c r="SPU28" s="3468"/>
      <c r="SPV28" s="3468"/>
      <c r="SPW28" s="3468"/>
      <c r="SPX28" s="3468"/>
      <c r="SPY28" s="3468"/>
      <c r="SPZ28" s="3468"/>
      <c r="SQA28" s="3468"/>
      <c r="SQB28" s="3468"/>
      <c r="SQC28" s="3468"/>
      <c r="SQD28" s="3468"/>
      <c r="SQE28" s="3468"/>
      <c r="SQF28" s="3468"/>
      <c r="SQG28" s="3468"/>
      <c r="SQH28" s="3468"/>
      <c r="SQI28" s="3468"/>
      <c r="SQJ28" s="3468"/>
      <c r="SQK28" s="3468"/>
      <c r="SQL28" s="3468"/>
      <c r="SQM28" s="3468"/>
      <c r="SQN28" s="3468"/>
      <c r="SQO28" s="3468"/>
      <c r="SQP28" s="3468"/>
      <c r="SQQ28" s="3468"/>
      <c r="SQR28" s="3468"/>
      <c r="SQS28" s="3468"/>
      <c r="SQT28" s="3468"/>
      <c r="SQU28" s="3468"/>
      <c r="SQV28" s="3468"/>
      <c r="SQW28" s="3468"/>
      <c r="SQX28" s="3468"/>
      <c r="SQY28" s="3468"/>
      <c r="SQZ28" s="3468"/>
      <c r="SRA28" s="3468"/>
      <c r="SRB28" s="3468"/>
      <c r="SRC28" s="3468"/>
      <c r="SRD28" s="3468"/>
      <c r="SRE28" s="3468"/>
      <c r="SRF28" s="3468"/>
      <c r="SRG28" s="3468"/>
      <c r="SRH28" s="3468"/>
      <c r="SRI28" s="3468"/>
      <c r="SRJ28" s="3468"/>
      <c r="SRK28" s="3468"/>
      <c r="SRL28" s="3468"/>
      <c r="SRM28" s="3468"/>
      <c r="SRN28" s="3468"/>
      <c r="SRO28" s="3468"/>
      <c r="SRP28" s="3468"/>
      <c r="SRQ28" s="3468"/>
      <c r="SRR28" s="3468"/>
      <c r="SRS28" s="3468"/>
      <c r="SRT28" s="3468"/>
      <c r="SRU28" s="3468"/>
      <c r="SRV28" s="3468"/>
      <c r="SRW28" s="3468"/>
      <c r="SRX28" s="3468"/>
      <c r="SRY28" s="3468"/>
      <c r="SRZ28" s="3468"/>
      <c r="SSA28" s="3468"/>
      <c r="SSB28" s="3468"/>
      <c r="SSC28" s="3468"/>
      <c r="SSD28" s="3468"/>
      <c r="SSE28" s="3468"/>
      <c r="SSF28" s="3468"/>
      <c r="SSG28" s="3468"/>
      <c r="SSH28" s="3468"/>
      <c r="SSI28" s="3468"/>
      <c r="SSJ28" s="3468"/>
      <c r="SSK28" s="3468"/>
      <c r="SSL28" s="3468"/>
      <c r="SSM28" s="3468"/>
      <c r="SSN28" s="3468"/>
      <c r="SSO28" s="3468"/>
      <c r="SSP28" s="3468"/>
      <c r="SSQ28" s="3468"/>
      <c r="SSR28" s="3468"/>
      <c r="SSS28" s="3468"/>
      <c r="SST28" s="3468"/>
      <c r="SSU28" s="3468"/>
      <c r="SSV28" s="3468"/>
      <c r="SSW28" s="3468"/>
      <c r="SSX28" s="3468"/>
      <c r="SSY28" s="3468"/>
      <c r="SSZ28" s="3468"/>
      <c r="STA28" s="3468"/>
      <c r="STB28" s="3468"/>
      <c r="STC28" s="3468"/>
      <c r="STD28" s="3468"/>
      <c r="STE28" s="3468"/>
      <c r="STF28" s="3468"/>
      <c r="STG28" s="3468"/>
      <c r="STH28" s="3468"/>
      <c r="STI28" s="3468"/>
      <c r="STJ28" s="3468"/>
      <c r="STK28" s="3468"/>
      <c r="STL28" s="3468"/>
      <c r="STM28" s="3468"/>
      <c r="STN28" s="3468"/>
      <c r="STO28" s="3468"/>
      <c r="STP28" s="3468"/>
      <c r="STQ28" s="3468"/>
      <c r="STR28" s="3468"/>
      <c r="STS28" s="3468"/>
      <c r="STT28" s="3468"/>
      <c r="STU28" s="3468"/>
      <c r="STV28" s="3468"/>
      <c r="STW28" s="3468"/>
      <c r="STX28" s="3468"/>
      <c r="STY28" s="3468"/>
      <c r="STZ28" s="3468"/>
      <c r="SUA28" s="3468"/>
      <c r="SUB28" s="3468"/>
      <c r="SUC28" s="3468"/>
      <c r="SUD28" s="3468"/>
      <c r="SUE28" s="3468"/>
      <c r="SUF28" s="3468"/>
      <c r="SUG28" s="3468"/>
      <c r="SUH28" s="3468"/>
      <c r="SUI28" s="3468"/>
      <c r="SUJ28" s="3468"/>
      <c r="SUK28" s="3468"/>
      <c r="SUL28" s="3468"/>
      <c r="SUM28" s="3468"/>
      <c r="SUN28" s="3468"/>
      <c r="SUO28" s="3468"/>
      <c r="SUP28" s="3468"/>
      <c r="SUQ28" s="3468"/>
      <c r="SUR28" s="3468"/>
      <c r="SUS28" s="3468"/>
      <c r="SUT28" s="3468"/>
      <c r="SUU28" s="3468"/>
      <c r="SUV28" s="3468"/>
      <c r="SUW28" s="3468"/>
      <c r="SUX28" s="3468"/>
      <c r="SUY28" s="3468"/>
      <c r="SUZ28" s="3468"/>
      <c r="SVA28" s="3468"/>
      <c r="SVB28" s="3468"/>
      <c r="SVC28" s="3468"/>
      <c r="SVD28" s="3468"/>
      <c r="SVE28" s="3468"/>
      <c r="SVF28" s="3468"/>
      <c r="SVG28" s="3468"/>
      <c r="SVH28" s="3468"/>
      <c r="SVI28" s="3468"/>
      <c r="SVJ28" s="3468"/>
      <c r="SVK28" s="3468"/>
      <c r="SVL28" s="3468"/>
      <c r="SVM28" s="3468"/>
      <c r="SVN28" s="3468"/>
      <c r="SVO28" s="3468"/>
      <c r="SVP28" s="3468"/>
      <c r="SVQ28" s="3468"/>
      <c r="SVR28" s="3468"/>
      <c r="SVS28" s="3468"/>
      <c r="SVT28" s="3468"/>
      <c r="SVU28" s="3468"/>
      <c r="SVV28" s="3468"/>
      <c r="SVW28" s="3468"/>
      <c r="SVX28" s="3468"/>
      <c r="SVY28" s="3468"/>
      <c r="SVZ28" s="3468"/>
      <c r="SWA28" s="3468"/>
      <c r="SWB28" s="3468"/>
      <c r="SWC28" s="3468"/>
      <c r="SWD28" s="3468"/>
      <c r="SWE28" s="3468"/>
      <c r="SWF28" s="3468"/>
      <c r="SWG28" s="3468"/>
      <c r="SWH28" s="3468"/>
      <c r="SWI28" s="3468"/>
      <c r="SWJ28" s="3468"/>
      <c r="SWK28" s="3468"/>
      <c r="SWL28" s="3468"/>
      <c r="SWM28" s="3468"/>
      <c r="SWN28" s="3468"/>
      <c r="SWO28" s="3468"/>
      <c r="SWP28" s="3468"/>
      <c r="SWQ28" s="3468"/>
      <c r="SWR28" s="3468"/>
      <c r="SWS28" s="3468"/>
      <c r="SWT28" s="3468"/>
      <c r="SWU28" s="3468"/>
      <c r="SWV28" s="3468"/>
      <c r="SWW28" s="3468"/>
      <c r="SWX28" s="3468"/>
      <c r="SWY28" s="3468"/>
      <c r="SWZ28" s="3468"/>
      <c r="SXA28" s="3468"/>
      <c r="SXB28" s="3468"/>
      <c r="SXC28" s="3468"/>
      <c r="SXD28" s="3468"/>
      <c r="SXE28" s="3468"/>
      <c r="SXF28" s="3468"/>
      <c r="SXG28" s="3468"/>
      <c r="SXH28" s="3468"/>
      <c r="SXI28" s="3468"/>
      <c r="SXJ28" s="3468"/>
      <c r="SXK28" s="3468"/>
      <c r="SXL28" s="3468"/>
      <c r="SXM28" s="3468"/>
      <c r="SXN28" s="3468"/>
      <c r="SXO28" s="3468"/>
      <c r="SXP28" s="3468"/>
      <c r="SXQ28" s="3468"/>
      <c r="SXR28" s="3468"/>
      <c r="SXS28" s="3468"/>
      <c r="SXT28" s="3468"/>
      <c r="SXU28" s="3468"/>
      <c r="SXV28" s="3468"/>
      <c r="SXW28" s="3468"/>
      <c r="SXX28" s="3468"/>
      <c r="SXY28" s="3468"/>
      <c r="SXZ28" s="3468"/>
      <c r="SYA28" s="3468"/>
      <c r="SYB28" s="3468"/>
      <c r="SYC28" s="3468"/>
      <c r="SYD28" s="3468"/>
      <c r="SYE28" s="3468"/>
      <c r="SYF28" s="3468"/>
      <c r="SYG28" s="3468"/>
      <c r="SYH28" s="3468"/>
      <c r="SYI28" s="3468"/>
      <c r="SYJ28" s="3468"/>
      <c r="SYK28" s="3468"/>
      <c r="SYL28" s="3468"/>
      <c r="SYM28" s="3468"/>
      <c r="SYN28" s="3468"/>
      <c r="SYO28" s="3468"/>
      <c r="SYP28" s="3468"/>
      <c r="SYQ28" s="3468"/>
      <c r="SYR28" s="3468"/>
      <c r="SYS28" s="3468"/>
      <c r="SYT28" s="3468"/>
      <c r="SYU28" s="3468"/>
      <c r="SYV28" s="3468"/>
      <c r="SYW28" s="3468"/>
      <c r="SYX28" s="3468"/>
      <c r="SYY28" s="3468"/>
      <c r="SYZ28" s="3468"/>
      <c r="SZA28" s="3468"/>
      <c r="SZB28" s="3468"/>
      <c r="SZC28" s="3468"/>
      <c r="SZD28" s="3468"/>
      <c r="SZE28" s="3468"/>
      <c r="SZF28" s="3468"/>
      <c r="SZG28" s="3468"/>
      <c r="SZH28" s="3468"/>
      <c r="SZI28" s="3468"/>
      <c r="SZJ28" s="3468"/>
      <c r="SZK28" s="3468"/>
      <c r="SZL28" s="3468"/>
      <c r="SZM28" s="3468"/>
      <c r="SZN28" s="3468"/>
      <c r="SZO28" s="3468"/>
      <c r="SZP28" s="3468"/>
      <c r="SZQ28" s="3468"/>
      <c r="SZR28" s="3468"/>
      <c r="SZS28" s="3468"/>
      <c r="SZT28" s="3468"/>
      <c r="SZU28" s="3468"/>
      <c r="SZV28" s="3468"/>
      <c r="SZW28" s="3468"/>
      <c r="SZX28" s="3468"/>
      <c r="SZY28" s="3468"/>
      <c r="SZZ28" s="3468"/>
      <c r="TAA28" s="3468"/>
      <c r="TAB28" s="3468"/>
      <c r="TAC28" s="3468"/>
      <c r="TAD28" s="3468"/>
      <c r="TAE28" s="3468"/>
      <c r="TAF28" s="3468"/>
      <c r="TAG28" s="3468"/>
      <c r="TAH28" s="3468"/>
      <c r="TAI28" s="3468"/>
      <c r="TAJ28" s="3468"/>
      <c r="TAK28" s="3468"/>
      <c r="TAL28" s="3468"/>
      <c r="TAM28" s="3468"/>
      <c r="TAN28" s="3468"/>
      <c r="TAO28" s="3468"/>
      <c r="TAP28" s="3468"/>
      <c r="TAQ28" s="3468"/>
      <c r="TAR28" s="3468"/>
      <c r="TAS28" s="3468"/>
      <c r="TAT28" s="3468"/>
      <c r="TAU28" s="3468"/>
      <c r="TAV28" s="3468"/>
      <c r="TAW28" s="3468"/>
      <c r="TAX28" s="3468"/>
      <c r="TAY28" s="3468"/>
      <c r="TAZ28" s="3468"/>
      <c r="TBA28" s="3468"/>
      <c r="TBB28" s="3468"/>
      <c r="TBC28" s="3468"/>
      <c r="TBD28" s="3468"/>
      <c r="TBE28" s="3468"/>
      <c r="TBF28" s="3468"/>
      <c r="TBG28" s="3468"/>
      <c r="TBH28" s="3468"/>
      <c r="TBI28" s="3468"/>
      <c r="TBJ28" s="3468"/>
      <c r="TBK28" s="3468"/>
      <c r="TBL28" s="3468"/>
      <c r="TBM28" s="3468"/>
      <c r="TBN28" s="3468"/>
      <c r="TBO28" s="3468"/>
      <c r="TBP28" s="3468"/>
      <c r="TBQ28" s="3468"/>
      <c r="TBR28" s="3468"/>
      <c r="TBS28" s="3468"/>
      <c r="TBT28" s="3468"/>
      <c r="TBU28" s="3468"/>
      <c r="TBV28" s="3468"/>
      <c r="TBW28" s="3468"/>
      <c r="TBX28" s="3468"/>
      <c r="TBY28" s="3468"/>
      <c r="TBZ28" s="3468"/>
      <c r="TCA28" s="3468"/>
      <c r="TCB28" s="3468"/>
      <c r="TCC28" s="3468"/>
      <c r="TCD28" s="3468"/>
      <c r="TCE28" s="3468"/>
      <c r="TCF28" s="3468"/>
      <c r="TCG28" s="3468"/>
      <c r="TCH28" s="3468"/>
      <c r="TCI28" s="3468"/>
      <c r="TCJ28" s="3468"/>
      <c r="TCK28" s="3468"/>
      <c r="TCL28" s="3468"/>
      <c r="TCM28" s="3468"/>
      <c r="TCN28" s="3468"/>
      <c r="TCO28" s="3468"/>
      <c r="TCP28" s="3468"/>
      <c r="TCQ28" s="3468"/>
      <c r="TCR28" s="3468"/>
      <c r="TCS28" s="3468"/>
      <c r="TCT28" s="3468"/>
      <c r="TCU28" s="3468"/>
      <c r="TCV28" s="3468"/>
      <c r="TCW28" s="3468"/>
      <c r="TCX28" s="3468"/>
      <c r="TCY28" s="3468"/>
      <c r="TCZ28" s="3468"/>
      <c r="TDA28" s="3468"/>
      <c r="TDB28" s="3468"/>
      <c r="TDC28" s="3468"/>
      <c r="TDD28" s="3468"/>
      <c r="TDE28" s="3468"/>
      <c r="TDF28" s="3468"/>
      <c r="TDG28" s="3468"/>
      <c r="TDH28" s="3468"/>
      <c r="TDI28" s="3468"/>
      <c r="TDJ28" s="3468"/>
      <c r="TDK28" s="3468"/>
      <c r="TDL28" s="3468"/>
      <c r="TDM28" s="3468"/>
      <c r="TDN28" s="3468"/>
      <c r="TDO28" s="3468"/>
      <c r="TDP28" s="3468"/>
      <c r="TDQ28" s="3468"/>
      <c r="TDR28" s="3468"/>
      <c r="TDS28" s="3468"/>
      <c r="TDT28" s="3468"/>
      <c r="TDU28" s="3468"/>
      <c r="TDV28" s="3468"/>
      <c r="TDW28" s="3468"/>
      <c r="TDX28" s="3468"/>
      <c r="TDY28" s="3468"/>
      <c r="TDZ28" s="3468"/>
      <c r="TEA28" s="3468"/>
      <c r="TEB28" s="3468"/>
      <c r="TEC28" s="3468"/>
      <c r="TED28" s="3468"/>
      <c r="TEE28" s="3468"/>
      <c r="TEF28" s="3468"/>
      <c r="TEG28" s="3468"/>
      <c r="TEH28" s="3468"/>
      <c r="TEI28" s="3468"/>
      <c r="TEJ28" s="3468"/>
      <c r="TEK28" s="3468"/>
      <c r="TEL28" s="3468"/>
      <c r="TEM28" s="3468"/>
      <c r="TEN28" s="3468"/>
      <c r="TEO28" s="3468"/>
      <c r="TEP28" s="3468"/>
      <c r="TEQ28" s="3468"/>
      <c r="TER28" s="3468"/>
      <c r="TES28" s="3468"/>
      <c r="TET28" s="3468"/>
      <c r="TEU28" s="3468"/>
      <c r="TEV28" s="3468"/>
      <c r="TEW28" s="3468"/>
      <c r="TEX28" s="3468"/>
      <c r="TEY28" s="3468"/>
      <c r="TEZ28" s="3468"/>
      <c r="TFA28" s="3468"/>
      <c r="TFB28" s="3468"/>
      <c r="TFC28" s="3468"/>
      <c r="TFD28" s="3468"/>
      <c r="TFE28" s="3468"/>
      <c r="TFF28" s="3468"/>
      <c r="TFG28" s="3468"/>
      <c r="TFH28" s="3468"/>
      <c r="TFI28" s="3468"/>
      <c r="TFJ28" s="3468"/>
      <c r="TFK28" s="3468"/>
      <c r="TFL28" s="3468"/>
      <c r="TFM28" s="3468"/>
      <c r="TFN28" s="3468"/>
      <c r="TFO28" s="3468"/>
      <c r="TFP28" s="3468"/>
      <c r="TFQ28" s="3468"/>
      <c r="TFR28" s="3468"/>
      <c r="TFS28" s="3468"/>
      <c r="TFT28" s="3468"/>
      <c r="TFU28" s="3468"/>
      <c r="TFV28" s="3468"/>
      <c r="TFW28" s="3468"/>
      <c r="TFX28" s="3468"/>
      <c r="TFY28" s="3468"/>
      <c r="TFZ28" s="3468"/>
      <c r="TGA28" s="3468"/>
      <c r="TGB28" s="3468"/>
      <c r="TGC28" s="3468"/>
      <c r="TGD28" s="3468"/>
      <c r="TGE28" s="3468"/>
      <c r="TGF28" s="3468"/>
      <c r="TGG28" s="3468"/>
      <c r="TGH28" s="3468"/>
      <c r="TGI28" s="3468"/>
      <c r="TGJ28" s="3468"/>
      <c r="TGK28" s="3468"/>
      <c r="TGL28" s="3468"/>
      <c r="TGM28" s="3468"/>
      <c r="TGN28" s="3468"/>
      <c r="TGO28" s="3468"/>
      <c r="TGP28" s="3468"/>
      <c r="TGQ28" s="3468"/>
      <c r="TGR28" s="3468"/>
      <c r="TGS28" s="3468"/>
      <c r="TGT28" s="3468"/>
      <c r="TGU28" s="3468"/>
      <c r="TGV28" s="3468"/>
      <c r="TGW28" s="3468"/>
      <c r="TGX28" s="3468"/>
      <c r="TGY28" s="3468"/>
      <c r="TGZ28" s="3468"/>
      <c r="THA28" s="3468"/>
      <c r="THB28" s="3468"/>
      <c r="THC28" s="3468"/>
      <c r="THD28" s="3468"/>
      <c r="THE28" s="3468"/>
      <c r="THF28" s="3468"/>
      <c r="THG28" s="3468"/>
      <c r="THH28" s="3468"/>
      <c r="THI28" s="3468"/>
      <c r="THJ28" s="3468"/>
      <c r="THK28" s="3468"/>
      <c r="THL28" s="3468"/>
      <c r="THM28" s="3468"/>
      <c r="THN28" s="3468"/>
      <c r="THO28" s="3468"/>
      <c r="THP28" s="3468"/>
      <c r="THQ28" s="3468"/>
      <c r="THR28" s="3468"/>
      <c r="THS28" s="3468"/>
      <c r="THT28" s="3468"/>
      <c r="THU28" s="3468"/>
      <c r="THV28" s="3468"/>
      <c r="THW28" s="3468"/>
      <c r="THX28" s="3468"/>
      <c r="THY28" s="3468"/>
      <c r="THZ28" s="3468"/>
      <c r="TIA28" s="3468"/>
      <c r="TIB28" s="3468"/>
      <c r="TIC28" s="3468"/>
      <c r="TID28" s="3468"/>
      <c r="TIE28" s="3468"/>
      <c r="TIF28" s="3468"/>
      <c r="TIG28" s="3468"/>
      <c r="TIH28" s="3468"/>
      <c r="TII28" s="3468"/>
      <c r="TIJ28" s="3468"/>
      <c r="TIK28" s="3468"/>
      <c r="TIL28" s="3468"/>
      <c r="TIM28" s="3468"/>
      <c r="TIN28" s="3468"/>
      <c r="TIO28" s="3468"/>
      <c r="TIP28" s="3468"/>
      <c r="TIQ28" s="3468"/>
      <c r="TIR28" s="3468"/>
      <c r="TIS28" s="3468"/>
      <c r="TIT28" s="3468"/>
      <c r="TIU28" s="3468"/>
      <c r="TIV28" s="3468"/>
      <c r="TIW28" s="3468"/>
      <c r="TIX28" s="3468"/>
      <c r="TIY28" s="3468"/>
      <c r="TIZ28" s="3468"/>
      <c r="TJA28" s="3468"/>
      <c r="TJB28" s="3468"/>
      <c r="TJC28" s="3468"/>
      <c r="TJD28" s="3468"/>
      <c r="TJE28" s="3468"/>
      <c r="TJF28" s="3468"/>
      <c r="TJG28" s="3468"/>
      <c r="TJH28" s="3468"/>
      <c r="TJI28" s="3468"/>
      <c r="TJJ28" s="3468"/>
      <c r="TJK28" s="3468"/>
      <c r="TJL28" s="3468"/>
      <c r="TJM28" s="3468"/>
      <c r="TJN28" s="3468"/>
      <c r="TJO28" s="3468"/>
      <c r="TJP28" s="3468"/>
      <c r="TJQ28" s="3468"/>
      <c r="TJR28" s="3468"/>
      <c r="TJS28" s="3468"/>
      <c r="TJT28" s="3468"/>
      <c r="TJU28" s="3468"/>
      <c r="TJV28" s="3468"/>
      <c r="TJW28" s="3468"/>
      <c r="TJX28" s="3468"/>
      <c r="TJY28" s="3468"/>
      <c r="TJZ28" s="3468"/>
      <c r="TKA28" s="3468"/>
      <c r="TKB28" s="3468"/>
      <c r="TKC28" s="3468"/>
      <c r="TKD28" s="3468"/>
      <c r="TKE28" s="3468"/>
      <c r="TKF28" s="3468"/>
      <c r="TKG28" s="3468"/>
      <c r="TKH28" s="3468"/>
      <c r="TKI28" s="3468"/>
      <c r="TKJ28" s="3468"/>
      <c r="TKK28" s="3468"/>
      <c r="TKL28" s="3468"/>
      <c r="TKM28" s="3468"/>
      <c r="TKN28" s="3468"/>
      <c r="TKO28" s="3468"/>
      <c r="TKP28" s="3468"/>
      <c r="TKQ28" s="3468"/>
      <c r="TKR28" s="3468"/>
      <c r="TKS28" s="3468"/>
      <c r="TKT28" s="3468"/>
      <c r="TKU28" s="3468"/>
      <c r="TKV28" s="3468"/>
      <c r="TKW28" s="3468"/>
      <c r="TKX28" s="3468"/>
      <c r="TKY28" s="3468"/>
      <c r="TKZ28" s="3468"/>
      <c r="TLA28" s="3468"/>
      <c r="TLB28" s="3468"/>
      <c r="TLC28" s="3468"/>
      <c r="TLD28" s="3468"/>
      <c r="TLE28" s="3468"/>
      <c r="TLF28" s="3468"/>
      <c r="TLG28" s="3468"/>
      <c r="TLH28" s="3468"/>
      <c r="TLI28" s="3468"/>
      <c r="TLJ28" s="3468"/>
      <c r="TLK28" s="3468"/>
      <c r="TLL28" s="3468"/>
      <c r="TLM28" s="3468"/>
      <c r="TLN28" s="3468"/>
      <c r="TLO28" s="3468"/>
      <c r="TLP28" s="3468"/>
      <c r="TLQ28" s="3468"/>
      <c r="TLR28" s="3468"/>
      <c r="TLS28" s="3468"/>
      <c r="TLT28" s="3468"/>
      <c r="TLU28" s="3468"/>
      <c r="TLV28" s="3468"/>
      <c r="TLW28" s="3468"/>
      <c r="TLX28" s="3468"/>
      <c r="TLY28" s="3468"/>
      <c r="TLZ28" s="3468"/>
      <c r="TMA28" s="3468"/>
      <c r="TMB28" s="3468"/>
      <c r="TMC28" s="3468"/>
      <c r="TMD28" s="3468"/>
      <c r="TME28" s="3468"/>
      <c r="TMF28" s="3468"/>
      <c r="TMG28" s="3468"/>
      <c r="TMH28" s="3468"/>
      <c r="TMI28" s="3468"/>
      <c r="TMJ28" s="3468"/>
      <c r="TMK28" s="3468"/>
      <c r="TML28" s="3468"/>
      <c r="TMM28" s="3468"/>
      <c r="TMN28" s="3468"/>
      <c r="TMO28" s="3468"/>
      <c r="TMP28" s="3468"/>
      <c r="TMQ28" s="3468"/>
      <c r="TMR28" s="3468"/>
      <c r="TMS28" s="3468"/>
      <c r="TMT28" s="3468"/>
      <c r="TMU28" s="3468"/>
      <c r="TMV28" s="3468"/>
      <c r="TMW28" s="3468"/>
      <c r="TMX28" s="3468"/>
      <c r="TMY28" s="3468"/>
      <c r="TMZ28" s="3468"/>
      <c r="TNA28" s="3468"/>
      <c r="TNB28" s="3468"/>
      <c r="TNC28" s="3468"/>
      <c r="TND28" s="3468"/>
      <c r="TNE28" s="3468"/>
      <c r="TNF28" s="3468"/>
      <c r="TNG28" s="3468"/>
      <c r="TNH28" s="3468"/>
      <c r="TNI28" s="3468"/>
      <c r="TNJ28" s="3468"/>
      <c r="TNK28" s="3468"/>
      <c r="TNL28" s="3468"/>
      <c r="TNM28" s="3468"/>
      <c r="TNN28" s="3468"/>
      <c r="TNO28" s="3468"/>
      <c r="TNP28" s="3468"/>
      <c r="TNQ28" s="3468"/>
      <c r="TNR28" s="3468"/>
      <c r="TNS28" s="3468"/>
      <c r="TNT28" s="3468"/>
      <c r="TNU28" s="3468"/>
      <c r="TNV28" s="3468"/>
      <c r="TNW28" s="3468"/>
      <c r="TNX28" s="3468"/>
      <c r="TNY28" s="3468"/>
      <c r="TNZ28" s="3468"/>
      <c r="TOA28" s="3468"/>
      <c r="TOB28" s="3468"/>
      <c r="TOC28" s="3468"/>
      <c r="TOD28" s="3468"/>
      <c r="TOE28" s="3468"/>
      <c r="TOF28" s="3468"/>
      <c r="TOG28" s="3468"/>
      <c r="TOH28" s="3468"/>
      <c r="TOI28" s="3468"/>
      <c r="TOJ28" s="3468"/>
      <c r="TOK28" s="3468"/>
      <c r="TOL28" s="3468"/>
      <c r="TOM28" s="3468"/>
      <c r="TON28" s="3468"/>
      <c r="TOO28" s="3468"/>
      <c r="TOP28" s="3468"/>
      <c r="TOQ28" s="3468"/>
      <c r="TOR28" s="3468"/>
      <c r="TOS28" s="3468"/>
      <c r="TOT28" s="3468"/>
      <c r="TOU28" s="3468"/>
      <c r="TOV28" s="3468"/>
      <c r="TOW28" s="3468"/>
      <c r="TOX28" s="3468"/>
      <c r="TOY28" s="3468"/>
      <c r="TOZ28" s="3468"/>
      <c r="TPA28" s="3468"/>
      <c r="TPB28" s="3468"/>
      <c r="TPC28" s="3468"/>
      <c r="TPD28" s="3468"/>
      <c r="TPE28" s="3468"/>
      <c r="TPF28" s="3468"/>
      <c r="TPG28" s="3468"/>
      <c r="TPH28" s="3468"/>
      <c r="TPI28" s="3468"/>
      <c r="TPJ28" s="3468"/>
      <c r="TPK28" s="3468"/>
      <c r="TPL28" s="3468"/>
      <c r="TPM28" s="3468"/>
      <c r="TPN28" s="3468"/>
      <c r="TPO28" s="3468"/>
      <c r="TPP28" s="3468"/>
      <c r="TPQ28" s="3468"/>
      <c r="TPR28" s="3468"/>
      <c r="TPS28" s="3468"/>
      <c r="TPT28" s="3468"/>
      <c r="TPU28" s="3468"/>
      <c r="TPV28" s="3468"/>
      <c r="TPW28" s="3468"/>
      <c r="TPX28" s="3468"/>
      <c r="TPY28" s="3468"/>
      <c r="TPZ28" s="3468"/>
      <c r="TQA28" s="3468"/>
      <c r="TQB28" s="3468"/>
      <c r="TQC28" s="3468"/>
      <c r="TQD28" s="3468"/>
      <c r="TQE28" s="3468"/>
      <c r="TQF28" s="3468"/>
      <c r="TQG28" s="3468"/>
      <c r="TQH28" s="3468"/>
      <c r="TQI28" s="3468"/>
      <c r="TQJ28" s="3468"/>
      <c r="TQK28" s="3468"/>
      <c r="TQL28" s="3468"/>
      <c r="TQM28" s="3468"/>
      <c r="TQN28" s="3468"/>
      <c r="TQO28" s="3468"/>
      <c r="TQP28" s="3468"/>
      <c r="TQQ28" s="3468"/>
      <c r="TQR28" s="3468"/>
      <c r="TQS28" s="3468"/>
      <c r="TQT28" s="3468"/>
      <c r="TQU28" s="3468"/>
      <c r="TQV28" s="3468"/>
      <c r="TQW28" s="3468"/>
      <c r="TQX28" s="3468"/>
      <c r="TQY28" s="3468"/>
      <c r="TQZ28" s="3468"/>
      <c r="TRA28" s="3468"/>
      <c r="TRB28" s="3468"/>
      <c r="TRC28" s="3468"/>
      <c r="TRD28" s="3468"/>
      <c r="TRE28" s="3468"/>
      <c r="TRF28" s="3468"/>
      <c r="TRG28" s="3468"/>
      <c r="TRH28" s="3468"/>
      <c r="TRI28" s="3468"/>
      <c r="TRJ28" s="3468"/>
      <c r="TRK28" s="3468"/>
      <c r="TRL28" s="3468"/>
      <c r="TRM28" s="3468"/>
      <c r="TRN28" s="3468"/>
      <c r="TRO28" s="3468"/>
      <c r="TRP28" s="3468"/>
      <c r="TRQ28" s="3468"/>
      <c r="TRR28" s="3468"/>
      <c r="TRS28" s="3468"/>
      <c r="TRT28" s="3468"/>
      <c r="TRU28" s="3468"/>
      <c r="TRV28" s="3468"/>
      <c r="TRW28" s="3468"/>
      <c r="TRX28" s="3468"/>
      <c r="TRY28" s="3468"/>
      <c r="TRZ28" s="3468"/>
      <c r="TSA28" s="3468"/>
      <c r="TSB28" s="3468"/>
      <c r="TSC28" s="3468"/>
      <c r="TSD28" s="3468"/>
      <c r="TSE28" s="3468"/>
      <c r="TSF28" s="3468"/>
      <c r="TSG28" s="3468"/>
      <c r="TSH28" s="3468"/>
      <c r="TSI28" s="3468"/>
      <c r="TSJ28" s="3468"/>
      <c r="TSK28" s="3468"/>
      <c r="TSL28" s="3468"/>
      <c r="TSM28" s="3468"/>
      <c r="TSN28" s="3468"/>
      <c r="TSO28" s="3468"/>
      <c r="TSP28" s="3468"/>
      <c r="TSQ28" s="3468"/>
      <c r="TSR28" s="3468"/>
      <c r="TSS28" s="3468"/>
      <c r="TST28" s="3468"/>
      <c r="TSU28" s="3468"/>
      <c r="TSV28" s="3468"/>
      <c r="TSW28" s="3468"/>
      <c r="TSX28" s="3468"/>
      <c r="TSY28" s="3468"/>
      <c r="TSZ28" s="3468"/>
      <c r="TTA28" s="3468"/>
      <c r="TTB28" s="3468"/>
      <c r="TTC28" s="3468"/>
      <c r="TTD28" s="3468"/>
      <c r="TTE28" s="3468"/>
      <c r="TTF28" s="3468"/>
      <c r="TTG28" s="3468"/>
      <c r="TTH28" s="3468"/>
      <c r="TTI28" s="3468"/>
      <c r="TTJ28" s="3468"/>
      <c r="TTK28" s="3468"/>
      <c r="TTL28" s="3468"/>
      <c r="TTM28" s="3468"/>
      <c r="TTN28" s="3468"/>
      <c r="TTO28" s="3468"/>
      <c r="TTP28" s="3468"/>
      <c r="TTQ28" s="3468"/>
      <c r="TTR28" s="3468"/>
      <c r="TTS28" s="3468"/>
      <c r="TTT28" s="3468"/>
      <c r="TTU28" s="3468"/>
      <c r="TTV28" s="3468"/>
      <c r="TTW28" s="3468"/>
      <c r="TTX28" s="3468"/>
      <c r="TTY28" s="3468"/>
      <c r="TTZ28" s="3468"/>
      <c r="TUA28" s="3468"/>
      <c r="TUB28" s="3468"/>
      <c r="TUC28" s="3468"/>
      <c r="TUD28" s="3468"/>
      <c r="TUE28" s="3468"/>
      <c r="TUF28" s="3468"/>
      <c r="TUG28" s="3468"/>
      <c r="TUH28" s="3468"/>
      <c r="TUI28" s="3468"/>
      <c r="TUJ28" s="3468"/>
      <c r="TUK28" s="3468"/>
      <c r="TUL28" s="3468"/>
      <c r="TUM28" s="3468"/>
      <c r="TUN28" s="3468"/>
      <c r="TUO28" s="3468"/>
      <c r="TUP28" s="3468"/>
      <c r="TUQ28" s="3468"/>
      <c r="TUR28" s="3468"/>
      <c r="TUS28" s="3468"/>
      <c r="TUT28" s="3468"/>
      <c r="TUU28" s="3468"/>
      <c r="TUV28" s="3468"/>
      <c r="TUW28" s="3468"/>
      <c r="TUX28" s="3468"/>
      <c r="TUY28" s="3468"/>
      <c r="TUZ28" s="3468"/>
      <c r="TVA28" s="3468"/>
      <c r="TVB28" s="3468"/>
      <c r="TVC28" s="3468"/>
      <c r="TVD28" s="3468"/>
      <c r="TVE28" s="3468"/>
      <c r="TVF28" s="3468"/>
      <c r="TVG28" s="3468"/>
      <c r="TVH28" s="3468"/>
      <c r="TVI28" s="3468"/>
      <c r="TVJ28" s="3468"/>
      <c r="TVK28" s="3468"/>
      <c r="TVL28" s="3468"/>
      <c r="TVM28" s="3468"/>
      <c r="TVN28" s="3468"/>
      <c r="TVO28" s="3468"/>
      <c r="TVP28" s="3468"/>
      <c r="TVQ28" s="3468"/>
      <c r="TVR28" s="3468"/>
      <c r="TVS28" s="3468"/>
      <c r="TVT28" s="3468"/>
      <c r="TVU28" s="3468"/>
      <c r="TVV28" s="3468"/>
      <c r="TVW28" s="3468"/>
      <c r="TVX28" s="3468"/>
      <c r="TVY28" s="3468"/>
      <c r="TVZ28" s="3468"/>
      <c r="TWA28" s="3468"/>
      <c r="TWB28" s="3468"/>
      <c r="TWC28" s="3468"/>
      <c r="TWD28" s="3468"/>
      <c r="TWE28" s="3468"/>
      <c r="TWF28" s="3468"/>
      <c r="TWG28" s="3468"/>
      <c r="TWH28" s="3468"/>
      <c r="TWI28" s="3468"/>
      <c r="TWJ28" s="3468"/>
      <c r="TWK28" s="3468"/>
      <c r="TWL28" s="3468"/>
      <c r="TWM28" s="3468"/>
      <c r="TWN28" s="3468"/>
      <c r="TWO28" s="3468"/>
      <c r="TWP28" s="3468"/>
      <c r="TWQ28" s="3468"/>
      <c r="TWR28" s="3468"/>
      <c r="TWS28" s="3468"/>
      <c r="TWT28" s="3468"/>
      <c r="TWU28" s="3468"/>
      <c r="TWV28" s="3468"/>
      <c r="TWW28" s="3468"/>
      <c r="TWX28" s="3468"/>
      <c r="TWY28" s="3468"/>
      <c r="TWZ28" s="3468"/>
      <c r="TXA28" s="3468"/>
      <c r="TXB28" s="3468"/>
      <c r="TXC28" s="3468"/>
      <c r="TXD28" s="3468"/>
      <c r="TXE28" s="3468"/>
      <c r="TXF28" s="3468"/>
      <c r="TXG28" s="3468"/>
      <c r="TXH28" s="3468"/>
      <c r="TXI28" s="3468"/>
      <c r="TXJ28" s="3468"/>
      <c r="TXK28" s="3468"/>
      <c r="TXL28" s="3468"/>
      <c r="TXM28" s="3468"/>
      <c r="TXN28" s="3468"/>
      <c r="TXO28" s="3468"/>
      <c r="TXP28" s="3468"/>
      <c r="TXQ28" s="3468"/>
      <c r="TXR28" s="3468"/>
      <c r="TXS28" s="3468"/>
      <c r="TXT28" s="3468"/>
      <c r="TXU28" s="3468"/>
      <c r="TXV28" s="3468"/>
      <c r="TXW28" s="3468"/>
      <c r="TXX28" s="3468"/>
      <c r="TXY28" s="3468"/>
      <c r="TXZ28" s="3468"/>
      <c r="TYA28" s="3468"/>
      <c r="TYB28" s="3468"/>
      <c r="TYC28" s="3468"/>
      <c r="TYD28" s="3468"/>
      <c r="TYE28" s="3468"/>
      <c r="TYF28" s="3468"/>
      <c r="TYG28" s="3468"/>
      <c r="TYH28" s="3468"/>
      <c r="TYI28" s="3468"/>
      <c r="TYJ28" s="3468"/>
      <c r="TYK28" s="3468"/>
      <c r="TYL28" s="3468"/>
      <c r="TYM28" s="3468"/>
      <c r="TYN28" s="3468"/>
      <c r="TYO28" s="3468"/>
      <c r="TYP28" s="3468"/>
      <c r="TYQ28" s="3468"/>
      <c r="TYR28" s="3468"/>
      <c r="TYS28" s="3468"/>
      <c r="TYT28" s="3468"/>
      <c r="TYU28" s="3468"/>
      <c r="TYV28" s="3468"/>
      <c r="TYW28" s="3468"/>
      <c r="TYX28" s="3468"/>
      <c r="TYY28" s="3468"/>
      <c r="TYZ28" s="3468"/>
      <c r="TZA28" s="3468"/>
      <c r="TZB28" s="3468"/>
      <c r="TZC28" s="3468"/>
      <c r="TZD28" s="3468"/>
      <c r="TZE28" s="3468"/>
      <c r="TZF28" s="3468"/>
      <c r="TZG28" s="3468"/>
      <c r="TZH28" s="3468"/>
      <c r="TZI28" s="3468"/>
      <c r="TZJ28" s="3468"/>
      <c r="TZK28" s="3468"/>
      <c r="TZL28" s="3468"/>
      <c r="TZM28" s="3468"/>
      <c r="TZN28" s="3468"/>
      <c r="TZO28" s="3468"/>
      <c r="TZP28" s="3468"/>
      <c r="TZQ28" s="3468"/>
      <c r="TZR28" s="3468"/>
      <c r="TZS28" s="3468"/>
      <c r="TZT28" s="3468"/>
      <c r="TZU28" s="3468"/>
      <c r="TZV28" s="3468"/>
      <c r="TZW28" s="3468"/>
      <c r="TZX28" s="3468"/>
      <c r="TZY28" s="3468"/>
      <c r="TZZ28" s="3468"/>
      <c r="UAA28" s="3468"/>
      <c r="UAB28" s="3468"/>
      <c r="UAC28" s="3468"/>
      <c r="UAD28" s="3468"/>
      <c r="UAE28" s="3468"/>
      <c r="UAF28" s="3468"/>
      <c r="UAG28" s="3468"/>
      <c r="UAH28" s="3468"/>
      <c r="UAI28" s="3468"/>
      <c r="UAJ28" s="3468"/>
      <c r="UAK28" s="3468"/>
      <c r="UAL28" s="3468"/>
      <c r="UAM28" s="3468"/>
      <c r="UAN28" s="3468"/>
      <c r="UAO28" s="3468"/>
      <c r="UAP28" s="3468"/>
      <c r="UAQ28" s="3468"/>
      <c r="UAR28" s="3468"/>
      <c r="UAS28" s="3468"/>
      <c r="UAT28" s="3468"/>
      <c r="UAU28" s="3468"/>
      <c r="UAV28" s="3468"/>
      <c r="UAW28" s="3468"/>
      <c r="UAX28" s="3468"/>
      <c r="UAY28" s="3468"/>
      <c r="UAZ28" s="3468"/>
      <c r="UBA28" s="3468"/>
      <c r="UBB28" s="3468"/>
      <c r="UBC28" s="3468"/>
      <c r="UBD28" s="3468"/>
      <c r="UBE28" s="3468"/>
      <c r="UBF28" s="3468"/>
      <c r="UBG28" s="3468"/>
      <c r="UBH28" s="3468"/>
      <c r="UBI28" s="3468"/>
      <c r="UBJ28" s="3468"/>
      <c r="UBK28" s="3468"/>
      <c r="UBL28" s="3468"/>
      <c r="UBM28" s="3468"/>
      <c r="UBN28" s="3468"/>
      <c r="UBO28" s="3468"/>
      <c r="UBP28" s="3468"/>
      <c r="UBQ28" s="3468"/>
      <c r="UBR28" s="3468"/>
      <c r="UBS28" s="3468"/>
      <c r="UBT28" s="3468"/>
      <c r="UBU28" s="3468"/>
      <c r="UBV28" s="3468"/>
      <c r="UBW28" s="3468"/>
      <c r="UBX28" s="3468"/>
      <c r="UBY28" s="3468"/>
      <c r="UBZ28" s="3468"/>
      <c r="UCA28" s="3468"/>
      <c r="UCB28" s="3468"/>
      <c r="UCC28" s="3468"/>
      <c r="UCD28" s="3468"/>
      <c r="UCE28" s="3468"/>
      <c r="UCF28" s="3468"/>
      <c r="UCG28" s="3468"/>
      <c r="UCH28" s="3468"/>
      <c r="UCI28" s="3468"/>
      <c r="UCJ28" s="3468"/>
      <c r="UCK28" s="3468"/>
      <c r="UCL28" s="3468"/>
      <c r="UCM28" s="3468"/>
      <c r="UCN28" s="3468"/>
      <c r="UCO28" s="3468"/>
      <c r="UCP28" s="3468"/>
      <c r="UCQ28" s="3468"/>
      <c r="UCR28" s="3468"/>
      <c r="UCS28" s="3468"/>
      <c r="UCT28" s="3468"/>
      <c r="UCU28" s="3468"/>
      <c r="UCV28" s="3468"/>
      <c r="UCW28" s="3468"/>
      <c r="UCX28" s="3468"/>
      <c r="UCY28" s="3468"/>
      <c r="UCZ28" s="3468"/>
      <c r="UDA28" s="3468"/>
      <c r="UDB28" s="3468"/>
      <c r="UDC28" s="3468"/>
      <c r="UDD28" s="3468"/>
      <c r="UDE28" s="3468"/>
      <c r="UDF28" s="3468"/>
      <c r="UDG28" s="3468"/>
      <c r="UDH28" s="3468"/>
      <c r="UDI28" s="3468"/>
      <c r="UDJ28" s="3468"/>
      <c r="UDK28" s="3468"/>
      <c r="UDL28" s="3468"/>
      <c r="UDM28" s="3468"/>
      <c r="UDN28" s="3468"/>
      <c r="UDO28" s="3468"/>
      <c r="UDP28" s="3468"/>
      <c r="UDQ28" s="3468"/>
      <c r="UDR28" s="3468"/>
      <c r="UDS28" s="3468"/>
      <c r="UDT28" s="3468"/>
      <c r="UDU28" s="3468"/>
      <c r="UDV28" s="3468"/>
      <c r="UDW28" s="3468"/>
      <c r="UDX28" s="3468"/>
      <c r="UDY28" s="3468"/>
      <c r="UDZ28" s="3468"/>
      <c r="UEA28" s="3468"/>
      <c r="UEB28" s="3468"/>
      <c r="UEC28" s="3468"/>
      <c r="UED28" s="3468"/>
      <c r="UEE28" s="3468"/>
      <c r="UEF28" s="3468"/>
      <c r="UEG28" s="3468"/>
      <c r="UEH28" s="3468"/>
      <c r="UEI28" s="3468"/>
      <c r="UEJ28" s="3468"/>
      <c r="UEK28" s="3468"/>
      <c r="UEL28" s="3468"/>
      <c r="UEM28" s="3468"/>
      <c r="UEN28" s="3468"/>
      <c r="UEO28" s="3468"/>
      <c r="UEP28" s="3468"/>
      <c r="UEQ28" s="3468"/>
      <c r="UER28" s="3468"/>
      <c r="UES28" s="3468"/>
      <c r="UET28" s="3468"/>
      <c r="UEU28" s="3468"/>
      <c r="UEV28" s="3468"/>
      <c r="UEW28" s="3468"/>
      <c r="UEX28" s="3468"/>
      <c r="UEY28" s="3468"/>
      <c r="UEZ28" s="3468"/>
      <c r="UFA28" s="3468"/>
      <c r="UFB28" s="3468"/>
      <c r="UFC28" s="3468"/>
      <c r="UFD28" s="3468"/>
      <c r="UFE28" s="3468"/>
      <c r="UFF28" s="3468"/>
      <c r="UFG28" s="3468"/>
      <c r="UFH28" s="3468"/>
      <c r="UFI28" s="3468"/>
      <c r="UFJ28" s="3468"/>
      <c r="UFK28" s="3468"/>
      <c r="UFL28" s="3468"/>
      <c r="UFM28" s="3468"/>
      <c r="UFN28" s="3468"/>
      <c r="UFO28" s="3468"/>
      <c r="UFP28" s="3468"/>
      <c r="UFQ28" s="3468"/>
      <c r="UFR28" s="3468"/>
      <c r="UFS28" s="3468"/>
      <c r="UFT28" s="3468"/>
      <c r="UFU28" s="3468"/>
      <c r="UFV28" s="3468"/>
      <c r="UFW28" s="3468"/>
      <c r="UFX28" s="3468"/>
      <c r="UFY28" s="3468"/>
      <c r="UFZ28" s="3468"/>
      <c r="UGA28" s="3468"/>
      <c r="UGB28" s="3468"/>
      <c r="UGC28" s="3468"/>
      <c r="UGD28" s="3468"/>
      <c r="UGE28" s="3468"/>
      <c r="UGF28" s="3468"/>
      <c r="UGG28" s="3468"/>
      <c r="UGH28" s="3468"/>
      <c r="UGI28" s="3468"/>
      <c r="UGJ28" s="3468"/>
      <c r="UGK28" s="3468"/>
      <c r="UGL28" s="3468"/>
      <c r="UGM28" s="3468"/>
      <c r="UGN28" s="3468"/>
      <c r="UGO28" s="3468"/>
      <c r="UGP28" s="3468"/>
      <c r="UGQ28" s="3468"/>
      <c r="UGR28" s="3468"/>
      <c r="UGS28" s="3468"/>
      <c r="UGT28" s="3468"/>
      <c r="UGU28" s="3468"/>
      <c r="UGV28" s="3468"/>
      <c r="UGW28" s="3468"/>
      <c r="UGX28" s="3468"/>
      <c r="UGY28" s="3468"/>
      <c r="UGZ28" s="3468"/>
      <c r="UHA28" s="3468"/>
      <c r="UHB28" s="3468"/>
      <c r="UHC28" s="3468"/>
      <c r="UHD28" s="3468"/>
      <c r="UHE28" s="3468"/>
      <c r="UHF28" s="3468"/>
      <c r="UHG28" s="3468"/>
      <c r="UHH28" s="3468"/>
      <c r="UHI28" s="3468"/>
      <c r="UHJ28" s="3468"/>
      <c r="UHK28" s="3468"/>
      <c r="UHL28" s="3468"/>
      <c r="UHM28" s="3468"/>
      <c r="UHN28" s="3468"/>
      <c r="UHO28" s="3468"/>
      <c r="UHP28" s="3468"/>
      <c r="UHQ28" s="3468"/>
      <c r="UHR28" s="3468"/>
      <c r="UHS28" s="3468"/>
      <c r="UHT28" s="3468"/>
      <c r="UHU28" s="3468"/>
      <c r="UHV28" s="3468"/>
      <c r="UHW28" s="3468"/>
      <c r="UHX28" s="3468"/>
      <c r="UHY28" s="3468"/>
      <c r="UHZ28" s="3468"/>
      <c r="UIA28" s="3468"/>
      <c r="UIB28" s="3468"/>
      <c r="UIC28" s="3468"/>
      <c r="UID28" s="3468"/>
      <c r="UIE28" s="3468"/>
      <c r="UIF28" s="3468"/>
      <c r="UIG28" s="3468"/>
      <c r="UIH28" s="3468"/>
      <c r="UII28" s="3468"/>
      <c r="UIJ28" s="3468"/>
      <c r="UIK28" s="3468"/>
      <c r="UIL28" s="3468"/>
      <c r="UIM28" s="3468"/>
      <c r="UIN28" s="3468"/>
      <c r="UIO28" s="3468"/>
      <c r="UIP28" s="3468"/>
      <c r="UIQ28" s="3468"/>
      <c r="UIR28" s="3468"/>
      <c r="UIS28" s="3468"/>
      <c r="UIT28" s="3468"/>
      <c r="UIU28" s="3468"/>
      <c r="UIV28" s="3468"/>
      <c r="UIW28" s="3468"/>
      <c r="UIX28" s="3468"/>
      <c r="UIY28" s="3468"/>
      <c r="UIZ28" s="3468"/>
      <c r="UJA28" s="3468"/>
      <c r="UJB28" s="3468"/>
      <c r="UJC28" s="3468"/>
      <c r="UJD28" s="3468"/>
      <c r="UJE28" s="3468"/>
      <c r="UJF28" s="3468"/>
      <c r="UJG28" s="3468"/>
      <c r="UJH28" s="3468"/>
      <c r="UJI28" s="3468"/>
      <c r="UJJ28" s="3468"/>
      <c r="UJK28" s="3468"/>
      <c r="UJL28" s="3468"/>
      <c r="UJM28" s="3468"/>
      <c r="UJN28" s="3468"/>
      <c r="UJO28" s="3468"/>
      <c r="UJP28" s="3468"/>
      <c r="UJQ28" s="3468"/>
      <c r="UJR28" s="3468"/>
      <c r="UJS28" s="3468"/>
      <c r="UJT28" s="3468"/>
      <c r="UJU28" s="3468"/>
      <c r="UJV28" s="3468"/>
      <c r="UJW28" s="3468"/>
      <c r="UJX28" s="3468"/>
      <c r="UJY28" s="3468"/>
      <c r="UJZ28" s="3468"/>
      <c r="UKA28" s="3468"/>
      <c r="UKB28" s="3468"/>
      <c r="UKC28" s="3468"/>
      <c r="UKD28" s="3468"/>
      <c r="UKE28" s="3468"/>
      <c r="UKF28" s="3468"/>
      <c r="UKG28" s="3468"/>
      <c r="UKH28" s="3468"/>
      <c r="UKI28" s="3468"/>
      <c r="UKJ28" s="3468"/>
      <c r="UKK28" s="3468"/>
      <c r="UKL28" s="3468"/>
      <c r="UKM28" s="3468"/>
      <c r="UKN28" s="3468"/>
      <c r="UKO28" s="3468"/>
      <c r="UKP28" s="3468"/>
      <c r="UKQ28" s="3468"/>
      <c r="UKR28" s="3468"/>
      <c r="UKS28" s="3468"/>
      <c r="UKT28" s="3468"/>
      <c r="UKU28" s="3468"/>
      <c r="UKV28" s="3468"/>
      <c r="UKW28" s="3468"/>
      <c r="UKX28" s="3468"/>
      <c r="UKY28" s="3468"/>
      <c r="UKZ28" s="3468"/>
      <c r="ULA28" s="3468"/>
      <c r="ULB28" s="3468"/>
      <c r="ULC28" s="3468"/>
      <c r="ULD28" s="3468"/>
      <c r="ULE28" s="3468"/>
      <c r="ULF28" s="3468"/>
      <c r="ULG28" s="3468"/>
      <c r="ULH28" s="3468"/>
      <c r="ULI28" s="3468"/>
      <c r="ULJ28" s="3468"/>
      <c r="ULK28" s="3468"/>
      <c r="ULL28" s="3468"/>
      <c r="ULM28" s="3468"/>
      <c r="ULN28" s="3468"/>
      <c r="ULO28" s="3468"/>
      <c r="ULP28" s="3468"/>
      <c r="ULQ28" s="3468"/>
      <c r="ULR28" s="3468"/>
      <c r="ULS28" s="3468"/>
      <c r="ULT28" s="3468"/>
      <c r="ULU28" s="3468"/>
      <c r="ULV28" s="3468"/>
      <c r="ULW28" s="3468"/>
      <c r="ULX28" s="3468"/>
      <c r="ULY28" s="3468"/>
      <c r="ULZ28" s="3468"/>
      <c r="UMA28" s="3468"/>
      <c r="UMB28" s="3468"/>
      <c r="UMC28" s="3468"/>
      <c r="UMD28" s="3468"/>
      <c r="UME28" s="3468"/>
      <c r="UMF28" s="3468"/>
      <c r="UMG28" s="3468"/>
      <c r="UMH28" s="3468"/>
      <c r="UMI28" s="3468"/>
      <c r="UMJ28" s="3468"/>
      <c r="UMK28" s="3468"/>
      <c r="UML28" s="3468"/>
      <c r="UMM28" s="3468"/>
      <c r="UMN28" s="3468"/>
      <c r="UMO28" s="3468"/>
      <c r="UMP28" s="3468"/>
      <c r="UMQ28" s="3468"/>
      <c r="UMR28" s="3468"/>
      <c r="UMS28" s="3468"/>
      <c r="UMT28" s="3468"/>
      <c r="UMU28" s="3468"/>
      <c r="UMV28" s="3468"/>
      <c r="UMW28" s="3468"/>
      <c r="UMX28" s="3468"/>
      <c r="UMY28" s="3468"/>
      <c r="UMZ28" s="3468"/>
      <c r="UNA28" s="3468"/>
      <c r="UNB28" s="3468"/>
      <c r="UNC28" s="3468"/>
      <c r="UND28" s="3468"/>
      <c r="UNE28" s="3468"/>
      <c r="UNF28" s="3468"/>
      <c r="UNG28" s="3468"/>
      <c r="UNH28" s="3468"/>
      <c r="UNI28" s="3468"/>
      <c r="UNJ28" s="3468"/>
      <c r="UNK28" s="3468"/>
      <c r="UNL28" s="3468"/>
      <c r="UNM28" s="3468"/>
      <c r="UNN28" s="3468"/>
      <c r="UNO28" s="3468"/>
      <c r="UNP28" s="3468"/>
      <c r="UNQ28" s="3468"/>
      <c r="UNR28" s="3468"/>
      <c r="UNS28" s="3468"/>
      <c r="UNT28" s="3468"/>
      <c r="UNU28" s="3468"/>
      <c r="UNV28" s="3468"/>
      <c r="UNW28" s="3468"/>
      <c r="UNX28" s="3468"/>
      <c r="UNY28" s="3468"/>
      <c r="UNZ28" s="3468"/>
      <c r="UOA28" s="3468"/>
      <c r="UOB28" s="3468"/>
      <c r="UOC28" s="3468"/>
      <c r="UOD28" s="3468"/>
      <c r="UOE28" s="3468"/>
      <c r="UOF28" s="3468"/>
      <c r="UOG28" s="3468"/>
      <c r="UOH28" s="3468"/>
      <c r="UOI28" s="3468"/>
      <c r="UOJ28" s="3468"/>
      <c r="UOK28" s="3468"/>
      <c r="UOL28" s="3468"/>
      <c r="UOM28" s="3468"/>
      <c r="UON28" s="3468"/>
      <c r="UOO28" s="3468"/>
      <c r="UOP28" s="3468"/>
      <c r="UOQ28" s="3468"/>
      <c r="UOR28" s="3468"/>
      <c r="UOS28" s="3468"/>
      <c r="UOT28" s="3468"/>
      <c r="UOU28" s="3468"/>
      <c r="UOV28" s="3468"/>
      <c r="UOW28" s="3468"/>
      <c r="UOX28" s="3468"/>
      <c r="UOY28" s="3468"/>
      <c r="UOZ28" s="3468"/>
      <c r="UPA28" s="3468"/>
      <c r="UPB28" s="3468"/>
      <c r="UPC28" s="3468"/>
      <c r="UPD28" s="3468"/>
      <c r="UPE28" s="3468"/>
      <c r="UPF28" s="3468"/>
      <c r="UPG28" s="3468"/>
      <c r="UPH28" s="3468"/>
      <c r="UPI28" s="3468"/>
      <c r="UPJ28" s="3468"/>
      <c r="UPK28" s="3468"/>
      <c r="UPL28" s="3468"/>
      <c r="UPM28" s="3468"/>
      <c r="UPN28" s="3468"/>
      <c r="UPO28" s="3468"/>
      <c r="UPP28" s="3468"/>
      <c r="UPQ28" s="3468"/>
      <c r="UPR28" s="3468"/>
      <c r="UPS28" s="3468"/>
      <c r="UPT28" s="3468"/>
      <c r="UPU28" s="3468"/>
      <c r="UPV28" s="3468"/>
      <c r="UPW28" s="3468"/>
      <c r="UPX28" s="3468"/>
      <c r="UPY28" s="3468"/>
      <c r="UPZ28" s="3468"/>
      <c r="UQA28" s="3468"/>
      <c r="UQB28" s="3468"/>
      <c r="UQC28" s="3468"/>
      <c r="UQD28" s="3468"/>
      <c r="UQE28" s="3468"/>
      <c r="UQF28" s="3468"/>
      <c r="UQG28" s="3468"/>
      <c r="UQH28" s="3468"/>
      <c r="UQI28" s="3468"/>
      <c r="UQJ28" s="3468"/>
      <c r="UQK28" s="3468"/>
      <c r="UQL28" s="3468"/>
      <c r="UQM28" s="3468"/>
      <c r="UQN28" s="3468"/>
      <c r="UQO28" s="3468"/>
      <c r="UQP28" s="3468"/>
      <c r="UQQ28" s="3468"/>
      <c r="UQR28" s="3468"/>
      <c r="UQS28" s="3468"/>
      <c r="UQT28" s="3468"/>
      <c r="UQU28" s="3468"/>
      <c r="UQV28" s="3468"/>
      <c r="UQW28" s="3468"/>
      <c r="UQX28" s="3468"/>
      <c r="UQY28" s="3468"/>
      <c r="UQZ28" s="3468"/>
      <c r="URA28" s="3468"/>
      <c r="URB28" s="3468"/>
      <c r="URC28" s="3468"/>
      <c r="URD28" s="3468"/>
      <c r="URE28" s="3468"/>
      <c r="URF28" s="3468"/>
      <c r="URG28" s="3468"/>
      <c r="URH28" s="3468"/>
      <c r="URI28" s="3468"/>
      <c r="URJ28" s="3468"/>
      <c r="URK28" s="3468"/>
      <c r="URL28" s="3468"/>
      <c r="URM28" s="3468"/>
      <c r="URN28" s="3468"/>
      <c r="URO28" s="3468"/>
      <c r="URP28" s="3468"/>
      <c r="URQ28" s="3468"/>
      <c r="URR28" s="3468"/>
      <c r="URS28" s="3468"/>
      <c r="URT28" s="3468"/>
      <c r="URU28" s="3468"/>
      <c r="URV28" s="3468"/>
      <c r="URW28" s="3468"/>
      <c r="URX28" s="3468"/>
      <c r="URY28" s="3468"/>
      <c r="URZ28" s="3468"/>
      <c r="USA28" s="3468"/>
      <c r="USB28" s="3468"/>
      <c r="USC28" s="3468"/>
      <c r="USD28" s="3468"/>
      <c r="USE28" s="3468"/>
      <c r="USF28" s="3468"/>
      <c r="USG28" s="3468"/>
      <c r="USH28" s="3468"/>
      <c r="USI28" s="3468"/>
      <c r="USJ28" s="3468"/>
      <c r="USK28" s="3468"/>
      <c r="USL28" s="3468"/>
      <c r="USM28" s="3468"/>
      <c r="USN28" s="3468"/>
      <c r="USO28" s="3468"/>
      <c r="USP28" s="3468"/>
      <c r="USQ28" s="3468"/>
      <c r="USR28" s="3468"/>
      <c r="USS28" s="3468"/>
      <c r="UST28" s="3468"/>
      <c r="USU28" s="3468"/>
      <c r="USV28" s="3468"/>
      <c r="USW28" s="3468"/>
      <c r="USX28" s="3468"/>
      <c r="USY28" s="3468"/>
      <c r="USZ28" s="3468"/>
      <c r="UTA28" s="3468"/>
      <c r="UTB28" s="3468"/>
      <c r="UTC28" s="3468"/>
      <c r="UTD28" s="3468"/>
      <c r="UTE28" s="3468"/>
      <c r="UTF28" s="3468"/>
      <c r="UTG28" s="3468"/>
      <c r="UTH28" s="3468"/>
      <c r="UTI28" s="3468"/>
      <c r="UTJ28" s="3468"/>
      <c r="UTK28" s="3468"/>
      <c r="UTL28" s="3468"/>
      <c r="UTM28" s="3468"/>
      <c r="UTN28" s="3468"/>
      <c r="UTO28" s="3468"/>
      <c r="UTP28" s="3468"/>
      <c r="UTQ28" s="3468"/>
      <c r="UTR28" s="3468"/>
      <c r="UTS28" s="3468"/>
      <c r="UTT28" s="3468"/>
      <c r="UTU28" s="3468"/>
      <c r="UTV28" s="3468"/>
      <c r="UTW28" s="3468"/>
      <c r="UTX28" s="3468"/>
      <c r="UTY28" s="3468"/>
      <c r="UTZ28" s="3468"/>
      <c r="UUA28" s="3468"/>
      <c r="UUB28" s="3468"/>
      <c r="UUC28" s="3468"/>
      <c r="UUD28" s="3468"/>
      <c r="UUE28" s="3468"/>
      <c r="UUF28" s="3468"/>
      <c r="UUG28" s="3468"/>
      <c r="UUH28" s="3468"/>
      <c r="UUI28" s="3468"/>
      <c r="UUJ28" s="3468"/>
      <c r="UUK28" s="3468"/>
      <c r="UUL28" s="3468"/>
      <c r="UUM28" s="3468"/>
      <c r="UUN28" s="3468"/>
      <c r="UUO28" s="3468"/>
      <c r="UUP28" s="3468"/>
      <c r="UUQ28" s="3468"/>
      <c r="UUR28" s="3468"/>
      <c r="UUS28" s="3468"/>
      <c r="UUT28" s="3468"/>
      <c r="UUU28" s="3468"/>
      <c r="UUV28" s="3468"/>
      <c r="UUW28" s="3468"/>
      <c r="UUX28" s="3468"/>
      <c r="UUY28" s="3468"/>
      <c r="UUZ28" s="3468"/>
      <c r="UVA28" s="3468"/>
      <c r="UVB28" s="3468"/>
      <c r="UVC28" s="3468"/>
      <c r="UVD28" s="3468"/>
      <c r="UVE28" s="3468"/>
      <c r="UVF28" s="3468"/>
      <c r="UVG28" s="3468"/>
      <c r="UVH28" s="3468"/>
      <c r="UVI28" s="3468"/>
      <c r="UVJ28" s="3468"/>
      <c r="UVK28" s="3468"/>
      <c r="UVL28" s="3468"/>
      <c r="UVM28" s="3468"/>
      <c r="UVN28" s="3468"/>
      <c r="UVO28" s="3468"/>
      <c r="UVP28" s="3468"/>
      <c r="UVQ28" s="3468"/>
      <c r="UVR28" s="3468"/>
      <c r="UVS28" s="3468"/>
      <c r="UVT28" s="3468"/>
      <c r="UVU28" s="3468"/>
      <c r="UVV28" s="3468"/>
      <c r="UVW28" s="3468"/>
      <c r="UVX28" s="3468"/>
      <c r="UVY28" s="3468"/>
      <c r="UVZ28" s="3468"/>
      <c r="UWA28" s="3468"/>
      <c r="UWB28" s="3468"/>
      <c r="UWC28" s="3468"/>
      <c r="UWD28" s="3468"/>
      <c r="UWE28" s="3468"/>
      <c r="UWF28" s="3468"/>
      <c r="UWG28" s="3468"/>
      <c r="UWH28" s="3468"/>
      <c r="UWI28" s="3468"/>
      <c r="UWJ28" s="3468"/>
      <c r="UWK28" s="3468"/>
      <c r="UWL28" s="3468"/>
      <c r="UWM28" s="3468"/>
      <c r="UWN28" s="3468"/>
      <c r="UWO28" s="3468"/>
      <c r="UWP28" s="3468"/>
      <c r="UWQ28" s="3468"/>
      <c r="UWR28" s="3468"/>
      <c r="UWS28" s="3468"/>
      <c r="UWT28" s="3468"/>
      <c r="UWU28" s="3468"/>
      <c r="UWV28" s="3468"/>
      <c r="UWW28" s="3468"/>
      <c r="UWX28" s="3468"/>
      <c r="UWY28" s="3468"/>
      <c r="UWZ28" s="3468"/>
      <c r="UXA28" s="3468"/>
      <c r="UXB28" s="3468"/>
      <c r="UXC28" s="3468"/>
      <c r="UXD28" s="3468"/>
      <c r="UXE28" s="3468"/>
      <c r="UXF28" s="3468"/>
      <c r="UXG28" s="3468"/>
      <c r="UXH28" s="3468"/>
      <c r="UXI28" s="3468"/>
      <c r="UXJ28" s="3468"/>
      <c r="UXK28" s="3468"/>
      <c r="UXL28" s="3468"/>
      <c r="UXM28" s="3468"/>
      <c r="UXN28" s="3468"/>
      <c r="UXO28" s="3468"/>
      <c r="UXP28" s="3468"/>
      <c r="UXQ28" s="3468"/>
      <c r="UXR28" s="3468"/>
      <c r="UXS28" s="3468"/>
      <c r="UXT28" s="3468"/>
      <c r="UXU28" s="3468"/>
      <c r="UXV28" s="3468"/>
      <c r="UXW28" s="3468"/>
      <c r="UXX28" s="3468"/>
      <c r="UXY28" s="3468"/>
      <c r="UXZ28" s="3468"/>
      <c r="UYA28" s="3468"/>
      <c r="UYB28" s="3468"/>
      <c r="UYC28" s="3468"/>
      <c r="UYD28" s="3468"/>
      <c r="UYE28" s="3468"/>
      <c r="UYF28" s="3468"/>
      <c r="UYG28" s="3468"/>
      <c r="UYH28" s="3468"/>
      <c r="UYI28" s="3468"/>
      <c r="UYJ28" s="3468"/>
      <c r="UYK28" s="3468"/>
      <c r="UYL28" s="3468"/>
      <c r="UYM28" s="3468"/>
      <c r="UYN28" s="3468"/>
      <c r="UYO28" s="3468"/>
      <c r="UYP28" s="3468"/>
      <c r="UYQ28" s="3468"/>
      <c r="UYR28" s="3468"/>
      <c r="UYS28" s="3468"/>
      <c r="UYT28" s="3468"/>
      <c r="UYU28" s="3468"/>
      <c r="UYV28" s="3468"/>
      <c r="UYW28" s="3468"/>
      <c r="UYX28" s="3468"/>
      <c r="UYY28" s="3468"/>
      <c r="UYZ28" s="3468"/>
      <c r="UZA28" s="3468"/>
      <c r="UZB28" s="3468"/>
      <c r="UZC28" s="3468"/>
      <c r="UZD28" s="3468"/>
      <c r="UZE28" s="3468"/>
      <c r="UZF28" s="3468"/>
      <c r="UZG28" s="3468"/>
      <c r="UZH28" s="3468"/>
      <c r="UZI28" s="3468"/>
      <c r="UZJ28" s="3468"/>
      <c r="UZK28" s="3468"/>
      <c r="UZL28" s="3468"/>
      <c r="UZM28" s="3468"/>
      <c r="UZN28" s="3468"/>
      <c r="UZO28" s="3468"/>
      <c r="UZP28" s="3468"/>
      <c r="UZQ28" s="3468"/>
      <c r="UZR28" s="3468"/>
      <c r="UZS28" s="3468"/>
      <c r="UZT28" s="3468"/>
      <c r="UZU28" s="3468"/>
      <c r="UZV28" s="3468"/>
      <c r="UZW28" s="3468"/>
      <c r="UZX28" s="3468"/>
      <c r="UZY28" s="3468"/>
      <c r="UZZ28" s="3468"/>
      <c r="VAA28" s="3468"/>
      <c r="VAB28" s="3468"/>
      <c r="VAC28" s="3468"/>
      <c r="VAD28" s="3468"/>
      <c r="VAE28" s="3468"/>
      <c r="VAF28" s="3468"/>
      <c r="VAG28" s="3468"/>
      <c r="VAH28" s="3468"/>
      <c r="VAI28" s="3468"/>
      <c r="VAJ28" s="3468"/>
      <c r="VAK28" s="3468"/>
      <c r="VAL28" s="3468"/>
      <c r="VAM28" s="3468"/>
      <c r="VAN28" s="3468"/>
      <c r="VAO28" s="3468"/>
      <c r="VAP28" s="3468"/>
      <c r="VAQ28" s="3468"/>
      <c r="VAR28" s="3468"/>
      <c r="VAS28" s="3468"/>
      <c r="VAT28" s="3468"/>
      <c r="VAU28" s="3468"/>
      <c r="VAV28" s="3468"/>
      <c r="VAW28" s="3468"/>
      <c r="VAX28" s="3468"/>
      <c r="VAY28" s="3468"/>
      <c r="VAZ28" s="3468"/>
      <c r="VBA28" s="3468"/>
      <c r="VBB28" s="3468"/>
      <c r="VBC28" s="3468"/>
      <c r="VBD28" s="3468"/>
      <c r="VBE28" s="3468"/>
      <c r="VBF28" s="3468"/>
      <c r="VBG28" s="3468"/>
      <c r="VBH28" s="3468"/>
      <c r="VBI28" s="3468"/>
      <c r="VBJ28" s="3468"/>
      <c r="VBK28" s="3468"/>
      <c r="VBL28" s="3468"/>
      <c r="VBM28" s="3468"/>
      <c r="VBN28" s="3468"/>
      <c r="VBO28" s="3468"/>
      <c r="VBP28" s="3468"/>
      <c r="VBQ28" s="3468"/>
      <c r="VBR28" s="3468"/>
      <c r="VBS28" s="3468"/>
      <c r="VBT28" s="3468"/>
      <c r="VBU28" s="3468"/>
      <c r="VBV28" s="3468"/>
      <c r="VBW28" s="3468"/>
      <c r="VBX28" s="3468"/>
      <c r="VBY28" s="3468"/>
      <c r="VBZ28" s="3468"/>
      <c r="VCA28" s="3468"/>
      <c r="VCB28" s="3468"/>
      <c r="VCC28" s="3468"/>
      <c r="VCD28" s="3468"/>
      <c r="VCE28" s="3468"/>
      <c r="VCF28" s="3468"/>
      <c r="VCG28" s="3468"/>
      <c r="VCH28" s="3468"/>
      <c r="VCI28" s="3468"/>
      <c r="VCJ28" s="3468"/>
      <c r="VCK28" s="3468"/>
      <c r="VCL28" s="3468"/>
      <c r="VCM28" s="3468"/>
      <c r="VCN28" s="3468"/>
      <c r="VCO28" s="3468"/>
      <c r="VCP28" s="3468"/>
      <c r="VCQ28" s="3468"/>
      <c r="VCR28" s="3468"/>
      <c r="VCS28" s="3468"/>
      <c r="VCT28" s="3468"/>
      <c r="VCU28" s="3468"/>
      <c r="VCV28" s="3468"/>
      <c r="VCW28" s="3468"/>
      <c r="VCX28" s="3468"/>
      <c r="VCY28" s="3468"/>
      <c r="VCZ28" s="3468"/>
      <c r="VDA28" s="3468"/>
      <c r="VDB28" s="3468"/>
      <c r="VDC28" s="3468"/>
      <c r="VDD28" s="3468"/>
      <c r="VDE28" s="3468"/>
      <c r="VDF28" s="3468"/>
      <c r="VDG28" s="3468"/>
      <c r="VDH28" s="3468"/>
      <c r="VDI28" s="3468"/>
      <c r="VDJ28" s="3468"/>
      <c r="VDK28" s="3468"/>
      <c r="VDL28" s="3468"/>
      <c r="VDM28" s="3468"/>
      <c r="VDN28" s="3468"/>
      <c r="VDO28" s="3468"/>
      <c r="VDP28" s="3468"/>
      <c r="VDQ28" s="3468"/>
      <c r="VDR28" s="3468"/>
      <c r="VDS28" s="3468"/>
      <c r="VDT28" s="3468"/>
      <c r="VDU28" s="3468"/>
      <c r="VDV28" s="3468"/>
      <c r="VDW28" s="3468"/>
      <c r="VDX28" s="3468"/>
      <c r="VDY28" s="3468"/>
      <c r="VDZ28" s="3468"/>
      <c r="VEA28" s="3468"/>
      <c r="VEB28" s="3468"/>
      <c r="VEC28" s="3468"/>
      <c r="VED28" s="3468"/>
      <c r="VEE28" s="3468"/>
      <c r="VEF28" s="3468"/>
      <c r="VEG28" s="3468"/>
      <c r="VEH28" s="3468"/>
      <c r="VEI28" s="3468"/>
      <c r="VEJ28" s="3468"/>
      <c r="VEK28" s="3468"/>
      <c r="VEL28" s="3468"/>
      <c r="VEM28" s="3468"/>
      <c r="VEN28" s="3468"/>
      <c r="VEO28" s="3468"/>
      <c r="VEP28" s="3468"/>
      <c r="VEQ28" s="3468"/>
      <c r="VER28" s="3468"/>
      <c r="VES28" s="3468"/>
      <c r="VET28" s="3468"/>
      <c r="VEU28" s="3468"/>
      <c r="VEV28" s="3468"/>
      <c r="VEW28" s="3468"/>
      <c r="VEX28" s="3468"/>
      <c r="VEY28" s="3468"/>
      <c r="VEZ28" s="3468"/>
      <c r="VFA28" s="3468"/>
      <c r="VFB28" s="3468"/>
      <c r="VFC28" s="3468"/>
      <c r="VFD28" s="3468"/>
      <c r="VFE28" s="3468"/>
      <c r="VFF28" s="3468"/>
      <c r="VFG28" s="3468"/>
      <c r="VFH28" s="3468"/>
      <c r="VFI28" s="3468"/>
      <c r="VFJ28" s="3468"/>
      <c r="VFK28" s="3468"/>
      <c r="VFL28" s="3468"/>
      <c r="VFM28" s="3468"/>
      <c r="VFN28" s="3468"/>
      <c r="VFO28" s="3468"/>
      <c r="VFP28" s="3468"/>
      <c r="VFQ28" s="3468"/>
      <c r="VFR28" s="3468"/>
      <c r="VFS28" s="3468"/>
      <c r="VFT28" s="3468"/>
      <c r="VFU28" s="3468"/>
      <c r="VFV28" s="3468"/>
      <c r="VFW28" s="3468"/>
      <c r="VFX28" s="3468"/>
      <c r="VFY28" s="3468"/>
      <c r="VFZ28" s="3468"/>
      <c r="VGA28" s="3468"/>
      <c r="VGB28" s="3468"/>
      <c r="VGC28" s="3468"/>
      <c r="VGD28" s="3468"/>
      <c r="VGE28" s="3468"/>
      <c r="VGF28" s="3468"/>
      <c r="VGG28" s="3468"/>
      <c r="VGH28" s="3468"/>
      <c r="VGI28" s="3468"/>
      <c r="VGJ28" s="3468"/>
      <c r="VGK28" s="3468"/>
      <c r="VGL28" s="3468"/>
      <c r="VGM28" s="3468"/>
      <c r="VGN28" s="3468"/>
      <c r="VGO28" s="3468"/>
      <c r="VGP28" s="3468"/>
      <c r="VGQ28" s="3468"/>
      <c r="VGR28" s="3468"/>
      <c r="VGS28" s="3468"/>
      <c r="VGT28" s="3468"/>
      <c r="VGU28" s="3468"/>
      <c r="VGV28" s="3468"/>
      <c r="VGW28" s="3468"/>
      <c r="VGX28" s="3468"/>
      <c r="VGY28" s="3468"/>
      <c r="VGZ28" s="3468"/>
      <c r="VHA28" s="3468"/>
      <c r="VHB28" s="3468"/>
      <c r="VHC28" s="3468"/>
      <c r="VHD28" s="3468"/>
      <c r="VHE28" s="3468"/>
      <c r="VHF28" s="3468"/>
      <c r="VHG28" s="3468"/>
      <c r="VHH28" s="3468"/>
      <c r="VHI28" s="3468"/>
      <c r="VHJ28" s="3468"/>
      <c r="VHK28" s="3468"/>
      <c r="VHL28" s="3468"/>
      <c r="VHM28" s="3468"/>
      <c r="VHN28" s="3468"/>
      <c r="VHO28" s="3468"/>
      <c r="VHP28" s="3468"/>
      <c r="VHQ28" s="3468"/>
      <c r="VHR28" s="3468"/>
      <c r="VHS28" s="3468"/>
      <c r="VHT28" s="3468"/>
      <c r="VHU28" s="3468"/>
      <c r="VHV28" s="3468"/>
      <c r="VHW28" s="3468"/>
      <c r="VHX28" s="3468"/>
      <c r="VHY28" s="3468"/>
      <c r="VHZ28" s="3468"/>
      <c r="VIA28" s="3468"/>
      <c r="VIB28" s="3468"/>
      <c r="VIC28" s="3468"/>
      <c r="VID28" s="3468"/>
      <c r="VIE28" s="3468"/>
      <c r="VIF28" s="3468"/>
      <c r="VIG28" s="3468"/>
      <c r="VIH28" s="3468"/>
      <c r="VII28" s="3468"/>
      <c r="VIJ28" s="3468"/>
      <c r="VIK28" s="3468"/>
      <c r="VIL28" s="3468"/>
      <c r="VIM28" s="3468"/>
      <c r="VIN28" s="3468"/>
      <c r="VIO28" s="3468"/>
      <c r="VIP28" s="3468"/>
      <c r="VIQ28" s="3468"/>
      <c r="VIR28" s="3468"/>
      <c r="VIS28" s="3468"/>
      <c r="VIT28" s="3468"/>
      <c r="VIU28" s="3468"/>
      <c r="VIV28" s="3468"/>
      <c r="VIW28" s="3468"/>
      <c r="VIX28" s="3468"/>
      <c r="VIY28" s="3468"/>
      <c r="VIZ28" s="3468"/>
      <c r="VJA28" s="3468"/>
      <c r="VJB28" s="3468"/>
      <c r="VJC28" s="3468"/>
      <c r="VJD28" s="3468"/>
      <c r="VJE28" s="3468"/>
      <c r="VJF28" s="3468"/>
      <c r="VJG28" s="3468"/>
      <c r="VJH28" s="3468"/>
      <c r="VJI28" s="3468"/>
      <c r="VJJ28" s="3468"/>
      <c r="VJK28" s="3468"/>
      <c r="VJL28" s="3468"/>
      <c r="VJM28" s="3468"/>
      <c r="VJN28" s="3468"/>
      <c r="VJO28" s="3468"/>
      <c r="VJP28" s="3468"/>
      <c r="VJQ28" s="3468"/>
      <c r="VJR28" s="3468"/>
      <c r="VJS28" s="3468"/>
      <c r="VJT28" s="3468"/>
      <c r="VJU28" s="3468"/>
      <c r="VJV28" s="3468"/>
      <c r="VJW28" s="3468"/>
      <c r="VJX28" s="3468"/>
      <c r="VJY28" s="3468"/>
      <c r="VJZ28" s="3468"/>
      <c r="VKA28" s="3468"/>
      <c r="VKB28" s="3468"/>
      <c r="VKC28" s="3468"/>
      <c r="VKD28" s="3468"/>
      <c r="VKE28" s="3468"/>
      <c r="VKF28" s="3468"/>
      <c r="VKG28" s="3468"/>
      <c r="VKH28" s="3468"/>
      <c r="VKI28" s="3468"/>
      <c r="VKJ28" s="3468"/>
      <c r="VKK28" s="3468"/>
      <c r="VKL28" s="3468"/>
      <c r="VKM28" s="3468"/>
      <c r="VKN28" s="3468"/>
      <c r="VKO28" s="3468"/>
      <c r="VKP28" s="3468"/>
      <c r="VKQ28" s="3468"/>
      <c r="VKR28" s="3468"/>
      <c r="VKS28" s="3468"/>
      <c r="VKT28" s="3468"/>
      <c r="VKU28" s="3468"/>
      <c r="VKV28" s="3468"/>
      <c r="VKW28" s="3468"/>
      <c r="VKX28" s="3468"/>
      <c r="VKY28" s="3468"/>
      <c r="VKZ28" s="3468"/>
      <c r="VLA28" s="3468"/>
      <c r="VLB28" s="3468"/>
      <c r="VLC28" s="3468"/>
      <c r="VLD28" s="3468"/>
      <c r="VLE28" s="3468"/>
      <c r="VLF28" s="3468"/>
      <c r="VLG28" s="3468"/>
      <c r="VLH28" s="3468"/>
      <c r="VLI28" s="3468"/>
      <c r="VLJ28" s="3468"/>
      <c r="VLK28" s="3468"/>
      <c r="VLL28" s="3468"/>
      <c r="VLM28" s="3468"/>
      <c r="VLN28" s="3468"/>
      <c r="VLO28" s="3468"/>
      <c r="VLP28" s="3468"/>
      <c r="VLQ28" s="3468"/>
      <c r="VLR28" s="3468"/>
      <c r="VLS28" s="3468"/>
      <c r="VLT28" s="3468"/>
      <c r="VLU28" s="3468"/>
      <c r="VLV28" s="3468"/>
      <c r="VLW28" s="3468"/>
      <c r="VLX28" s="3468"/>
      <c r="VLY28" s="3468"/>
      <c r="VLZ28" s="3468"/>
      <c r="VMA28" s="3468"/>
      <c r="VMB28" s="3468"/>
      <c r="VMC28" s="3468"/>
      <c r="VMD28" s="3468"/>
      <c r="VME28" s="3468"/>
      <c r="VMF28" s="3468"/>
      <c r="VMG28" s="3468"/>
      <c r="VMH28" s="3468"/>
      <c r="VMI28" s="3468"/>
      <c r="VMJ28" s="3468"/>
      <c r="VMK28" s="3468"/>
      <c r="VML28" s="3468"/>
      <c r="VMM28" s="3468"/>
      <c r="VMN28" s="3468"/>
      <c r="VMO28" s="3468"/>
      <c r="VMP28" s="3468"/>
      <c r="VMQ28" s="3468"/>
      <c r="VMR28" s="3468"/>
      <c r="VMS28" s="3468"/>
      <c r="VMT28" s="3468"/>
      <c r="VMU28" s="3468"/>
      <c r="VMV28" s="3468"/>
      <c r="VMW28" s="3468"/>
      <c r="VMX28" s="3468"/>
      <c r="VMY28" s="3468"/>
      <c r="VMZ28" s="3468"/>
      <c r="VNA28" s="3468"/>
      <c r="VNB28" s="3468"/>
      <c r="VNC28" s="3468"/>
      <c r="VND28" s="3468"/>
      <c r="VNE28" s="3468"/>
      <c r="VNF28" s="3468"/>
      <c r="VNG28" s="3468"/>
      <c r="VNH28" s="3468"/>
      <c r="VNI28" s="3468"/>
      <c r="VNJ28" s="3468"/>
      <c r="VNK28" s="3468"/>
      <c r="VNL28" s="3468"/>
      <c r="VNM28" s="3468"/>
      <c r="VNN28" s="3468"/>
      <c r="VNO28" s="3468"/>
      <c r="VNP28" s="3468"/>
      <c r="VNQ28" s="3468"/>
      <c r="VNR28" s="3468"/>
      <c r="VNS28" s="3468"/>
      <c r="VNT28" s="3468"/>
      <c r="VNU28" s="3468"/>
      <c r="VNV28" s="3468"/>
      <c r="VNW28" s="3468"/>
      <c r="VNX28" s="3468"/>
      <c r="VNY28" s="3468"/>
      <c r="VNZ28" s="3468"/>
      <c r="VOA28" s="3468"/>
      <c r="VOB28" s="3468"/>
      <c r="VOC28" s="3468"/>
      <c r="VOD28" s="3468"/>
      <c r="VOE28" s="3468"/>
      <c r="VOF28" s="3468"/>
      <c r="VOG28" s="3468"/>
      <c r="VOH28" s="3468"/>
      <c r="VOI28" s="3468"/>
      <c r="VOJ28" s="3468"/>
      <c r="VOK28" s="3468"/>
      <c r="VOL28" s="3468"/>
      <c r="VOM28" s="3468"/>
      <c r="VON28" s="3468"/>
      <c r="VOO28" s="3468"/>
      <c r="VOP28" s="3468"/>
      <c r="VOQ28" s="3468"/>
      <c r="VOR28" s="3468"/>
      <c r="VOS28" s="3468"/>
      <c r="VOT28" s="3468"/>
      <c r="VOU28" s="3468"/>
      <c r="VOV28" s="3468"/>
      <c r="VOW28" s="3468"/>
      <c r="VOX28" s="3468"/>
      <c r="VOY28" s="3468"/>
      <c r="VOZ28" s="3468"/>
      <c r="VPA28" s="3468"/>
      <c r="VPB28" s="3468"/>
      <c r="VPC28" s="3468"/>
      <c r="VPD28" s="3468"/>
      <c r="VPE28" s="3468"/>
      <c r="VPF28" s="3468"/>
      <c r="VPG28" s="3468"/>
      <c r="VPH28" s="3468"/>
      <c r="VPI28" s="3468"/>
      <c r="VPJ28" s="3468"/>
      <c r="VPK28" s="3468"/>
      <c r="VPL28" s="3468"/>
      <c r="VPM28" s="3468"/>
      <c r="VPN28" s="3468"/>
      <c r="VPO28" s="3468"/>
      <c r="VPP28" s="3468"/>
      <c r="VPQ28" s="3468"/>
      <c r="VPR28" s="3468"/>
      <c r="VPS28" s="3468"/>
      <c r="VPT28" s="3468"/>
      <c r="VPU28" s="3468"/>
      <c r="VPV28" s="3468"/>
      <c r="VPW28" s="3468"/>
      <c r="VPX28" s="3468"/>
      <c r="VPY28" s="3468"/>
      <c r="VPZ28" s="3468"/>
      <c r="VQA28" s="3468"/>
      <c r="VQB28" s="3468"/>
      <c r="VQC28" s="3468"/>
      <c r="VQD28" s="3468"/>
      <c r="VQE28" s="3468"/>
      <c r="VQF28" s="3468"/>
      <c r="VQG28" s="3468"/>
      <c r="VQH28" s="3468"/>
      <c r="VQI28" s="3468"/>
      <c r="VQJ28" s="3468"/>
      <c r="VQK28" s="3468"/>
      <c r="VQL28" s="3468"/>
      <c r="VQM28" s="3468"/>
      <c r="VQN28" s="3468"/>
      <c r="VQO28" s="3468"/>
      <c r="VQP28" s="3468"/>
      <c r="VQQ28" s="3468"/>
      <c r="VQR28" s="3468"/>
      <c r="VQS28" s="3468"/>
      <c r="VQT28" s="3468"/>
      <c r="VQU28" s="3468"/>
      <c r="VQV28" s="3468"/>
      <c r="VQW28" s="3468"/>
      <c r="VQX28" s="3468"/>
      <c r="VQY28" s="3468"/>
      <c r="VQZ28" s="3468"/>
      <c r="VRA28" s="3468"/>
      <c r="VRB28" s="3468"/>
      <c r="VRC28" s="3468"/>
      <c r="VRD28" s="3468"/>
      <c r="VRE28" s="3468"/>
      <c r="VRF28" s="3468"/>
      <c r="VRG28" s="3468"/>
      <c r="VRH28" s="3468"/>
      <c r="VRI28" s="3468"/>
      <c r="VRJ28" s="3468"/>
      <c r="VRK28" s="3468"/>
      <c r="VRL28" s="3468"/>
      <c r="VRM28" s="3468"/>
      <c r="VRN28" s="3468"/>
      <c r="VRO28" s="3468"/>
      <c r="VRP28" s="3468"/>
      <c r="VRQ28" s="3468"/>
      <c r="VRR28" s="3468"/>
      <c r="VRS28" s="3468"/>
      <c r="VRT28" s="3468"/>
      <c r="VRU28" s="3468"/>
      <c r="VRV28" s="3468"/>
      <c r="VRW28" s="3468"/>
      <c r="VRX28" s="3468"/>
      <c r="VRY28" s="3468"/>
      <c r="VRZ28" s="3468"/>
      <c r="VSA28" s="3468"/>
      <c r="VSB28" s="3468"/>
      <c r="VSC28" s="3468"/>
      <c r="VSD28" s="3468"/>
      <c r="VSE28" s="3468"/>
      <c r="VSF28" s="3468"/>
      <c r="VSG28" s="3468"/>
      <c r="VSH28" s="3468"/>
      <c r="VSI28" s="3468"/>
      <c r="VSJ28" s="3468"/>
      <c r="VSK28" s="3468"/>
      <c r="VSL28" s="3468"/>
      <c r="VSM28" s="3468"/>
      <c r="VSN28" s="3468"/>
      <c r="VSO28" s="3468"/>
      <c r="VSP28" s="3468"/>
      <c r="VSQ28" s="3468"/>
      <c r="VSR28" s="3468"/>
      <c r="VSS28" s="3468"/>
      <c r="VST28" s="3468"/>
      <c r="VSU28" s="3468"/>
      <c r="VSV28" s="3468"/>
      <c r="VSW28" s="3468"/>
      <c r="VSX28" s="3468"/>
      <c r="VSY28" s="3468"/>
      <c r="VSZ28" s="3468"/>
      <c r="VTA28" s="3468"/>
      <c r="VTB28" s="3468"/>
      <c r="VTC28" s="3468"/>
      <c r="VTD28" s="3468"/>
      <c r="VTE28" s="3468"/>
      <c r="VTF28" s="3468"/>
      <c r="VTG28" s="3468"/>
      <c r="VTH28" s="3468"/>
      <c r="VTI28" s="3468"/>
      <c r="VTJ28" s="3468"/>
      <c r="VTK28" s="3468"/>
      <c r="VTL28" s="3468"/>
      <c r="VTM28" s="3468"/>
      <c r="VTN28" s="3468"/>
      <c r="VTO28" s="3468"/>
      <c r="VTP28" s="3468"/>
      <c r="VTQ28" s="3468"/>
      <c r="VTR28" s="3468"/>
      <c r="VTS28" s="3468"/>
      <c r="VTT28" s="3468"/>
      <c r="VTU28" s="3468"/>
      <c r="VTV28" s="3468"/>
      <c r="VTW28" s="3468"/>
      <c r="VTX28" s="3468"/>
      <c r="VTY28" s="3468"/>
      <c r="VTZ28" s="3468"/>
      <c r="VUA28" s="3468"/>
      <c r="VUB28" s="3468"/>
      <c r="VUC28" s="3468"/>
      <c r="VUD28" s="3468"/>
      <c r="VUE28" s="3468"/>
      <c r="VUF28" s="3468"/>
      <c r="VUG28" s="3468"/>
      <c r="VUH28" s="3468"/>
      <c r="VUI28" s="3468"/>
      <c r="VUJ28" s="3468"/>
      <c r="VUK28" s="3468"/>
      <c r="VUL28" s="3468"/>
      <c r="VUM28" s="3468"/>
      <c r="VUN28" s="3468"/>
      <c r="VUO28" s="3468"/>
      <c r="VUP28" s="3468"/>
      <c r="VUQ28" s="3468"/>
      <c r="VUR28" s="3468"/>
      <c r="VUS28" s="3468"/>
      <c r="VUT28" s="3468"/>
      <c r="VUU28" s="3468"/>
      <c r="VUV28" s="3468"/>
      <c r="VUW28" s="3468"/>
      <c r="VUX28" s="3468"/>
      <c r="VUY28" s="3468"/>
      <c r="VUZ28" s="3468"/>
      <c r="VVA28" s="3468"/>
      <c r="VVB28" s="3468"/>
      <c r="VVC28" s="3468"/>
      <c r="VVD28" s="3468"/>
      <c r="VVE28" s="3468"/>
      <c r="VVF28" s="3468"/>
      <c r="VVG28" s="3468"/>
      <c r="VVH28" s="3468"/>
      <c r="VVI28" s="3468"/>
      <c r="VVJ28" s="3468"/>
      <c r="VVK28" s="3468"/>
      <c r="VVL28" s="3468"/>
      <c r="VVM28" s="3468"/>
      <c r="VVN28" s="3468"/>
      <c r="VVO28" s="3468"/>
      <c r="VVP28" s="3468"/>
      <c r="VVQ28" s="3468"/>
      <c r="VVR28" s="3468"/>
      <c r="VVS28" s="3468"/>
      <c r="VVT28" s="3468"/>
      <c r="VVU28" s="3468"/>
      <c r="VVV28" s="3468"/>
      <c r="VVW28" s="3468"/>
      <c r="VVX28" s="3468"/>
      <c r="VVY28" s="3468"/>
      <c r="VVZ28" s="3468"/>
      <c r="VWA28" s="3468"/>
      <c r="VWB28" s="3468"/>
      <c r="VWC28" s="3468"/>
      <c r="VWD28" s="3468"/>
      <c r="VWE28" s="3468"/>
      <c r="VWF28" s="3468"/>
      <c r="VWG28" s="3468"/>
      <c r="VWH28" s="3468"/>
      <c r="VWI28" s="3468"/>
      <c r="VWJ28" s="3468"/>
      <c r="VWK28" s="3468"/>
      <c r="VWL28" s="3468"/>
      <c r="VWM28" s="3468"/>
      <c r="VWN28" s="3468"/>
      <c r="VWO28" s="3468"/>
      <c r="VWP28" s="3468"/>
      <c r="VWQ28" s="3468"/>
      <c r="VWR28" s="3468"/>
      <c r="VWS28" s="3468"/>
      <c r="VWT28" s="3468"/>
      <c r="VWU28" s="3468"/>
      <c r="VWV28" s="3468"/>
      <c r="VWW28" s="3468"/>
      <c r="VWX28" s="3468"/>
      <c r="VWY28" s="3468"/>
      <c r="VWZ28" s="3468"/>
      <c r="VXA28" s="3468"/>
      <c r="VXB28" s="3468"/>
      <c r="VXC28" s="3468"/>
      <c r="VXD28" s="3468"/>
      <c r="VXE28" s="3468"/>
      <c r="VXF28" s="3468"/>
      <c r="VXG28" s="3468"/>
      <c r="VXH28" s="3468"/>
      <c r="VXI28" s="3468"/>
      <c r="VXJ28" s="3468"/>
      <c r="VXK28" s="3468"/>
      <c r="VXL28" s="3468"/>
      <c r="VXM28" s="3468"/>
      <c r="VXN28" s="3468"/>
      <c r="VXO28" s="3468"/>
      <c r="VXP28" s="3468"/>
      <c r="VXQ28" s="3468"/>
      <c r="VXR28" s="3468"/>
      <c r="VXS28" s="3468"/>
      <c r="VXT28" s="3468"/>
      <c r="VXU28" s="3468"/>
      <c r="VXV28" s="3468"/>
      <c r="VXW28" s="3468"/>
      <c r="VXX28" s="3468"/>
      <c r="VXY28" s="3468"/>
      <c r="VXZ28" s="3468"/>
      <c r="VYA28" s="3468"/>
      <c r="VYB28" s="3468"/>
      <c r="VYC28" s="3468"/>
      <c r="VYD28" s="3468"/>
      <c r="VYE28" s="3468"/>
      <c r="VYF28" s="3468"/>
      <c r="VYG28" s="3468"/>
      <c r="VYH28" s="3468"/>
      <c r="VYI28" s="3468"/>
      <c r="VYJ28" s="3468"/>
      <c r="VYK28" s="3468"/>
      <c r="VYL28" s="3468"/>
      <c r="VYM28" s="3468"/>
      <c r="VYN28" s="3468"/>
      <c r="VYO28" s="3468"/>
      <c r="VYP28" s="3468"/>
      <c r="VYQ28" s="3468"/>
      <c r="VYR28" s="3468"/>
      <c r="VYS28" s="3468"/>
      <c r="VYT28" s="3468"/>
      <c r="VYU28" s="3468"/>
      <c r="VYV28" s="3468"/>
      <c r="VYW28" s="3468"/>
      <c r="VYX28" s="3468"/>
      <c r="VYY28" s="3468"/>
      <c r="VYZ28" s="3468"/>
      <c r="VZA28" s="3468"/>
      <c r="VZB28" s="3468"/>
      <c r="VZC28" s="3468"/>
      <c r="VZD28" s="3468"/>
      <c r="VZE28" s="3468"/>
      <c r="VZF28" s="3468"/>
      <c r="VZG28" s="3468"/>
      <c r="VZH28" s="3468"/>
      <c r="VZI28" s="3468"/>
      <c r="VZJ28" s="3468"/>
      <c r="VZK28" s="3468"/>
      <c r="VZL28" s="3468"/>
      <c r="VZM28" s="3468"/>
      <c r="VZN28" s="3468"/>
      <c r="VZO28" s="3468"/>
      <c r="VZP28" s="3468"/>
      <c r="VZQ28" s="3468"/>
      <c r="VZR28" s="3468"/>
      <c r="VZS28" s="3468"/>
      <c r="VZT28" s="3468"/>
      <c r="VZU28" s="3468"/>
      <c r="VZV28" s="3468"/>
      <c r="VZW28" s="3468"/>
      <c r="VZX28" s="3468"/>
      <c r="VZY28" s="3468"/>
      <c r="VZZ28" s="3468"/>
      <c r="WAA28" s="3468"/>
      <c r="WAB28" s="3468"/>
      <c r="WAC28" s="3468"/>
      <c r="WAD28" s="3468"/>
      <c r="WAE28" s="3468"/>
      <c r="WAF28" s="3468"/>
      <c r="WAG28" s="3468"/>
      <c r="WAH28" s="3468"/>
      <c r="WAI28" s="3468"/>
      <c r="WAJ28" s="3468"/>
      <c r="WAK28" s="3468"/>
      <c r="WAL28" s="3468"/>
      <c r="WAM28" s="3468"/>
      <c r="WAN28" s="3468"/>
      <c r="WAO28" s="3468"/>
      <c r="WAP28" s="3468"/>
      <c r="WAQ28" s="3468"/>
      <c r="WAR28" s="3468"/>
      <c r="WAS28" s="3468"/>
      <c r="WAT28" s="3468"/>
      <c r="WAU28" s="3468"/>
      <c r="WAV28" s="3468"/>
      <c r="WAW28" s="3468"/>
      <c r="WAX28" s="3468"/>
      <c r="WAY28" s="3468"/>
      <c r="WAZ28" s="3468"/>
      <c r="WBA28" s="3468"/>
      <c r="WBB28" s="3468"/>
      <c r="WBC28" s="3468"/>
      <c r="WBD28" s="3468"/>
      <c r="WBE28" s="3468"/>
      <c r="WBF28" s="3468"/>
      <c r="WBG28" s="3468"/>
      <c r="WBH28" s="3468"/>
      <c r="WBI28" s="3468"/>
      <c r="WBJ28" s="3468"/>
      <c r="WBK28" s="3468"/>
      <c r="WBL28" s="3468"/>
      <c r="WBM28" s="3468"/>
      <c r="WBN28" s="3468"/>
      <c r="WBO28" s="3468"/>
      <c r="WBP28" s="3468"/>
      <c r="WBQ28" s="3468"/>
      <c r="WBR28" s="3468"/>
      <c r="WBS28" s="3468"/>
      <c r="WBT28" s="3468"/>
      <c r="WBU28" s="3468"/>
      <c r="WBV28" s="3468"/>
      <c r="WBW28" s="3468"/>
      <c r="WBX28" s="3468"/>
      <c r="WBY28" s="3468"/>
      <c r="WBZ28" s="3468"/>
      <c r="WCA28" s="3468"/>
      <c r="WCB28" s="3468"/>
      <c r="WCC28" s="3468"/>
      <c r="WCD28" s="3468"/>
      <c r="WCE28" s="3468"/>
      <c r="WCF28" s="3468"/>
      <c r="WCG28" s="3468"/>
      <c r="WCH28" s="3468"/>
      <c r="WCI28" s="3468"/>
      <c r="WCJ28" s="3468"/>
      <c r="WCK28" s="3468"/>
      <c r="WCL28" s="3468"/>
      <c r="WCM28" s="3468"/>
      <c r="WCN28" s="3468"/>
      <c r="WCO28" s="3468"/>
      <c r="WCP28" s="3468"/>
      <c r="WCQ28" s="3468"/>
      <c r="WCR28" s="3468"/>
      <c r="WCS28" s="3468"/>
      <c r="WCT28" s="3468"/>
      <c r="WCU28" s="3468"/>
      <c r="WCV28" s="3468"/>
      <c r="WCW28" s="3468"/>
      <c r="WCX28" s="3468"/>
      <c r="WCY28" s="3468"/>
      <c r="WCZ28" s="3468"/>
      <c r="WDA28" s="3468"/>
      <c r="WDB28" s="3468"/>
      <c r="WDC28" s="3468"/>
      <c r="WDD28" s="3468"/>
      <c r="WDE28" s="3468"/>
      <c r="WDF28" s="3468"/>
      <c r="WDG28" s="3468"/>
      <c r="WDH28" s="3468"/>
      <c r="WDI28" s="3468"/>
      <c r="WDJ28" s="3468"/>
      <c r="WDK28" s="3468"/>
      <c r="WDL28" s="3468"/>
      <c r="WDM28" s="3468"/>
      <c r="WDN28" s="3468"/>
      <c r="WDO28" s="3468"/>
      <c r="WDP28" s="3468"/>
      <c r="WDQ28" s="3468"/>
      <c r="WDR28" s="3468"/>
      <c r="WDS28" s="3468"/>
      <c r="WDT28" s="3468"/>
      <c r="WDU28" s="3468"/>
      <c r="WDV28" s="3468"/>
      <c r="WDW28" s="3468"/>
      <c r="WDX28" s="3468"/>
      <c r="WDY28" s="3468"/>
      <c r="WDZ28" s="3468"/>
      <c r="WEA28" s="3468"/>
      <c r="WEB28" s="3468"/>
      <c r="WEC28" s="3468"/>
      <c r="WED28" s="3468"/>
      <c r="WEE28" s="3468"/>
      <c r="WEF28" s="3468"/>
      <c r="WEG28" s="3468"/>
      <c r="WEH28" s="3468"/>
      <c r="WEI28" s="3468"/>
      <c r="WEJ28" s="3468"/>
      <c r="WEK28" s="3468"/>
      <c r="WEL28" s="3468"/>
      <c r="WEM28" s="3468"/>
      <c r="WEN28" s="3468"/>
      <c r="WEO28" s="3468"/>
      <c r="WEP28" s="3468"/>
      <c r="WEQ28" s="3468"/>
      <c r="WER28" s="3468"/>
      <c r="WES28" s="3468"/>
      <c r="WET28" s="3468"/>
      <c r="WEU28" s="3468"/>
      <c r="WEV28" s="3468"/>
      <c r="WEW28" s="3468"/>
      <c r="WEX28" s="3468"/>
      <c r="WEY28" s="3468"/>
      <c r="WEZ28" s="3468"/>
      <c r="WFA28" s="3468"/>
      <c r="WFB28" s="3468"/>
      <c r="WFC28" s="3468"/>
      <c r="WFD28" s="3468"/>
      <c r="WFE28" s="3468"/>
      <c r="WFF28" s="3468"/>
      <c r="WFG28" s="3468"/>
      <c r="WFH28" s="3468"/>
      <c r="WFI28" s="3468"/>
      <c r="WFJ28" s="3468"/>
      <c r="WFK28" s="3468"/>
      <c r="WFL28" s="3468"/>
      <c r="WFM28" s="3468"/>
      <c r="WFN28" s="3468"/>
      <c r="WFO28" s="3468"/>
      <c r="WFP28" s="3468"/>
      <c r="WFQ28" s="3468"/>
      <c r="WFR28" s="3468"/>
      <c r="WFS28" s="3468"/>
      <c r="WFT28" s="3468"/>
      <c r="WFU28" s="3468"/>
      <c r="WFV28" s="3468"/>
      <c r="WFW28" s="3468"/>
      <c r="WFX28" s="3468"/>
      <c r="WFY28" s="3468"/>
      <c r="WFZ28" s="3468"/>
      <c r="WGA28" s="3468"/>
      <c r="WGB28" s="3468"/>
      <c r="WGC28" s="3468"/>
      <c r="WGD28" s="3468"/>
      <c r="WGE28" s="3468"/>
      <c r="WGF28" s="3468"/>
      <c r="WGG28" s="3468"/>
      <c r="WGH28" s="3468"/>
      <c r="WGI28" s="3468"/>
      <c r="WGJ28" s="3468"/>
      <c r="WGK28" s="3468"/>
      <c r="WGL28" s="3468"/>
      <c r="WGM28" s="3468"/>
      <c r="WGN28" s="3468"/>
      <c r="WGO28" s="3468"/>
      <c r="WGP28" s="3468"/>
      <c r="WGQ28" s="3468"/>
      <c r="WGR28" s="3468"/>
      <c r="WGS28" s="3468"/>
      <c r="WGT28" s="3468"/>
      <c r="WGU28" s="3468"/>
      <c r="WGV28" s="3468"/>
      <c r="WGW28" s="3468"/>
      <c r="WGX28" s="3468"/>
      <c r="WGY28" s="3468"/>
      <c r="WGZ28" s="3468"/>
      <c r="WHA28" s="3468"/>
      <c r="WHB28" s="3468"/>
      <c r="WHC28" s="3468"/>
      <c r="WHD28" s="3468"/>
      <c r="WHE28" s="3468"/>
      <c r="WHF28" s="3468"/>
      <c r="WHG28" s="3468"/>
      <c r="WHH28" s="3468"/>
      <c r="WHI28" s="3468"/>
      <c r="WHJ28" s="3468"/>
      <c r="WHK28" s="3468"/>
      <c r="WHL28" s="3468"/>
      <c r="WHM28" s="3468"/>
      <c r="WHN28" s="3468"/>
      <c r="WHO28" s="3468"/>
      <c r="WHP28" s="3468"/>
      <c r="WHQ28" s="3468"/>
      <c r="WHR28" s="3468"/>
      <c r="WHS28" s="3468"/>
      <c r="WHT28" s="3468"/>
      <c r="WHU28" s="3468"/>
      <c r="WHV28" s="3468"/>
      <c r="WHW28" s="3468"/>
      <c r="WHX28" s="3468"/>
      <c r="WHY28" s="3468"/>
      <c r="WHZ28" s="3468"/>
      <c r="WIA28" s="3468"/>
      <c r="WIB28" s="3468"/>
      <c r="WIC28" s="3468"/>
      <c r="WID28" s="3468"/>
      <c r="WIE28" s="3468"/>
      <c r="WIF28" s="3468"/>
      <c r="WIG28" s="3468"/>
      <c r="WIH28" s="3468"/>
      <c r="WII28" s="3468"/>
      <c r="WIJ28" s="3468"/>
      <c r="WIK28" s="3468"/>
      <c r="WIL28" s="3468"/>
      <c r="WIM28" s="3468"/>
      <c r="WIN28" s="3468"/>
      <c r="WIO28" s="3468"/>
      <c r="WIP28" s="3468"/>
      <c r="WIQ28" s="3468"/>
      <c r="WIR28" s="3468"/>
      <c r="WIS28" s="3468"/>
      <c r="WIT28" s="3468"/>
      <c r="WIU28" s="3468"/>
      <c r="WIV28" s="3468"/>
      <c r="WIW28" s="3468"/>
      <c r="WIX28" s="3468"/>
      <c r="WIY28" s="3468"/>
      <c r="WIZ28" s="3468"/>
      <c r="WJA28" s="3468"/>
      <c r="WJB28" s="3468"/>
      <c r="WJC28" s="3468"/>
      <c r="WJD28" s="3468"/>
      <c r="WJE28" s="3468"/>
      <c r="WJF28" s="3468"/>
      <c r="WJG28" s="3468"/>
      <c r="WJH28" s="3468"/>
      <c r="WJI28" s="3468"/>
      <c r="WJJ28" s="3468"/>
      <c r="WJK28" s="3468"/>
      <c r="WJL28" s="3468"/>
      <c r="WJM28" s="3468"/>
      <c r="WJN28" s="3468"/>
      <c r="WJO28" s="3468"/>
      <c r="WJP28" s="3468"/>
      <c r="WJQ28" s="3468"/>
      <c r="WJR28" s="3468"/>
      <c r="WJS28" s="3468"/>
      <c r="WJT28" s="3468"/>
      <c r="WJU28" s="3468"/>
      <c r="WJV28" s="3468"/>
      <c r="WJW28" s="3468"/>
      <c r="WJX28" s="3468"/>
      <c r="WJY28" s="3468"/>
      <c r="WJZ28" s="3468"/>
      <c r="WKA28" s="3468"/>
      <c r="WKB28" s="3468"/>
      <c r="WKC28" s="3468"/>
      <c r="WKD28" s="3468"/>
      <c r="WKE28" s="3468"/>
      <c r="WKF28" s="3468"/>
      <c r="WKG28" s="3468"/>
      <c r="WKH28" s="3468"/>
      <c r="WKI28" s="3468"/>
      <c r="WKJ28" s="3468"/>
      <c r="WKK28" s="3468"/>
      <c r="WKL28" s="3468"/>
      <c r="WKM28" s="3468"/>
      <c r="WKN28" s="3468"/>
      <c r="WKO28" s="3468"/>
      <c r="WKP28" s="3468"/>
      <c r="WKQ28" s="3468"/>
      <c r="WKR28" s="3468"/>
      <c r="WKS28" s="3468"/>
      <c r="WKT28" s="3468"/>
      <c r="WKU28" s="3468"/>
      <c r="WKV28" s="3468"/>
      <c r="WKW28" s="3468"/>
      <c r="WKX28" s="3468"/>
      <c r="WKY28" s="3468"/>
      <c r="WKZ28" s="3468"/>
      <c r="WLA28" s="3468"/>
      <c r="WLB28" s="3468"/>
      <c r="WLC28" s="3468"/>
      <c r="WLD28" s="3468"/>
      <c r="WLE28" s="3468"/>
      <c r="WLF28" s="3468"/>
      <c r="WLG28" s="3468"/>
      <c r="WLH28" s="3468"/>
      <c r="WLI28" s="3468"/>
      <c r="WLJ28" s="3468"/>
      <c r="WLK28" s="3468"/>
      <c r="WLL28" s="3468"/>
      <c r="WLM28" s="3468"/>
      <c r="WLN28" s="3468"/>
      <c r="WLO28" s="3468"/>
      <c r="WLP28" s="3468"/>
      <c r="WLQ28" s="3468"/>
      <c r="WLR28" s="3468"/>
      <c r="WLS28" s="3468"/>
      <c r="WLT28" s="3468"/>
      <c r="WLU28" s="3468"/>
      <c r="WLV28" s="3468"/>
      <c r="WLW28" s="3468"/>
      <c r="WLX28" s="3468"/>
      <c r="WLY28" s="3468"/>
      <c r="WLZ28" s="3468"/>
      <c r="WMA28" s="3468"/>
      <c r="WMB28" s="3468"/>
      <c r="WMC28" s="3468"/>
      <c r="WMD28" s="3468"/>
      <c r="WME28" s="3468"/>
      <c r="WMF28" s="3468"/>
      <c r="WMG28" s="3468"/>
      <c r="WMH28" s="3468"/>
      <c r="WMI28" s="3468"/>
      <c r="WMJ28" s="3468"/>
      <c r="WMK28" s="3468"/>
      <c r="WML28" s="3468"/>
      <c r="WMM28" s="3468"/>
      <c r="WMN28" s="3468"/>
      <c r="WMO28" s="3468"/>
      <c r="WMP28" s="3468"/>
      <c r="WMQ28" s="3468"/>
      <c r="WMR28" s="3468"/>
      <c r="WMS28" s="3468"/>
      <c r="WMT28" s="3468"/>
      <c r="WMU28" s="3468"/>
      <c r="WMV28" s="3468"/>
      <c r="WMW28" s="3468"/>
      <c r="WMX28" s="3468"/>
      <c r="WMY28" s="3468"/>
      <c r="WMZ28" s="3468"/>
      <c r="WNA28" s="3468"/>
      <c r="WNB28" s="3468"/>
      <c r="WNC28" s="3468"/>
      <c r="WND28" s="3468"/>
      <c r="WNE28" s="3468"/>
      <c r="WNF28" s="3468"/>
      <c r="WNG28" s="3468"/>
      <c r="WNH28" s="3468"/>
      <c r="WNI28" s="3468"/>
      <c r="WNJ28" s="3468"/>
      <c r="WNK28" s="3468"/>
      <c r="WNL28" s="3468"/>
      <c r="WNM28" s="3468"/>
      <c r="WNN28" s="3468"/>
      <c r="WNO28" s="3468"/>
      <c r="WNP28" s="3468"/>
      <c r="WNQ28" s="3468"/>
      <c r="WNR28" s="3468"/>
      <c r="WNS28" s="3468"/>
      <c r="WNT28" s="3468"/>
      <c r="WNU28" s="3468"/>
      <c r="WNV28" s="3468"/>
      <c r="WNW28" s="3468"/>
      <c r="WNX28" s="3468"/>
      <c r="WNY28" s="3468"/>
      <c r="WNZ28" s="3468"/>
      <c r="WOA28" s="3468"/>
      <c r="WOB28" s="3468"/>
      <c r="WOC28" s="3468"/>
      <c r="WOD28" s="3468"/>
      <c r="WOE28" s="3468"/>
      <c r="WOF28" s="3468"/>
      <c r="WOG28" s="3468"/>
      <c r="WOH28" s="3468"/>
      <c r="WOI28" s="3468"/>
      <c r="WOJ28" s="3468"/>
      <c r="WOK28" s="3468"/>
      <c r="WOL28" s="3468"/>
      <c r="WOM28" s="3468"/>
      <c r="WON28" s="3468"/>
      <c r="WOO28" s="3468"/>
      <c r="WOP28" s="3468"/>
      <c r="WOQ28" s="3468"/>
      <c r="WOR28" s="3468"/>
      <c r="WOS28" s="3468"/>
      <c r="WOT28" s="3468"/>
      <c r="WOU28" s="3468"/>
      <c r="WOV28" s="3468"/>
      <c r="WOW28" s="3468"/>
      <c r="WOX28" s="3468"/>
      <c r="WOY28" s="3468"/>
      <c r="WOZ28" s="3468"/>
      <c r="WPA28" s="3468"/>
      <c r="WPB28" s="3468"/>
      <c r="WPC28" s="3468"/>
      <c r="WPD28" s="3468"/>
      <c r="WPE28" s="3468"/>
      <c r="WPF28" s="3468"/>
      <c r="WPG28" s="3468"/>
      <c r="WPH28" s="3468"/>
      <c r="WPI28" s="3468"/>
      <c r="WPJ28" s="3468"/>
      <c r="WPK28" s="3468"/>
      <c r="WPL28" s="3468"/>
      <c r="WPM28" s="3468"/>
      <c r="WPN28" s="3468"/>
      <c r="WPO28" s="3468"/>
      <c r="WPP28" s="3468"/>
      <c r="WPQ28" s="3468"/>
      <c r="WPR28" s="3468"/>
      <c r="WPS28" s="3468"/>
      <c r="WPT28" s="3468"/>
      <c r="WPU28" s="3468"/>
      <c r="WPV28" s="3468"/>
      <c r="WPW28" s="3468"/>
      <c r="WPX28" s="3468"/>
      <c r="WPY28" s="3468"/>
      <c r="WPZ28" s="3468"/>
      <c r="WQA28" s="3468"/>
      <c r="WQB28" s="3468"/>
      <c r="WQC28" s="3468"/>
      <c r="WQD28" s="3468"/>
      <c r="WQE28" s="3468"/>
      <c r="WQF28" s="3468"/>
      <c r="WQG28" s="3468"/>
      <c r="WQH28" s="3468"/>
      <c r="WQI28" s="3468"/>
      <c r="WQJ28" s="3468"/>
      <c r="WQK28" s="3468"/>
      <c r="WQL28" s="3468"/>
      <c r="WQM28" s="3468"/>
      <c r="WQN28" s="3468"/>
      <c r="WQO28" s="3468"/>
      <c r="WQP28" s="3468"/>
      <c r="WQQ28" s="3468"/>
      <c r="WQR28" s="3468"/>
      <c r="WQS28" s="3468"/>
      <c r="WQT28" s="3468"/>
      <c r="WQU28" s="3468"/>
      <c r="WQV28" s="3468"/>
      <c r="WQW28" s="3468"/>
      <c r="WQX28" s="3468"/>
      <c r="WQY28" s="3468"/>
      <c r="WQZ28" s="3468"/>
      <c r="WRA28" s="3468"/>
      <c r="WRB28" s="3468"/>
      <c r="WRC28" s="3468"/>
      <c r="WRD28" s="3468"/>
      <c r="WRE28" s="3468"/>
      <c r="WRF28" s="3468"/>
      <c r="WRG28" s="3468"/>
      <c r="WRH28" s="3468"/>
      <c r="WRI28" s="3468"/>
      <c r="WRJ28" s="3468"/>
      <c r="WRK28" s="3468"/>
      <c r="WRL28" s="3468"/>
      <c r="WRM28" s="3468"/>
      <c r="WRN28" s="3468"/>
      <c r="WRO28" s="3468"/>
      <c r="WRP28" s="3468"/>
      <c r="WRQ28" s="3468"/>
      <c r="WRR28" s="3468"/>
      <c r="WRS28" s="3468"/>
      <c r="WRT28" s="3468"/>
      <c r="WRU28" s="3468"/>
      <c r="WRV28" s="3468"/>
      <c r="WRW28" s="3468"/>
      <c r="WRX28" s="3468"/>
      <c r="WRY28" s="3468"/>
      <c r="WRZ28" s="3468"/>
      <c r="WSA28" s="3468"/>
      <c r="WSB28" s="3468"/>
      <c r="WSC28" s="3468"/>
      <c r="WSD28" s="3468"/>
      <c r="WSE28" s="3468"/>
      <c r="WSF28" s="3468"/>
      <c r="WSG28" s="3468"/>
      <c r="WSH28" s="3468"/>
      <c r="WSI28" s="3468"/>
      <c r="WSJ28" s="3468"/>
      <c r="WSK28" s="3468"/>
      <c r="WSL28" s="3468"/>
      <c r="WSM28" s="3468"/>
      <c r="WSN28" s="3468"/>
      <c r="WSO28" s="3468"/>
      <c r="WSP28" s="3468"/>
      <c r="WSQ28" s="3468"/>
      <c r="WSR28" s="3468"/>
      <c r="WSS28" s="3468"/>
      <c r="WST28" s="3468"/>
      <c r="WSU28" s="3468"/>
      <c r="WSV28" s="3468"/>
      <c r="WSW28" s="3468"/>
      <c r="WSX28" s="3468"/>
      <c r="WSY28" s="3468"/>
      <c r="WSZ28" s="3468"/>
      <c r="WTA28" s="3468"/>
      <c r="WTB28" s="3468"/>
      <c r="WTC28" s="3468"/>
      <c r="WTD28" s="3468"/>
      <c r="WTE28" s="3468"/>
      <c r="WTF28" s="3468"/>
      <c r="WTG28" s="3468"/>
      <c r="WTH28" s="3468"/>
      <c r="WTI28" s="3468"/>
      <c r="WTJ28" s="3468"/>
      <c r="WTK28" s="3468"/>
      <c r="WTL28" s="3468"/>
      <c r="WTM28" s="3468"/>
      <c r="WTN28" s="3468"/>
      <c r="WTO28" s="3468"/>
      <c r="WTP28" s="3468"/>
      <c r="WTQ28" s="3468"/>
      <c r="WTR28" s="3468"/>
      <c r="WTS28" s="3468"/>
      <c r="WTT28" s="3468"/>
      <c r="WTU28" s="3468"/>
      <c r="WTV28" s="3468"/>
      <c r="WTW28" s="3468"/>
      <c r="WTX28" s="3468"/>
      <c r="WTY28" s="3468"/>
      <c r="WTZ28" s="3468"/>
      <c r="WUA28" s="3468"/>
      <c r="WUB28" s="3468"/>
      <c r="WUC28" s="3468"/>
      <c r="WUD28" s="3468"/>
      <c r="WUE28" s="3468"/>
      <c r="WUF28" s="3468"/>
      <c r="WUG28" s="3468"/>
      <c r="WUH28" s="3468"/>
      <c r="WUI28" s="3468"/>
      <c r="WUJ28" s="3468"/>
      <c r="WUK28" s="3468"/>
      <c r="WUL28" s="3468"/>
      <c r="WUM28" s="3468"/>
      <c r="WUN28" s="3468"/>
      <c r="WUO28" s="3468"/>
      <c r="WUP28" s="3468"/>
      <c r="WUQ28" s="3468"/>
      <c r="WUR28" s="3468"/>
      <c r="WUS28" s="3468"/>
      <c r="WUT28" s="3468"/>
      <c r="WUU28" s="3468"/>
      <c r="WUV28" s="3468"/>
      <c r="WUW28" s="3468"/>
      <c r="WUX28" s="3468"/>
      <c r="WUY28" s="3468"/>
      <c r="WUZ28" s="3468"/>
      <c r="WVA28" s="3468"/>
      <c r="WVB28" s="3468"/>
      <c r="WVC28" s="3468"/>
      <c r="WVD28" s="3468"/>
      <c r="WVE28" s="3468"/>
      <c r="WVF28" s="3468"/>
      <c r="WVG28" s="3468"/>
      <c r="WVH28" s="3468"/>
      <c r="WVI28" s="3468"/>
      <c r="WVJ28" s="3468"/>
      <c r="WVK28" s="3468"/>
      <c r="WVL28" s="3468"/>
      <c r="WVM28" s="3468"/>
      <c r="WVN28" s="3468"/>
      <c r="WVO28" s="3468"/>
      <c r="WVP28" s="3468"/>
      <c r="WVQ28" s="3468"/>
      <c r="WVR28" s="3468"/>
      <c r="WVS28" s="3468"/>
      <c r="WVT28" s="3468"/>
      <c r="WVU28" s="3468"/>
      <c r="WVV28" s="3468"/>
      <c r="WVW28" s="3468"/>
      <c r="WVX28" s="3468"/>
      <c r="WVY28" s="3468"/>
      <c r="WVZ28" s="3468"/>
      <c r="WWA28" s="3468"/>
      <c r="WWB28" s="3468"/>
      <c r="WWC28" s="3468"/>
      <c r="WWD28" s="3468"/>
      <c r="WWE28" s="3468"/>
      <c r="WWF28" s="3468"/>
      <c r="WWG28" s="3468"/>
      <c r="WWH28" s="3468"/>
      <c r="WWI28" s="3468"/>
      <c r="WWJ28" s="3468"/>
      <c r="WWK28" s="3468"/>
      <c r="WWL28" s="3468"/>
      <c r="WWM28" s="3468"/>
      <c r="WWN28" s="3468"/>
      <c r="WWO28" s="3468"/>
      <c r="WWP28" s="3468"/>
      <c r="WWQ28" s="3468"/>
      <c r="WWR28" s="3468"/>
      <c r="WWS28" s="3468"/>
      <c r="WWT28" s="3468"/>
      <c r="WWU28" s="3468"/>
      <c r="WWV28" s="3468"/>
      <c r="WWW28" s="3468"/>
      <c r="WWX28" s="3468"/>
      <c r="WWY28" s="3468"/>
      <c r="WWZ28" s="3468"/>
      <c r="WXA28" s="3468"/>
      <c r="WXB28" s="3468"/>
      <c r="WXC28" s="3468"/>
      <c r="WXD28" s="3468"/>
      <c r="WXE28" s="3468"/>
      <c r="WXF28" s="3468"/>
      <c r="WXG28" s="3468"/>
      <c r="WXH28" s="3468"/>
      <c r="WXI28" s="3468"/>
      <c r="WXJ28" s="3468"/>
      <c r="WXK28" s="3468"/>
      <c r="WXL28" s="3468"/>
      <c r="WXM28" s="3468"/>
      <c r="WXN28" s="3468"/>
      <c r="WXO28" s="3468"/>
      <c r="WXP28" s="3468"/>
      <c r="WXQ28" s="3468"/>
      <c r="WXR28" s="3468"/>
      <c r="WXS28" s="3468"/>
      <c r="WXT28" s="3468"/>
      <c r="WXU28" s="3468"/>
      <c r="WXV28" s="3468"/>
      <c r="WXW28" s="3468"/>
      <c r="WXX28" s="3468"/>
      <c r="WXY28" s="3468"/>
      <c r="WXZ28" s="3468"/>
      <c r="WYA28" s="3468"/>
      <c r="WYB28" s="3468"/>
      <c r="WYC28" s="3468"/>
      <c r="WYD28" s="3468"/>
      <c r="WYE28" s="3468"/>
      <c r="WYF28" s="3468"/>
      <c r="WYG28" s="3468"/>
      <c r="WYH28" s="3468"/>
      <c r="WYI28" s="3468"/>
      <c r="WYJ28" s="3468"/>
      <c r="WYK28" s="3468"/>
      <c r="WYL28" s="3468"/>
      <c r="WYM28" s="3468"/>
      <c r="WYN28" s="3468"/>
      <c r="WYO28" s="3468"/>
      <c r="WYP28" s="3468"/>
      <c r="WYQ28" s="3468"/>
      <c r="WYR28" s="3468"/>
      <c r="WYS28" s="3468"/>
      <c r="WYT28" s="3468"/>
      <c r="WYU28" s="3468"/>
      <c r="WYV28" s="3468"/>
      <c r="WYW28" s="3468"/>
      <c r="WYX28" s="3468"/>
      <c r="WYY28" s="3468"/>
      <c r="WYZ28" s="3468"/>
      <c r="WZA28" s="3468"/>
      <c r="WZB28" s="3468"/>
      <c r="WZC28" s="3468"/>
      <c r="WZD28" s="3468"/>
      <c r="WZE28" s="3468"/>
      <c r="WZF28" s="3468"/>
      <c r="WZG28" s="3468"/>
      <c r="WZH28" s="3468"/>
      <c r="WZI28" s="3468"/>
      <c r="WZJ28" s="3468"/>
      <c r="WZK28" s="3468"/>
      <c r="WZL28" s="3468"/>
      <c r="WZM28" s="3468"/>
      <c r="WZN28" s="3468"/>
      <c r="WZO28" s="3468"/>
      <c r="WZP28" s="3468"/>
      <c r="WZQ28" s="3468"/>
      <c r="WZR28" s="3468"/>
      <c r="WZS28" s="3468"/>
      <c r="WZT28" s="3468"/>
      <c r="WZU28" s="3468"/>
      <c r="WZV28" s="3468"/>
      <c r="WZW28" s="3468"/>
      <c r="WZX28" s="3468"/>
      <c r="WZY28" s="3468"/>
      <c r="WZZ28" s="3468"/>
      <c r="XAA28" s="3468"/>
      <c r="XAB28" s="3468"/>
      <c r="XAC28" s="3468"/>
      <c r="XAD28" s="3468"/>
      <c r="XAE28" s="3468"/>
      <c r="XAF28" s="3468"/>
      <c r="XAG28" s="3468"/>
      <c r="XAH28" s="3468"/>
      <c r="XAI28" s="3468"/>
      <c r="XAJ28" s="3468"/>
      <c r="XAK28" s="3468"/>
      <c r="XAL28" s="3468"/>
      <c r="XAM28" s="3468"/>
      <c r="XAN28" s="3468"/>
      <c r="XAO28" s="3468"/>
      <c r="XAP28" s="3468"/>
      <c r="XAQ28" s="3468"/>
      <c r="XAR28" s="3468"/>
      <c r="XAS28" s="3468"/>
      <c r="XAT28" s="3468"/>
      <c r="XAU28" s="3468"/>
      <c r="XAV28" s="3468"/>
      <c r="XAW28" s="3468"/>
      <c r="XAX28" s="3468"/>
      <c r="XAY28" s="3468"/>
      <c r="XAZ28" s="3468"/>
      <c r="XBA28" s="3468"/>
      <c r="XBB28" s="3468"/>
      <c r="XBC28" s="3468"/>
      <c r="XBD28" s="3468"/>
      <c r="XBE28" s="3468"/>
      <c r="XBF28" s="3468"/>
      <c r="XBG28" s="3468"/>
      <c r="XBH28" s="3468"/>
      <c r="XBI28" s="3468"/>
      <c r="XBJ28" s="3468"/>
      <c r="XBK28" s="3468"/>
      <c r="XBL28" s="3468"/>
      <c r="XBM28" s="3468"/>
      <c r="XBN28" s="3468"/>
      <c r="XBO28" s="3468"/>
      <c r="XBP28" s="3468"/>
      <c r="XBQ28" s="3468"/>
      <c r="XBR28" s="3468"/>
      <c r="XBS28" s="3468"/>
      <c r="XBT28" s="3468"/>
      <c r="XBU28" s="3468"/>
      <c r="XBV28" s="3468"/>
      <c r="XBW28" s="3468"/>
      <c r="XBX28" s="3468"/>
      <c r="XBY28" s="3468"/>
      <c r="XBZ28" s="3468"/>
      <c r="XCA28" s="3468"/>
      <c r="XCB28" s="3468"/>
      <c r="XCC28" s="3468"/>
      <c r="XCD28" s="3468"/>
      <c r="XCE28" s="3468"/>
      <c r="XCF28" s="3468"/>
      <c r="XCG28" s="3468"/>
      <c r="XCH28" s="3468"/>
      <c r="XCI28" s="3468"/>
      <c r="XCJ28" s="3468"/>
      <c r="XCK28" s="3468"/>
      <c r="XCL28" s="3468"/>
      <c r="XCM28" s="3468"/>
      <c r="XCN28" s="3468"/>
      <c r="XCO28" s="3468"/>
      <c r="XCP28" s="3468"/>
      <c r="XCQ28" s="3468"/>
      <c r="XCR28" s="3468"/>
      <c r="XCS28" s="3468"/>
      <c r="XCT28" s="3468"/>
      <c r="XCU28" s="3468"/>
      <c r="XCV28" s="3468"/>
      <c r="XCW28" s="3468"/>
      <c r="XCX28" s="3468"/>
      <c r="XCY28" s="3468"/>
      <c r="XCZ28" s="3468"/>
      <c r="XDA28" s="3468"/>
      <c r="XDB28" s="3468"/>
      <c r="XDC28" s="3468"/>
      <c r="XDD28" s="3468"/>
      <c r="XDE28" s="3468"/>
      <c r="XDF28" s="3468"/>
      <c r="XDG28" s="3468"/>
      <c r="XDH28" s="3468"/>
      <c r="XDI28" s="3468"/>
      <c r="XDJ28" s="3468"/>
      <c r="XDK28" s="3468"/>
      <c r="XDL28" s="3468"/>
      <c r="XDM28" s="3468"/>
      <c r="XDN28" s="3468"/>
      <c r="XDO28" s="3468"/>
      <c r="XDP28" s="3468"/>
      <c r="XDQ28" s="3468"/>
      <c r="XDR28" s="3468"/>
      <c r="XDS28" s="3468"/>
      <c r="XDT28" s="3468"/>
      <c r="XDU28" s="3468"/>
      <c r="XDV28" s="3468"/>
      <c r="XDW28" s="3468"/>
      <c r="XDX28" s="3468"/>
      <c r="XDY28" s="3468"/>
      <c r="XDZ28" s="3468"/>
      <c r="XEA28" s="3468"/>
      <c r="XEB28" s="3468"/>
      <c r="XEC28" s="3468"/>
      <c r="XED28" s="3468"/>
      <c r="XEE28" s="3468"/>
      <c r="XEF28" s="3468"/>
      <c r="XEG28" s="3468"/>
      <c r="XEH28" s="3468"/>
      <c r="XEI28" s="3468"/>
      <c r="XEJ28" s="3468"/>
      <c r="XEK28" s="3468"/>
      <c r="XEL28" s="3468"/>
      <c r="XEM28" s="3468"/>
      <c r="XEN28" s="3468"/>
      <c r="XEO28" s="3468"/>
      <c r="XEP28" s="3468"/>
      <c r="XEQ28" s="3468"/>
    </row>
  </sheetData>
  <mergeCells count="1">
    <mergeCell ref="B26:B27"/>
  </mergeCells>
  <phoneticPr fontId="23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0D5D-70F3-4A21-BE72-03D19A88D988}">
  <dimension ref="A1:V11"/>
  <sheetViews>
    <sheetView topLeftCell="E6" workbookViewId="0">
      <selection activeCell="V5" sqref="V5"/>
    </sheetView>
  </sheetViews>
  <sheetFormatPr defaultColWidth="9" defaultRowHeight="13.5"/>
  <cols>
    <col min="1" max="1" width="9" style="5"/>
    <col min="2" max="2" width="10.75" style="5" bestFit="1" customWidth="1"/>
    <col min="3" max="3" width="9" style="5"/>
    <col min="4" max="4" width="13.125" style="5" customWidth="1"/>
    <col min="5" max="11" width="9" style="5"/>
    <col min="12" max="12" width="15.25" style="5" customWidth="1"/>
    <col min="13" max="16384" width="9" style="5"/>
  </cols>
  <sheetData>
    <row r="1" spans="1:22" ht="14.25" thickBot="1">
      <c r="A1" s="3879" t="s">
        <v>2347</v>
      </c>
      <c r="B1" s="3870" t="s">
        <v>102</v>
      </c>
      <c r="C1" s="3870" t="s">
        <v>2348</v>
      </c>
      <c r="D1" s="3870" t="s">
        <v>2349</v>
      </c>
      <c r="E1" s="3870" t="s">
        <v>2350</v>
      </c>
      <c r="F1" s="3876" t="s">
        <v>2351</v>
      </c>
      <c r="G1" s="3877"/>
      <c r="H1" s="3878"/>
      <c r="I1" s="3874" t="s">
        <v>2352</v>
      </c>
      <c r="J1" s="3870" t="s">
        <v>2353</v>
      </c>
      <c r="K1" s="3870" t="s">
        <v>2354</v>
      </c>
      <c r="L1" s="3870" t="s">
        <v>2355</v>
      </c>
      <c r="M1" s="3870" t="s">
        <v>2356</v>
      </c>
      <c r="N1" s="3870" t="s">
        <v>2357</v>
      </c>
      <c r="O1" s="3870" t="s">
        <v>2358</v>
      </c>
      <c r="P1" s="3870" t="s">
        <v>2359</v>
      </c>
      <c r="Q1" s="3872" t="s">
        <v>2360</v>
      </c>
    </row>
    <row r="2" spans="1:22" ht="14.25" thickBot="1">
      <c r="A2" s="3880"/>
      <c r="B2" s="3871"/>
      <c r="C2" s="3871"/>
      <c r="D2" s="3871"/>
      <c r="E2" s="3871"/>
      <c r="F2" s="3303"/>
      <c r="G2" s="3303"/>
      <c r="H2" s="3303"/>
      <c r="I2" s="3875"/>
      <c r="J2" s="3871"/>
      <c r="K2" s="3871"/>
      <c r="L2" s="3871"/>
      <c r="M2" s="3871"/>
      <c r="N2" s="3871"/>
      <c r="O2" s="3871"/>
      <c r="P2" s="3871"/>
      <c r="Q2" s="3873"/>
      <c r="R2" s="5" t="s">
        <v>2361</v>
      </c>
    </row>
    <row r="3" spans="1:22" ht="90" thickBot="1">
      <c r="A3" s="3304" t="s">
        <v>2362</v>
      </c>
      <c r="B3" s="3305" t="s">
        <v>2363</v>
      </c>
      <c r="C3" s="3306" t="s">
        <v>2364</v>
      </c>
      <c r="D3" s="3307">
        <v>44153</v>
      </c>
      <c r="E3" s="3306">
        <v>570500</v>
      </c>
      <c r="F3" s="3306">
        <v>51788.13</v>
      </c>
      <c r="G3" s="3306">
        <v>51788.13</v>
      </c>
      <c r="H3" s="3306">
        <v>0</v>
      </c>
      <c r="I3" s="3306">
        <v>184800</v>
      </c>
      <c r="J3" s="3306" t="s">
        <v>2365</v>
      </c>
      <c r="K3" s="3306" t="s">
        <v>2366</v>
      </c>
      <c r="L3" s="3307">
        <v>44167</v>
      </c>
      <c r="M3" s="3306">
        <v>579500</v>
      </c>
      <c r="N3" s="3306" t="s">
        <v>2367</v>
      </c>
      <c r="O3" s="3306" t="s">
        <v>2368</v>
      </c>
      <c r="P3" s="3306"/>
      <c r="Q3" s="3308">
        <v>115000</v>
      </c>
      <c r="R3" s="5">
        <f>M3*10000/I3</f>
        <v>31358.22510822511</v>
      </c>
      <c r="S3" s="5" t="s">
        <v>2369</v>
      </c>
      <c r="T3" s="5">
        <v>1.3</v>
      </c>
    </row>
    <row r="4" spans="1:22" ht="14.25" thickBot="1"/>
    <row r="5" spans="1:22" s="3365" customFormat="1" ht="161.25" thickBot="1">
      <c r="A5" s="3361" t="s">
        <v>2370</v>
      </c>
      <c r="B5" s="3459" t="s">
        <v>2810</v>
      </c>
      <c r="C5" s="3362" t="s">
        <v>2371</v>
      </c>
      <c r="D5" s="3363">
        <v>43872</v>
      </c>
      <c r="E5" s="3362">
        <v>603400</v>
      </c>
      <c r="F5" s="3362">
        <v>67309.960000000006</v>
      </c>
      <c r="G5" s="3362">
        <v>67309.960000000006</v>
      </c>
      <c r="H5" s="3362">
        <v>0</v>
      </c>
      <c r="I5" s="3362">
        <v>162845</v>
      </c>
      <c r="J5" s="3362" t="s">
        <v>2365</v>
      </c>
      <c r="K5" s="3362" t="s">
        <v>2372</v>
      </c>
      <c r="L5" s="3363">
        <v>43886</v>
      </c>
      <c r="M5" s="3362">
        <v>760000</v>
      </c>
      <c r="N5" s="3362" t="s">
        <v>2373</v>
      </c>
      <c r="O5" s="3362" t="s">
        <v>2374</v>
      </c>
      <c r="P5" s="3362"/>
      <c r="Q5" s="3364">
        <v>121000</v>
      </c>
      <c r="R5" s="3365">
        <f t="shared" ref="R5:R6" si="0">M5*10000/I5</f>
        <v>46670.14645828856</v>
      </c>
      <c r="V5" s="3460" t="s">
        <v>2811</v>
      </c>
    </row>
    <row r="6" spans="1:22" s="3365" customFormat="1" ht="114" thickBot="1">
      <c r="A6" s="3361" t="s">
        <v>2375</v>
      </c>
      <c r="B6" s="3459" t="s">
        <v>2808</v>
      </c>
      <c r="C6" s="3362" t="s">
        <v>2376</v>
      </c>
      <c r="D6" s="3363">
        <v>43852</v>
      </c>
      <c r="E6" s="3362">
        <v>0</v>
      </c>
      <c r="F6" s="3362">
        <v>101366.808</v>
      </c>
      <c r="G6" s="3362">
        <v>47115.366000000002</v>
      </c>
      <c r="H6" s="3362">
        <v>54251.442000000003</v>
      </c>
      <c r="I6" s="3362">
        <v>99865</v>
      </c>
      <c r="J6" s="3362" t="s">
        <v>2377</v>
      </c>
      <c r="K6" s="3362" t="s">
        <v>2378</v>
      </c>
      <c r="L6" s="3363">
        <v>43853</v>
      </c>
      <c r="M6" s="3362">
        <v>278800</v>
      </c>
      <c r="N6" s="3362" t="s">
        <v>2379</v>
      </c>
      <c r="O6" s="3362" t="s">
        <v>2380</v>
      </c>
      <c r="P6" s="3362"/>
      <c r="Q6" s="3364">
        <v>56500</v>
      </c>
      <c r="R6" s="3365">
        <f t="shared" si="0"/>
        <v>27917.688879987985</v>
      </c>
      <c r="T6" s="3365">
        <f>(R5+R6)/2</f>
        <v>37293.917669138275</v>
      </c>
      <c r="V6" s="3460" t="s">
        <v>2809</v>
      </c>
    </row>
    <row r="7" spans="1:22" ht="128.25" thickBot="1">
      <c r="A7" s="3304" t="s">
        <v>2381</v>
      </c>
      <c r="B7" s="3305" t="s">
        <v>2382</v>
      </c>
      <c r="C7" s="3306" t="s">
        <v>2383</v>
      </c>
      <c r="D7" s="3307">
        <v>43798</v>
      </c>
      <c r="E7" s="3306">
        <v>0</v>
      </c>
      <c r="F7" s="3306">
        <v>70601.065000000002</v>
      </c>
      <c r="G7" s="3306">
        <v>70601.065000000002</v>
      </c>
      <c r="H7" s="3306">
        <v>0</v>
      </c>
      <c r="I7" s="3306">
        <v>285523</v>
      </c>
      <c r="J7" s="3306" t="s">
        <v>2377</v>
      </c>
      <c r="K7" s="3306" t="s">
        <v>2384</v>
      </c>
      <c r="L7" s="3307">
        <v>43801</v>
      </c>
      <c r="M7" s="3306">
        <v>660900</v>
      </c>
      <c r="N7" s="3306" t="s">
        <v>2385</v>
      </c>
      <c r="O7" s="3306" t="s">
        <v>2386</v>
      </c>
      <c r="P7" s="3306"/>
      <c r="Q7" s="3308">
        <v>131000</v>
      </c>
      <c r="R7" s="5">
        <f>M7*10000/I7</f>
        <v>23146.996914434214</v>
      </c>
      <c r="S7" s="5" t="s">
        <v>2387</v>
      </c>
      <c r="T7" s="5">
        <v>4.04</v>
      </c>
    </row>
    <row r="8" spans="1:22" ht="64.5" thickBot="1">
      <c r="A8" s="3309" t="s">
        <v>2388</v>
      </c>
      <c r="B8" s="3310" t="s">
        <v>2389</v>
      </c>
      <c r="C8" s="3311" t="s">
        <v>2390</v>
      </c>
      <c r="D8" s="3312">
        <v>43636</v>
      </c>
      <c r="E8" s="3311">
        <v>103700</v>
      </c>
      <c r="F8" s="3311">
        <v>22035.93</v>
      </c>
      <c r="G8" s="3311">
        <v>22035.93</v>
      </c>
      <c r="H8" s="3311">
        <v>0</v>
      </c>
      <c r="I8" s="3311">
        <v>61700.603999999999</v>
      </c>
      <c r="J8" s="3311" t="s">
        <v>2365</v>
      </c>
      <c r="K8" s="3311" t="s">
        <v>2391</v>
      </c>
      <c r="L8" s="3312">
        <v>43650</v>
      </c>
      <c r="M8" s="3311">
        <v>103700</v>
      </c>
      <c r="N8" s="3311" t="s">
        <v>2392</v>
      </c>
      <c r="O8" s="3311" t="s">
        <v>2393</v>
      </c>
      <c r="P8" s="3311">
        <v>0</v>
      </c>
      <c r="Q8" s="3313">
        <v>21000</v>
      </c>
      <c r="R8" s="5">
        <f>M8*10000/I8</f>
        <v>16806.966751897598</v>
      </c>
      <c r="S8" s="5" t="s">
        <v>2394</v>
      </c>
      <c r="T8" s="5">
        <v>2.8</v>
      </c>
    </row>
    <row r="9" spans="1:22" ht="102.75" thickBot="1">
      <c r="A9" s="3304" t="s">
        <v>2395</v>
      </c>
      <c r="B9" s="3305" t="s">
        <v>2396</v>
      </c>
      <c r="C9" s="3306" t="s">
        <v>2371</v>
      </c>
      <c r="D9" s="3307">
        <v>43599</v>
      </c>
      <c r="E9" s="3306">
        <v>263800</v>
      </c>
      <c r="F9" s="3306">
        <v>32158.94</v>
      </c>
      <c r="G9" s="3306">
        <v>32158.94</v>
      </c>
      <c r="H9" s="3306">
        <v>0</v>
      </c>
      <c r="I9" s="3306">
        <v>96476.82</v>
      </c>
      <c r="J9" s="3306" t="s">
        <v>2365</v>
      </c>
      <c r="K9" s="3306" t="s">
        <v>2397</v>
      </c>
      <c r="L9" s="3307">
        <v>43613</v>
      </c>
      <c r="M9" s="3306">
        <v>263800</v>
      </c>
      <c r="N9" s="3306" t="s">
        <v>2398</v>
      </c>
      <c r="O9" s="3306" t="s">
        <v>2393</v>
      </c>
      <c r="P9" s="3306">
        <v>0</v>
      </c>
      <c r="Q9" s="3308">
        <v>53000</v>
      </c>
      <c r="R9" s="5">
        <f>M9*10000/I9</f>
        <v>27343.355637136461</v>
      </c>
      <c r="S9" s="5" t="s">
        <v>2399</v>
      </c>
      <c r="T9" s="5">
        <v>3</v>
      </c>
    </row>
    <row r="11" spans="1:22">
      <c r="R11" s="5">
        <f>AVERAGE(R8:R9)</f>
        <v>22075.16119451703</v>
      </c>
    </row>
  </sheetData>
  <mergeCells count="15">
    <mergeCell ref="F1:H1"/>
    <mergeCell ref="A1:A2"/>
    <mergeCell ref="B1:B2"/>
    <mergeCell ref="C1:C2"/>
    <mergeCell ref="D1:D2"/>
    <mergeCell ref="E1:E2"/>
    <mergeCell ref="O1:O2"/>
    <mergeCell ref="P1:P2"/>
    <mergeCell ref="Q1:Q2"/>
    <mergeCell ref="I1:I2"/>
    <mergeCell ref="J1:J2"/>
    <mergeCell ref="K1:K2"/>
    <mergeCell ref="L1:L2"/>
    <mergeCell ref="M1:M2"/>
    <mergeCell ref="N1:N2"/>
  </mergeCells>
  <phoneticPr fontId="23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2B1D-718F-47B7-94C0-A167D9DF884C}">
  <dimension ref="A1:P48"/>
  <sheetViews>
    <sheetView workbookViewId="0">
      <selection activeCell="I15" sqref="I15"/>
    </sheetView>
  </sheetViews>
  <sheetFormatPr defaultColWidth="9" defaultRowHeight="14.25"/>
  <cols>
    <col min="1" max="1" width="9" style="3275"/>
    <col min="2" max="2" width="14.125" style="3275" customWidth="1"/>
    <col min="3" max="3" width="12" style="3275" customWidth="1"/>
    <col min="4" max="4" width="12.5" style="3275" customWidth="1"/>
    <col min="5" max="5" width="8.625" style="3275" customWidth="1"/>
    <col min="6" max="6" width="13" style="3275" customWidth="1"/>
    <col min="7" max="7" width="14.5" style="3275" customWidth="1"/>
    <col min="8" max="8" width="18.875" style="3275" customWidth="1"/>
    <col min="9" max="9" width="24.375" style="3275" customWidth="1"/>
    <col min="10" max="16384" width="9" style="3275"/>
  </cols>
  <sheetData>
    <row r="1" spans="1:15">
      <c r="A1" s="3275" t="s">
        <v>2400</v>
      </c>
      <c r="B1" s="3275" t="s">
        <v>2401</v>
      </c>
      <c r="C1" s="3275" t="s">
        <v>2402</v>
      </c>
      <c r="D1" s="3275" t="s">
        <v>2401</v>
      </c>
      <c r="E1" s="3275" t="s">
        <v>2402</v>
      </c>
    </row>
    <row r="2" spans="1:15">
      <c r="A2" s="3275" t="s">
        <v>2403</v>
      </c>
      <c r="B2" s="3275">
        <v>8170</v>
      </c>
      <c r="C2" s="3275">
        <v>12136</v>
      </c>
      <c r="D2" s="3275">
        <v>8170</v>
      </c>
      <c r="E2" s="3275">
        <v>13155</v>
      </c>
      <c r="F2" s="3275">
        <f>(C2+E2)/2</f>
        <v>12645.5</v>
      </c>
    </row>
    <row r="3" spans="1:15">
      <c r="A3" s="3275" t="s">
        <v>2404</v>
      </c>
      <c r="B3" s="3275">
        <v>8140</v>
      </c>
      <c r="C3" s="3275">
        <v>11541</v>
      </c>
      <c r="D3" s="3275">
        <v>8140</v>
      </c>
      <c r="E3" s="3275">
        <v>12550</v>
      </c>
      <c r="M3" s="3275" t="s">
        <v>2403</v>
      </c>
      <c r="N3" s="3275" t="s">
        <v>2404</v>
      </c>
      <c r="O3" s="3275" t="s">
        <v>2405</v>
      </c>
    </row>
    <row r="4" spans="1:15">
      <c r="M4" s="3275">
        <v>1.3963000000000001</v>
      </c>
      <c r="N4" s="3275">
        <v>1.3963000000000001</v>
      </c>
      <c r="O4" s="3275">
        <v>1.7797000000000001</v>
      </c>
    </row>
    <row r="5" spans="1:15">
      <c r="M5" s="3275">
        <v>1.3906000000000001</v>
      </c>
      <c r="N5" s="3275">
        <v>1.3906000000000001</v>
      </c>
      <c r="O5" s="3275">
        <v>1.7712000000000001</v>
      </c>
    </row>
    <row r="6" spans="1:15">
      <c r="A6" s="3275" t="s">
        <v>2406</v>
      </c>
      <c r="M6" s="3275">
        <v>1.3906000000000001</v>
      </c>
      <c r="N6" s="3275">
        <v>1.3906000000000001</v>
      </c>
      <c r="O6" s="3275">
        <v>1.7712000000000001</v>
      </c>
    </row>
    <row r="7" spans="1:15">
      <c r="A7" s="3275" t="s">
        <v>2403</v>
      </c>
      <c r="B7" s="3275">
        <v>8170</v>
      </c>
      <c r="C7" s="3275">
        <v>13640</v>
      </c>
      <c r="M7" s="3275">
        <v>1.3807</v>
      </c>
      <c r="N7" s="3275">
        <v>1.3807</v>
      </c>
      <c r="O7" s="3275">
        <v>1.7545999999999999</v>
      </c>
    </row>
    <row r="8" spans="1:15">
      <c r="A8" s="3275" t="s">
        <v>2404</v>
      </c>
      <c r="B8" s="3275">
        <v>8140</v>
      </c>
      <c r="C8" s="3275">
        <v>13576</v>
      </c>
      <c r="D8" s="3275">
        <v>10490</v>
      </c>
      <c r="E8" s="3275">
        <v>12048</v>
      </c>
      <c r="L8" s="3881">
        <v>2020</v>
      </c>
      <c r="M8" s="3314">
        <v>1.3785000000000001</v>
      </c>
      <c r="N8" s="3314">
        <v>1.3785000000000001</v>
      </c>
      <c r="O8" s="3314">
        <v>1.7353000000000001</v>
      </c>
    </row>
    <row r="9" spans="1:15">
      <c r="E9" s="3275" t="s">
        <v>2401</v>
      </c>
      <c r="G9" s="3275">
        <v>2018</v>
      </c>
      <c r="H9" s="3275">
        <v>2019</v>
      </c>
      <c r="I9" s="3275">
        <v>2020</v>
      </c>
      <c r="L9" s="3881"/>
      <c r="M9" s="3275">
        <v>1.3734</v>
      </c>
      <c r="N9" s="3275">
        <v>1.3734</v>
      </c>
      <c r="O9" s="3275">
        <v>1.6955</v>
      </c>
    </row>
    <row r="10" spans="1:15">
      <c r="G10" s="3315"/>
      <c r="H10" s="3315"/>
      <c r="I10" s="3315"/>
      <c r="L10" s="3881"/>
      <c r="M10" s="3275">
        <v>1.3788</v>
      </c>
      <c r="N10" s="3275">
        <v>1.3788</v>
      </c>
      <c r="O10" s="3275">
        <v>1.6872</v>
      </c>
    </row>
    <row r="11" spans="1:15">
      <c r="G11" s="3315"/>
      <c r="H11" s="3315"/>
      <c r="I11" s="3315"/>
      <c r="L11" s="3881"/>
      <c r="M11" s="3275">
        <v>1.3895999999999999</v>
      </c>
      <c r="N11" s="3275">
        <v>1.3895999999999999</v>
      </c>
      <c r="O11" s="3275">
        <v>1.6788000000000001</v>
      </c>
    </row>
    <row r="12" spans="1:15">
      <c r="E12" s="3275" t="s">
        <v>2405</v>
      </c>
      <c r="F12" s="3275">
        <f>基准地价!C6</f>
        <v>6050</v>
      </c>
      <c r="G12" s="3315">
        <f>F12*O16</f>
        <v>9799.1849999999995</v>
      </c>
      <c r="H12" s="3315">
        <f>F12*O12</f>
        <v>10135.565000000001</v>
      </c>
      <c r="I12" s="3315">
        <f>F12*O8</f>
        <v>10498.565000000001</v>
      </c>
      <c r="L12" s="3881">
        <v>2019</v>
      </c>
      <c r="M12" s="3314">
        <v>1.3952</v>
      </c>
      <c r="N12" s="3314">
        <v>1.3952</v>
      </c>
      <c r="O12" s="3314">
        <v>1.6753</v>
      </c>
    </row>
    <row r="13" spans="1:15">
      <c r="B13" s="3275" t="s">
        <v>2400</v>
      </c>
      <c r="C13" s="3275" t="s">
        <v>2403</v>
      </c>
      <c r="D13" s="3275" t="s">
        <v>2404</v>
      </c>
      <c r="L13" s="3881"/>
      <c r="M13" s="3275">
        <v>1.3969</v>
      </c>
      <c r="N13" s="3275">
        <v>1.3969</v>
      </c>
      <c r="O13" s="3275">
        <v>1.6662999999999999</v>
      </c>
    </row>
    <row r="14" spans="1:15">
      <c r="C14" s="3275">
        <f>C2</f>
        <v>12136</v>
      </c>
      <c r="D14" s="3275">
        <f>C3</f>
        <v>11541</v>
      </c>
      <c r="L14" s="3881"/>
      <c r="M14" s="3275">
        <v>1.3875999999999999</v>
      </c>
      <c r="N14" s="3275">
        <v>1.3875999999999999</v>
      </c>
      <c r="O14" s="3275">
        <v>1.6563000000000001</v>
      </c>
    </row>
    <row r="15" spans="1:15">
      <c r="C15" s="3275">
        <f>E2</f>
        <v>13155</v>
      </c>
      <c r="D15" s="3275">
        <f>E3</f>
        <v>12550</v>
      </c>
      <c r="L15" s="3881"/>
      <c r="M15" s="3275">
        <v>1.3736999999999999</v>
      </c>
      <c r="N15" s="3275">
        <v>1.3736999999999999</v>
      </c>
      <c r="O15" s="3275">
        <v>1.6298999999999999</v>
      </c>
    </row>
    <row r="16" spans="1:15" s="3316" customFormat="1">
      <c r="B16" s="3316" t="s">
        <v>2407</v>
      </c>
      <c r="C16" s="3316">
        <f>ROUND((C14+C15)/2,0)</f>
        <v>12646</v>
      </c>
      <c r="D16" s="3316">
        <f>ROUND((D14+D15)/2,0)</f>
        <v>12046</v>
      </c>
      <c r="K16" s="3316">
        <v>1.3455999999999999</v>
      </c>
      <c r="L16" s="3882">
        <v>2018</v>
      </c>
      <c r="M16" s="3317">
        <v>1.3686</v>
      </c>
      <c r="N16" s="3317">
        <v>1.3686</v>
      </c>
      <c r="O16" s="3317">
        <v>1.6196999999999999</v>
      </c>
    </row>
    <row r="17" spans="2:15">
      <c r="B17" s="3275" t="str">
        <f>A6</f>
        <v>2019年</v>
      </c>
      <c r="C17" s="3275" t="s">
        <v>2403</v>
      </c>
      <c r="D17" s="3275" t="s">
        <v>2404</v>
      </c>
      <c r="L17" s="3882"/>
      <c r="M17" s="3275">
        <v>1.3547</v>
      </c>
      <c r="N17" s="3275">
        <v>1.3547</v>
      </c>
      <c r="O17" s="3275">
        <v>1.605</v>
      </c>
    </row>
    <row r="18" spans="2:15">
      <c r="C18" s="3275">
        <f>C7</f>
        <v>13640</v>
      </c>
      <c r="D18" s="3275">
        <f>C8</f>
        <v>13576</v>
      </c>
      <c r="L18" s="3882"/>
      <c r="M18" s="3275">
        <v>1.3358000000000001</v>
      </c>
      <c r="N18" s="3275">
        <v>1.3358000000000001</v>
      </c>
      <c r="O18" s="3275">
        <v>1.5809</v>
      </c>
    </row>
    <row r="19" spans="2:15" s="3316" customFormat="1">
      <c r="B19" s="3316" t="s">
        <v>2407</v>
      </c>
      <c r="C19" s="3316">
        <f>C18</f>
        <v>13640</v>
      </c>
      <c r="D19" s="3316">
        <f>D18</f>
        <v>13576</v>
      </c>
      <c r="L19" s="3882"/>
      <c r="M19" s="3316">
        <v>1.3230999999999999</v>
      </c>
      <c r="N19" s="3316">
        <v>1.3230999999999999</v>
      </c>
      <c r="O19" s="3316">
        <v>1.5564</v>
      </c>
    </row>
    <row r="21" spans="2:15">
      <c r="B21" s="3275">
        <v>2018</v>
      </c>
    </row>
    <row r="22" spans="2:15">
      <c r="C22" s="3275">
        <v>15424</v>
      </c>
      <c r="D22" s="3275">
        <v>13971</v>
      </c>
    </row>
    <row r="23" spans="2:15">
      <c r="D23" s="3275">
        <v>13971</v>
      </c>
    </row>
    <row r="24" spans="2:15" s="3316" customFormat="1">
      <c r="B24" s="3316" t="s">
        <v>2407</v>
      </c>
      <c r="C24" s="3318">
        <f>AVERAGE(C21:C22)</f>
        <v>15424</v>
      </c>
      <c r="D24" s="3316">
        <f>AVERAGE(D21:D23)</f>
        <v>13971</v>
      </c>
    </row>
    <row r="27" spans="2:15" hidden="1"/>
    <row r="28" spans="2:15" hidden="1">
      <c r="F28" s="3275" t="s">
        <v>2401</v>
      </c>
      <c r="G28" s="3275" t="s">
        <v>2408</v>
      </c>
      <c r="H28" s="3275" t="s">
        <v>2409</v>
      </c>
      <c r="I28" s="3275" t="s">
        <v>2410</v>
      </c>
    </row>
    <row r="29" spans="2:15" hidden="1">
      <c r="D29" s="3275" t="s">
        <v>2403</v>
      </c>
      <c r="E29" s="3275" t="s">
        <v>2411</v>
      </c>
      <c r="F29" s="3319">
        <f>G10</f>
        <v>0</v>
      </c>
      <c r="G29" s="3319">
        <v>20066</v>
      </c>
      <c r="I29" s="3275">
        <f>[2]结果汇总表!E12</f>
        <v>18555</v>
      </c>
    </row>
    <row r="30" spans="2:15" hidden="1">
      <c r="E30" s="3275" t="s">
        <v>2406</v>
      </c>
      <c r="F30" s="3319">
        <f>H10</f>
        <v>0</v>
      </c>
      <c r="G30" s="3275">
        <v>21264</v>
      </c>
      <c r="H30" s="3319">
        <v>22423</v>
      </c>
      <c r="I30" s="3275">
        <f>I29</f>
        <v>18555</v>
      </c>
    </row>
    <row r="31" spans="2:15" hidden="1">
      <c r="E31" s="3275" t="s">
        <v>2400</v>
      </c>
      <c r="F31" s="3319">
        <f>I10</f>
        <v>0</v>
      </c>
      <c r="G31" s="3275">
        <v>19215</v>
      </c>
      <c r="H31" s="3319">
        <v>31358</v>
      </c>
      <c r="I31" s="3275">
        <f>I29</f>
        <v>18555</v>
      </c>
    </row>
    <row r="32" spans="2:15" hidden="1">
      <c r="F32" s="3275" t="s">
        <v>2401</v>
      </c>
      <c r="G32" s="3275" t="s">
        <v>2408</v>
      </c>
      <c r="H32" s="3275" t="s">
        <v>2409</v>
      </c>
      <c r="I32" s="3275" t="s">
        <v>2412</v>
      </c>
    </row>
    <row r="33" spans="2:16" hidden="1">
      <c r="D33" s="3275" t="s">
        <v>2404</v>
      </c>
      <c r="E33" s="3275" t="s">
        <v>2411</v>
      </c>
      <c r="F33" s="3319">
        <f>G11</f>
        <v>0</v>
      </c>
      <c r="G33" s="3275">
        <v>16771</v>
      </c>
      <c r="I33" s="3275">
        <f>O33</f>
        <v>17936</v>
      </c>
      <c r="K33" s="3275" t="s">
        <v>2413</v>
      </c>
      <c r="L33" s="3275" t="s">
        <v>2414</v>
      </c>
      <c r="M33" s="3275">
        <f>[2]结果汇总表!G24</f>
        <v>15604</v>
      </c>
      <c r="N33" s="3275">
        <v>0.3</v>
      </c>
      <c r="O33" s="3275">
        <f>M33*N33+M34*N34+M35*N35</f>
        <v>17936</v>
      </c>
      <c r="P33" s="3275">
        <v>4071</v>
      </c>
    </row>
    <row r="34" spans="2:16" hidden="1">
      <c r="E34" s="3275" t="s">
        <v>2406</v>
      </c>
      <c r="F34" s="3319">
        <f>H11</f>
        <v>0</v>
      </c>
      <c r="G34" s="3275">
        <v>18326</v>
      </c>
      <c r="H34" s="3319">
        <f>H30</f>
        <v>22423</v>
      </c>
      <c r="I34" s="3275">
        <f>I33</f>
        <v>17936</v>
      </c>
      <c r="L34" s="3275" t="s">
        <v>2415</v>
      </c>
      <c r="M34" s="3275">
        <f>[2]结果汇总表!G25</f>
        <v>17548</v>
      </c>
      <c r="N34" s="3275">
        <v>0.3</v>
      </c>
    </row>
    <row r="35" spans="2:16" hidden="1">
      <c r="E35" s="3275" t="s">
        <v>2400</v>
      </c>
      <c r="F35" s="3319">
        <f>I11</f>
        <v>0</v>
      </c>
      <c r="G35" s="3275">
        <v>19382</v>
      </c>
      <c r="H35" s="3319">
        <f>H31</f>
        <v>31358</v>
      </c>
      <c r="I35" s="3275">
        <f>I33</f>
        <v>17936</v>
      </c>
      <c r="L35" s="3275" t="s">
        <v>2416</v>
      </c>
      <c r="M35" s="3275">
        <f>[2]结果汇总表!G26</f>
        <v>19976</v>
      </c>
      <c r="N35" s="3275">
        <v>0.4</v>
      </c>
    </row>
    <row r="37" spans="2:16">
      <c r="F37" s="3275" t="s">
        <v>2401</v>
      </c>
      <c r="G37" s="3275" t="s">
        <v>2408</v>
      </c>
      <c r="H37" s="3275" t="s">
        <v>2409</v>
      </c>
      <c r="I37" s="3275" t="s">
        <v>2749</v>
      </c>
    </row>
    <row r="38" spans="2:16">
      <c r="D38" s="3275" t="s">
        <v>2405</v>
      </c>
      <c r="E38" s="3275" t="s">
        <v>2411</v>
      </c>
      <c r="F38" s="3319">
        <f>G12</f>
        <v>9799.1849999999995</v>
      </c>
      <c r="G38" s="3275">
        <f>协议出让土地案例!Z2</f>
        <v>20120</v>
      </c>
      <c r="I38" s="3275">
        <f ca="1">结果汇总表!E9</f>
        <v>20242</v>
      </c>
    </row>
    <row r="39" spans="2:16">
      <c r="E39" s="3275" t="s">
        <v>2406</v>
      </c>
      <c r="F39" s="3319">
        <f>H12</f>
        <v>10135.565000000001</v>
      </c>
      <c r="H39" s="3319"/>
      <c r="I39" s="3275">
        <f ca="1">I38</f>
        <v>20242</v>
      </c>
    </row>
    <row r="40" spans="2:16">
      <c r="E40" s="3275" t="s">
        <v>2400</v>
      </c>
      <c r="F40" s="3319">
        <f>I12</f>
        <v>10498.565000000001</v>
      </c>
      <c r="G40" s="3275">
        <f>协议出让土地案例!Z25</f>
        <v>19622</v>
      </c>
      <c r="H40" s="3319">
        <f>招拍挂!T6</f>
        <v>37293.917669138275</v>
      </c>
      <c r="I40" s="3275">
        <f ca="1">I38</f>
        <v>20242</v>
      </c>
    </row>
    <row r="41" spans="2:16">
      <c r="F41" s="3319"/>
      <c r="G41" s="3319"/>
    </row>
    <row r="43" spans="2:16" ht="15" thickBot="1"/>
    <row r="44" spans="2:16" ht="15.75" thickBot="1">
      <c r="B44" s="3440"/>
      <c r="C44" s="3441"/>
      <c r="D44" s="3442"/>
    </row>
    <row r="45" spans="2:16" ht="15.75" thickBot="1">
      <c r="B45" s="3440"/>
      <c r="C45" s="3440"/>
      <c r="D45" s="3442"/>
    </row>
    <row r="46" spans="2:16" ht="15.75" thickBot="1">
      <c r="B46" s="3443"/>
      <c r="C46" s="3440"/>
      <c r="D46" s="3442"/>
    </row>
    <row r="47" spans="2:16" ht="15.75" thickBot="1">
      <c r="B47" s="3443"/>
      <c r="C47" s="3440"/>
      <c r="D47" s="3442"/>
    </row>
    <row r="48" spans="2:16" ht="15.75" thickBot="1">
      <c r="B48" s="3443"/>
      <c r="C48" s="3440"/>
      <c r="D48" s="3442"/>
    </row>
  </sheetData>
  <mergeCells count="3">
    <mergeCell ref="L8:L11"/>
    <mergeCell ref="L12:L15"/>
    <mergeCell ref="L16:L19"/>
  </mergeCells>
  <phoneticPr fontId="23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154</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结果汇总表</vt:lpstr>
      <vt:lpstr>剩余法-待开发</vt:lpstr>
      <vt:lpstr>不动产比较法-住宅</vt:lpstr>
      <vt:lpstr>剩余法-现房</vt:lpstr>
      <vt:lpstr>比较法-工业</vt:lpstr>
      <vt:lpstr>住宅案例</vt:lpstr>
      <vt:lpstr>基准地价</vt:lpstr>
      <vt:lpstr>修正</vt:lpstr>
      <vt:lpstr>区片价</vt:lpstr>
      <vt:lpstr>容积率修正</vt:lpstr>
      <vt:lpstr>因素修正幅度</vt:lpstr>
      <vt:lpstr>基准地价 (2)</vt:lpstr>
      <vt:lpstr>地价</vt:lpstr>
      <vt:lpstr>基准地价（汇总）</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协议出让土地案例</vt:lpstr>
      <vt:lpstr>招拍挂</vt:lpstr>
      <vt:lpstr>市场分析</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 (2)'!Print_Area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(2)'!季度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2017-03-09T08:11:00Z</cp:lastPrinted>
  <dcterms:created xsi:type="dcterms:W3CDTF">2015-07-13T07:17:00Z</dcterms:created>
  <dcterms:modified xsi:type="dcterms:W3CDTF">2021-11-10T03:10:42Z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9D70608F144D4345ACBB7B1CA02886EE</vt:lpwstr>
  </property>
  <property fmtid="{D5CDD505-2E9C-101B-9397-08002B2CF9AE}" pid="3" name="KSOProductBuildVer">
    <vt:lpwstr>2052-11.1.0.11045</vt:lpwstr>
  </property>
</Properties>
</file>