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35" windowWidth="9630" windowHeight="991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48" i="39" l="1"/>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O70" i="39"/>
  <c r="O72" i="39"/>
  <c r="P70" i="39"/>
  <c r="P72" i="39"/>
  <c r="Q70" i="39"/>
  <c r="Q72" i="39"/>
  <c r="R70" i="39"/>
  <c r="R72" i="39"/>
  <c r="S70" i="39"/>
  <c r="S72" i="39"/>
  <c r="T70" i="39"/>
  <c r="T72" i="39"/>
  <c r="U70" i="39"/>
  <c r="U72" i="39"/>
  <c r="V70" i="39"/>
  <c r="V72" i="39"/>
  <c r="W70" i="39"/>
  <c r="W72" i="39"/>
  <c r="X70" i="39"/>
  <c r="X72" i="39"/>
  <c r="Y70" i="39"/>
  <c r="Y72" i="39"/>
  <c r="Z70" i="39"/>
  <c r="Z72" i="39"/>
  <c r="AA70" i="39"/>
  <c r="AA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AY6" i="3"/>
  <c r="D3" i="6"/>
  <c r="E19"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E3" i="6"/>
  <c r="D19" i="6"/>
  <c r="G20"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3" i="39"/>
  <c r="F83" i="39"/>
  <c r="G83" i="39"/>
  <c r="H83" i="39"/>
  <c r="I83" i="39"/>
  <c r="F13" i="39"/>
  <c r="AA13" i="39"/>
  <c r="B84" i="39"/>
  <c r="F14" i="39"/>
  <c r="AA14" i="39"/>
  <c r="B86" i="39"/>
  <c r="F15" i="39"/>
  <c r="AA15" i="39"/>
  <c r="B88" i="39"/>
  <c r="F16" i="39"/>
  <c r="AA16" i="39"/>
  <c r="F17" i="39"/>
  <c r="AA17" i="39"/>
  <c r="D93" i="39"/>
  <c r="E93" i="39"/>
  <c r="F19" i="39"/>
  <c r="AA19" i="39"/>
  <c r="D95" i="39"/>
  <c r="E95" i="39"/>
  <c r="F21" i="39"/>
  <c r="AA21" i="39"/>
  <c r="D97" i="39"/>
  <c r="F23" i="39"/>
  <c r="AA23" i="39"/>
  <c r="D99" i="39"/>
  <c r="F25" i="39"/>
  <c r="AA25" i="39"/>
  <c r="D101" i="39"/>
  <c r="F27" i="39"/>
  <c r="AA27" i="39"/>
  <c r="D103" i="39"/>
  <c r="E103" i="39"/>
  <c r="F29" i="39"/>
  <c r="AA29" i="39"/>
  <c r="F31" i="39"/>
  <c r="AA31" i="39"/>
  <c r="B106" i="39"/>
  <c r="F33" i="39"/>
  <c r="AA33" i="39"/>
  <c r="D109" i="39"/>
  <c r="E109" i="39"/>
  <c r="F34" i="39"/>
  <c r="AA34" i="39"/>
  <c r="F36" i="39"/>
  <c r="AA36" i="39"/>
  <c r="B112" i="39"/>
  <c r="F37" i="39"/>
  <c r="AA37" i="39"/>
  <c r="B114" i="39"/>
  <c r="F38" i="39"/>
  <c r="AA38" i="39"/>
  <c r="B116" i="39"/>
  <c r="F39" i="39"/>
  <c r="AA39" i="39"/>
  <c r="C40" i="39"/>
  <c r="F40" i="39"/>
  <c r="AA40" i="39"/>
  <c r="F41" i="39"/>
  <c r="AA41" i="39"/>
  <c r="F42" i="39"/>
  <c r="AA42" i="39"/>
  <c r="F43" i="39"/>
  <c r="AA43" i="39"/>
  <c r="F44" i="39"/>
  <c r="AA44" i="39"/>
  <c r="B129" i="39"/>
  <c r="F45" i="39"/>
  <c r="AA45" i="39"/>
  <c r="B131" i="39"/>
  <c r="F46" i="39"/>
  <c r="AA46" i="39"/>
  <c r="B133" i="39"/>
  <c r="F47" i="39"/>
  <c r="AA47" i="39"/>
  <c r="I40" i="39"/>
  <c r="G40" i="39"/>
  <c r="I9" i="39"/>
  <c r="G9" i="39"/>
  <c r="I7" i="39"/>
  <c r="G7" i="39"/>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E6" i="6"/>
  <c r="D22" i="12"/>
  <c r="E22" i="12"/>
  <c r="C22" i="12"/>
  <c r="B29" i="1"/>
  <c r="A6" i="1"/>
  <c r="A7" i="1"/>
  <c r="A8" i="1"/>
  <c r="G1" i="69"/>
  <c r="F6" i="69"/>
  <c r="F8" i="69"/>
  <c r="F7" i="69"/>
  <c r="F9" i="69"/>
  <c r="C6" i="69"/>
  <c r="C1" i="65"/>
  <c r="N1" i="65"/>
  <c r="N4" i="65"/>
  <c r="C4" i="65"/>
  <c r="B39" i="1"/>
  <c r="F11" i="69"/>
  <c r="C10" i="69"/>
  <c r="C5" i="69"/>
  <c r="B43" i="1"/>
  <c r="B41" i="1"/>
  <c r="F32" i="69"/>
  <c r="C42" i="1"/>
  <c r="C32" i="69"/>
  <c r="F33" i="69"/>
  <c r="C33" i="69"/>
  <c r="B3" i="3"/>
  <c r="E27" i="6"/>
  <c r="K21" i="6"/>
  <c r="L21" i="6"/>
  <c r="M21" i="6"/>
  <c r="I21" i="6"/>
  <c r="H21" i="6"/>
  <c r="R21" i="6"/>
  <c r="R8" i="1"/>
  <c r="F35" i="69"/>
  <c r="B52" i="1"/>
  <c r="F34" i="69"/>
  <c r="C34" i="69"/>
  <c r="C31" i="69"/>
  <c r="K8" i="1"/>
  <c r="M8" i="1"/>
  <c r="K14" i="1"/>
  <c r="M14" i="1"/>
  <c r="S8" i="1"/>
  <c r="K19" i="6"/>
  <c r="S6" i="1"/>
  <c r="K20" i="6"/>
  <c r="S7" i="1"/>
  <c r="A9" i="1"/>
  <c r="S9" i="1"/>
  <c r="A10" i="1"/>
  <c r="S10" i="1"/>
  <c r="A11" i="1"/>
  <c r="S11" i="1"/>
  <c r="A12" i="1"/>
  <c r="S12" i="1"/>
  <c r="A13" i="1"/>
  <c r="S13" i="1"/>
  <c r="S16" i="1"/>
  <c r="T4" i="1"/>
  <c r="T8" i="1"/>
  <c r="C14" i="69"/>
  <c r="F15" i="69"/>
  <c r="C15" i="69"/>
  <c r="F16" i="69"/>
  <c r="C16" i="69"/>
  <c r="F43" i="69"/>
  <c r="F17" i="69"/>
  <c r="C17" i="69"/>
  <c r="F18" i="69"/>
  <c r="C18" i="69"/>
  <c r="C19" i="69"/>
  <c r="F20" i="69"/>
  <c r="C20" i="69"/>
  <c r="H1" i="65"/>
  <c r="I5" i="65"/>
  <c r="B22" i="1"/>
  <c r="C2" i="65"/>
  <c r="I6" i="65"/>
  <c r="I1" i="65"/>
  <c r="E2" i="65"/>
  <c r="B40" i="1"/>
  <c r="F24" i="69"/>
  <c r="F23" i="69"/>
  <c r="C23" i="69"/>
  <c r="F26" i="69"/>
  <c r="C26" i="69"/>
  <c r="F21" i="69"/>
  <c r="C24" i="69"/>
  <c r="C27" i="69"/>
  <c r="F28" i="69"/>
  <c r="C28" i="69"/>
  <c r="C29" i="69"/>
  <c r="F36" i="69"/>
  <c r="C36" i="69"/>
  <c r="F13" i="69"/>
  <c r="C13" i="69"/>
  <c r="F37" i="69"/>
  <c r="C37" i="69"/>
  <c r="F38" i="69"/>
  <c r="C38" i="69"/>
  <c r="C30" i="69"/>
  <c r="C39" i="69"/>
  <c r="F42" i="69"/>
  <c r="F40" i="69"/>
  <c r="G19" i="4"/>
  <c r="F8" i="1"/>
  <c r="L48" i="69"/>
  <c r="J50" i="69"/>
  <c r="J51" i="69"/>
  <c r="M47" i="69"/>
  <c r="J53" i="69"/>
  <c r="F1" i="69"/>
  <c r="AE8" i="1"/>
  <c r="F41" i="69"/>
  <c r="C40" i="69"/>
  <c r="M6" i="69"/>
  <c r="M8" i="69"/>
  <c r="M7" i="69"/>
  <c r="M9" i="69"/>
  <c r="J6" i="69"/>
  <c r="M11" i="69"/>
  <c r="J10" i="69"/>
  <c r="J5" i="69"/>
  <c r="J26" i="69"/>
  <c r="J29" i="69"/>
  <c r="L46" i="69"/>
  <c r="B2" i="69"/>
  <c r="E10" i="12"/>
  <c r="B3" i="69"/>
  <c r="E8" i="12"/>
  <c r="G1" i="68"/>
  <c r="F6" i="68"/>
  <c r="F8" i="68"/>
  <c r="K7" i="1"/>
  <c r="F7" i="68"/>
  <c r="F9" i="68"/>
  <c r="C6" i="68"/>
  <c r="F11" i="68"/>
  <c r="C10" i="68"/>
  <c r="C5" i="68"/>
  <c r="F32" i="68"/>
  <c r="C32" i="68"/>
  <c r="F33" i="68"/>
  <c r="C33" i="68"/>
  <c r="L20" i="6"/>
  <c r="M20" i="6"/>
  <c r="I20" i="6"/>
  <c r="H20" i="6"/>
  <c r="R20" i="6"/>
  <c r="R7" i="1"/>
  <c r="F35" i="68"/>
  <c r="F34" i="68"/>
  <c r="C34" i="68"/>
  <c r="C31" i="68"/>
  <c r="M7" i="1"/>
  <c r="T7"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E19" i="4"/>
  <c r="F7" i="1"/>
  <c r="L48" i="68"/>
  <c r="J50" i="68"/>
  <c r="J51" i="68"/>
  <c r="M47" i="68"/>
  <c r="J53" i="68"/>
  <c r="F1" i="68"/>
  <c r="AE7" i="1"/>
  <c r="F41" i="68"/>
  <c r="C40" i="68"/>
  <c r="M6" i="68"/>
  <c r="M8" i="68"/>
  <c r="M7" i="68"/>
  <c r="M9" i="68"/>
  <c r="J6" i="68"/>
  <c r="M11" i="68"/>
  <c r="J10" i="68"/>
  <c r="J5" i="68"/>
  <c r="J26" i="68"/>
  <c r="J29" i="68"/>
  <c r="L46" i="68"/>
  <c r="B2" i="68"/>
  <c r="D10" i="12"/>
  <c r="B3" i="68"/>
  <c r="D8" i="12"/>
  <c r="G1" i="15"/>
  <c r="F6" i="15"/>
  <c r="F8" i="15"/>
  <c r="K6" i="1"/>
  <c r="F7" i="15"/>
  <c r="F9" i="15"/>
  <c r="C6" i="15"/>
  <c r="F11" i="15"/>
  <c r="C10" i="15"/>
  <c r="C5" i="15"/>
  <c r="F32" i="15"/>
  <c r="C32" i="15"/>
  <c r="F33" i="15"/>
  <c r="C33" i="15"/>
  <c r="L19" i="6"/>
  <c r="M19" i="6"/>
  <c r="I19" i="6"/>
  <c r="H19" i="6"/>
  <c r="R19" i="6"/>
  <c r="R6" i="1"/>
  <c r="F35" i="15"/>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19" i="4"/>
  <c r="F6" i="1"/>
  <c r="L48" i="15"/>
  <c r="J50" i="15"/>
  <c r="J51" i="15"/>
  <c r="M47" i="15"/>
  <c r="J53" i="15"/>
  <c r="F1" i="15"/>
  <c r="AE6" i="1"/>
  <c r="F41" i="15"/>
  <c r="C40" i="15"/>
  <c r="M6" i="15"/>
  <c r="M8" i="15"/>
  <c r="M7" i="15"/>
  <c r="M9" i="15"/>
  <c r="J6" i="15"/>
  <c r="M11" i="15"/>
  <c r="J10" i="15"/>
  <c r="J5" i="15"/>
  <c r="J26" i="15"/>
  <c r="J29" i="15"/>
  <c r="L46" i="15"/>
  <c r="B2" i="15"/>
  <c r="C10" i="12"/>
  <c r="B3" i="15"/>
  <c r="C8" i="12"/>
  <c r="U20" i="1"/>
  <c r="U21" i="1"/>
  <c r="U22" i="1"/>
  <c r="U23" i="1"/>
  <c r="U24" i="1"/>
  <c r="U25" i="1"/>
  <c r="X20" i="1"/>
  <c r="X21" i="1"/>
  <c r="X22" i="1"/>
  <c r="X23" i="1"/>
  <c r="X24" i="1"/>
  <c r="V21" i="1"/>
  <c r="V22" i="1"/>
  <c r="V23" i="1"/>
  <c r="V24" i="1"/>
  <c r="V25" i="1"/>
  <c r="N81" i="39"/>
  <c r="O81" i="39"/>
  <c r="J83" i="39"/>
  <c r="K83" i="39"/>
  <c r="L83" i="39"/>
  <c r="M83" i="39"/>
  <c r="N83" i="39"/>
  <c r="O83" i="39"/>
  <c r="K9" i="1"/>
  <c r="M9" i="1"/>
  <c r="T9" i="1"/>
  <c r="I3" i="65"/>
  <c r="R9" i="1"/>
  <c r="AE9" i="1"/>
  <c r="Q66" i="69"/>
  <c r="J36" i="69"/>
  <c r="L51" i="69"/>
  <c r="L57" i="69"/>
  <c r="D6" i="1"/>
  <c r="D8"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C46" i="69"/>
  <c r="J42" i="69"/>
  <c r="J43" i="69"/>
  <c r="C43" i="69"/>
  <c r="J35" i="69"/>
  <c r="J39" i="69"/>
  <c r="J40" i="69"/>
  <c r="F31" i="69"/>
  <c r="M29" i="69"/>
  <c r="M28" i="69"/>
  <c r="AG8"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Q66" i="68"/>
  <c r="J36" i="68"/>
  <c r="L51" i="68"/>
  <c r="L57" i="68"/>
  <c r="D7" i="1"/>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C46" i="68"/>
  <c r="J42" i="68"/>
  <c r="J43" i="68"/>
  <c r="C43" i="68"/>
  <c r="J35" i="68"/>
  <c r="J39" i="68"/>
  <c r="J40" i="68"/>
  <c r="F31" i="68"/>
  <c r="M29" i="68"/>
  <c r="M28" i="68"/>
  <c r="AG7"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F25" i="12"/>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E21"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F95" i="39"/>
  <c r="G95"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W18" i="36"/>
  <c r="AC18" i="36"/>
  <c r="AG6" i="1"/>
  <c r="D12" i="11"/>
  <c r="C12" i="11"/>
  <c r="D16" i="43"/>
  <c r="C16" i="43"/>
  <c r="L27" i="6"/>
  <c r="B21" i="55"/>
  <c r="B72" i="63"/>
  <c r="B20" i="55"/>
  <c r="B70" i="63"/>
  <c r="D16" i="12"/>
  <c r="D19" i="12"/>
  <c r="C19" i="12"/>
  <c r="L38" i="9"/>
  <c r="B14" i="66"/>
  <c r="B1" i="66"/>
  <c r="C45" i="9"/>
  <c r="H14" i="66"/>
  <c r="B7" i="66"/>
  <c r="C7" i="66"/>
  <c r="G6" i="1"/>
  <c r="G13" i="1"/>
  <c r="H9" i="39"/>
  <c r="AB9" i="39"/>
  <c r="J9" i="39"/>
  <c r="AC9" i="39"/>
  <c r="E11" i="6"/>
  <c r="E63" i="39"/>
  <c r="E12" i="6"/>
  <c r="E64" i="39"/>
  <c r="E13" i="6"/>
  <c r="E65" i="39"/>
  <c r="E14" i="6"/>
  <c r="E66" i="39"/>
  <c r="E15" i="6"/>
  <c r="E67" i="39"/>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Q16" i="1"/>
  <c r="F33" i="12"/>
  <c r="C35" i="12"/>
  <c r="C33" i="12"/>
  <c r="C25" i="12"/>
  <c r="C27" i="12"/>
  <c r="D26" i="12"/>
  <c r="C32" i="12"/>
  <c r="D30" i="12"/>
  <c r="C34" i="12"/>
  <c r="D33" i="12"/>
  <c r="C36" i="12"/>
  <c r="B2" i="12"/>
  <c r="D19" i="9"/>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E68" i="3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R24" i="6"/>
  <c r="D16" i="6"/>
  <c r="R22" i="6"/>
  <c r="R23" i="6"/>
  <c r="R25" i="6"/>
  <c r="M27" i="6"/>
  <c r="D7" i="66"/>
  <c r="D8" i="66"/>
  <c r="A6" i="51"/>
  <c r="B7" i="63"/>
  <c r="A6" i="64"/>
  <c r="A20" i="64"/>
  <c r="A20" i="51"/>
  <c r="B15" i="63"/>
  <c r="N5" i="54"/>
  <c r="B43" i="63"/>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D14" i="66"/>
  <c r="B5" i="66"/>
  <c r="D5" i="66"/>
  <c r="C5" i="66"/>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G22" i="9"/>
  <c r="N43" i="9"/>
  <c r="L43" i="9"/>
  <c r="D22" i="9"/>
  <c r="B4" i="39"/>
  <c r="C21" i="9"/>
  <c r="G21" i="9"/>
  <c r="B3" i="39"/>
  <c r="C20" i="9"/>
  <c r="G20" i="9"/>
  <c r="B5" i="39"/>
  <c r="C49" i="39"/>
  <c r="E49" i="39"/>
  <c r="G49" i="39"/>
  <c r="E54" i="39"/>
  <c r="F54" i="39"/>
  <c r="E53" i="39"/>
  <c r="F53" i="39"/>
  <c r="I49" i="39"/>
  <c r="I54" i="39"/>
  <c r="J54" i="39"/>
  <c r="I53" i="39"/>
  <c r="J53" i="39"/>
  <c r="G53" i="39"/>
  <c r="H53" i="39"/>
  <c r="G54" i="39"/>
  <c r="H54" i="39"/>
  <c r="G14" i="66"/>
  <c r="B6" i="66"/>
  <c r="D6" i="66"/>
  <c r="U12" i="39"/>
  <c r="H12" i="40"/>
  <c r="U12" i="40"/>
  <c r="AB12" i="40"/>
  <c r="W12" i="39"/>
  <c r="J12" i="40"/>
  <c r="AC12" i="40"/>
  <c r="W12" i="40"/>
  <c r="S12" i="39"/>
  <c r="F12" i="40"/>
  <c r="S12" i="40"/>
  <c r="AA12" i="40"/>
  <c r="E44" i="9"/>
  <c r="F44" i="9"/>
  <c r="C6" i="66"/>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<sst xmlns="http://schemas.openxmlformats.org/spreadsheetml/2006/main" count="7915" uniqueCount="3123">
  <si>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</si>
  <si>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</si>
  <si>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</si>
  <si>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</si>
  <si>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</si>
  <si>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</si>
  <si>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</si>
  <si>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</si>
  <si>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</si>
  <si>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</si>
  <si>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</si>
  <si>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</si>
  <si>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</si>
  <si>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</si>
  <si>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</si>
  <si>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</si>
  <si>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</si>
  <si>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</si>
  <si>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</si>
  <si>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</si>
  <si>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</si>
  <si>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</si>
  <si>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</si>
  <si>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</si>
  <si>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</si>
  <si>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</si>
  <si>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</si>
  <si>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</si>
  <si>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</si>
  <si>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</si>
  <si>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</si>
  <si>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</si>
  <si>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</si>
  <si>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</si>
  <si>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</si>
  <si>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</si>
  <si>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</si>
  <si>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</si>
  <si>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</si>
  <si>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</si>
  <si>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</si>
  <si>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</si>
  <si>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</si>
  <si>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</si>
  <si>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</si>
  <si>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</si>
  <si>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</si>
  <si>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</si>
  <si>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</si>
  <si>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</si>
  <si>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</si>
  <si>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</si>
  <si>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</si>
  <si>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</si>
  <si>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</si>
  <si>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</si>
  <si>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</si>
  <si>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</si>
  <si>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</si>
  <si>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</si>
  <si>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</si>
  <si>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</si>
  <si>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</si>
  <si>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</si>
  <si>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</si>
  <si>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</si>
  <si>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</si>
  <si>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</si>
  <si>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</si>
  <si>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</si>
  <si>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</si>
  <si>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</si>
  <si>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</si>
  <si>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</si>
  <si>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</si>
  <si>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</si>
  <si>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</si>
  <si>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</si>
  <si>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</si>
  <si>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</si>
  <si>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</si>
  <si>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</si>
  <si>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</si>
  <si>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</si>
  <si>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</si>
  <si>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</si>
  <si>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</si>
  <si>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</si>
  <si>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</si>
  <si>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</si>
  <si>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</si>
  <si>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</si>
  <si>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</si>
  <si>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</si>
  <si>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</si>
  <si>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</si>
  <si>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</si>
  <si>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</si>
  <si>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</si>
  <si>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</si>
  <si>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</si>
  <si>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</si>
  <si>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</si>
  <si>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</si>
  <si>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</si>
  <si>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</si>
  <si>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</si>
  <si>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</si>
  <si>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</si>
  <si>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</si>
  <si>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</si>
  <si>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</si>
  <si>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</si>
  <si>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</si>
  <si>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</si>
  <si>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</si>
  <si>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</si>
  <si>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</si>
  <si>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</si>
  <si>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</si>
  <si>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</si>
  <si>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</si>
  <si>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</si>
  <si>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</si>
  <si>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</si>
  <si>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</si>
  <si>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</si>
  <si>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</si>
  <si>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</si>
  <si>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</si>
  <si>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</si>
  <si>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</si>
  <si>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</si>
  <si>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</si>
  <si>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</si>
  <si>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</si>
  <si>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</si>
  <si>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</si>
  <si>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</si>
  <si>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</si>
  <si>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</si>
  <si>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</si>
  <si>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</si>
  <si>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</si>
  <si>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</si>
  <si>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</si>
  <si>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</si>
  <si>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</si>
  <si>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</si>
  <si>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</si>
  <si>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</si>
  <si>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</si>
  <si>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</si>
  <si>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</si>
  <si>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</si>
  <si>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</si>
  <si>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</si>
  <si>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</si>
  <si>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</si>
  <si>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</si>
  <si>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</si>
  <si>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</si>
  <si>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</si>
  <si>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</si>
  <si>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</si>
  <si>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</si>
  <si>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</si>
  <si>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</si>
  <si>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</si>
  <si>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</si>
  <si>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</si>
  <si>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</si>
  <si>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</si>
  <si>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</si>
  <si>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</si>
  <si>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</si>
  <si>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</si>
  <si>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</si>
  <si>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</si>
  <si>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</si>
  <si>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</si>
  <si>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</si>
  <si>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</si>
  <si>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</si>
  <si>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</si>
  <si>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</si>
  <si>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</si>
  <si>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</si>
  <si>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</si>
  <si>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</si>
  <si>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</si>
  <si>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</si>
  <si>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</si>
  <si>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</si>
  <si>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</si>
  <si>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</si>
  <si>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</si>
  <si>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</si>
  <si>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</si>
  <si>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</si>
  <si>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</si>
  <si>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</si>
  <si>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</si>
  <si>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</si>
  <si>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</si>
  <si>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</si>
  <si>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</si>
  <si>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</si>
  <si>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</si>
  <si>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</si>
  <si>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</si>
  <si>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</si>
  <si>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</si>
  <si>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</si>
  <si>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</si>
  <si>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</si>
  <si>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</si>
  <si>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</si>
  <si>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</si>
  <si>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</si>
  <si>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</si>
  <si>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</si>
  <si>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</si>
  <si>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</si>
  <si>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</si>
  <si>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</si>
  <si>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</si>
  <si>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</si>
  <si>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</si>
  <si>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</si>
  <si>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</si>
  <si>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</si>
  <si>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</si>
  <si>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</si>
  <si>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</si>
  <si>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</si>
  <si>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</si>
  <si>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</si>
  <si>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</si>
  <si>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</si>
  <si>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</si>
  <si>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</si>
  <si>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</si>
  <si>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</si>
  <si>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</si>
  <si>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</si>
  <si>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</si>
  <si>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</si>
  <si>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</si>
  <si>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</si>
  <si>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</si>
  <si>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</si>
  <si>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</si>
  <si>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</si>
  <si>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</si>
  <si>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</si>
  <si>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</si>
  <si>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</si>
  <si>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</si>
  <si>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</si>
  <si>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</si>
  <si>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</si>
  <si>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</si>
  <si>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</si>
  <si>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</si>
  <si>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</si>
  <si>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</si>
  <si>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</si>
  <si>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</si>
  <si>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</si>
  <si>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</si>
  <si>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</si>
  <si>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</si>
  <si>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</si>
  <si>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</si>
  <si>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</si>
  <si>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</si>
  <si>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</si>
  <si>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</si>
  <si>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</si>
  <si>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</si>
  <si>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</si>
  <si>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</si>
  <si>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</si>
  <si>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</si>
  <si>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</si>
  <si>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</si>
  <si>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</si>
  <si>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</si>
  <si>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</si>
  <si>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</si>
  <si>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</si>
  <si>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</si>
  <si>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</si>
  <si>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</si>
  <si>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</si>
  <si>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</si>
  <si>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</si>
  <si>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</si>
  <si>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</si>
  <si>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</si>
  <si>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</si>
  <si>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</si>
  <si>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</si>
  <si>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</si>
  <si>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</si>
  <si>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</si>
  <si>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</si>
  <si>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</si>
  <si>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</si>
  <si>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</si>
  <si>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</si>
  <si>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</si>
  <si>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</si>
  <si>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</si>
  <si>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</si>
  <si>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</si>
  <si>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</si>
  <si>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</si>
  <si>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</si>
  <si>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</si>
  <si>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</si>
  <si>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</si>
  <si>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</si>
  <si>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</si>
  <si>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</si>
  <si>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</si>
  <si>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</si>
  <si>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</si>
  <si>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</si>
  <si>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</si>
  <si>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</si>
  <si>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</si>
  <si>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</si>
  <si>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</si>
  <si>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</si>
  <si>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</si>
  <si>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</si>
  <si>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</si>
  <si>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</si>
  <si>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</si>
  <si>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</si>
  <si>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</si>
  <si>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</si>
  <si>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</si>
  <si>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</si>
  <si>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</si>
  <si>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</si>
  <si>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</si>
  <si>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</si>
  <si>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</si>
  <si>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</si>
  <si>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</si>
  <si>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</si>
  <si>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</si>
  <si>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</si>
  <si>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</si>
  <si>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</si>
  <si>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</si>
  <si>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</si>
  <si>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</si>
  <si>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</si>
  <si>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</si>
  <si>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</si>
  <si>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</si>
  <si>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</si>
  <si>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</si>
  <si>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</si>
  <si>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</si>
  <si>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</si>
  <si>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</si>
  <si>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</si>
  <si>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</si>
  <si>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</si>
  <si>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</si>
  <si>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</si>
  <si>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</si>
  <si>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</si>
  <si>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</si>
  <si>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</si>
  <si>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</si>
  <si>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</si>
  <si>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</si>
  <si>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</si>
  <si>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</si>
  <si>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</si>
  <si>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</si>
  <si>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</si>
  <si>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</si>
  <si>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</si>
  <si>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</si>
  <si>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</si>
  <si>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</si>
  <si>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</si>
  <si>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</si>
  <si>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</si>
  <si>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</si>
  <si>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</si>
  <si>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</si>
  <si>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</si>
  <si>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</si>
  <si>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</si>
  <si>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</si>
  <si>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</si>
  <si>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</si>
  <si>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</si>
  <si>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</si>
  <si>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</si>
  <si>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</si>
  <si>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</si>
  <si>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</si>
  <si>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</si>
  <si>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</si>
  <si>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</si>
  <si>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</si>
  <si>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</si>
  <si>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</si>
  <si>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</si>
  <si>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</si>
  <si>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</si>
  <si>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</si>
  <si>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</si>
  <si>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</si>
  <si>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</si>
  <si>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</si>
  <si>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</si>
  <si>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</si>
  <si>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</si>
  <si>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</si>
  <si>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</si>
  <si>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</si>
  <si>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</si>
  <si>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</si>
  <si>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</si>
  <si>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</si>
  <si>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</si>
  <si>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</si>
  <si>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</si>
  <si>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</si>
  <si>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</si>
  <si>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</si>
  <si>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</si>
  <si>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</si>
  <si>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</si>
  <si>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</si>
  <si>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</si>
  <si>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</si>
  <si>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</si>
  <si>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</si>
  <si>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</si>
  <si>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</si>
  <si>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</si>
  <si>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</si>
  <si>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</si>
  <si>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</si>
  <si>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</si>
  <si>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</si>
  <si>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</si>
  <si>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</si>
  <si>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</si>
  <si>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</si>
  <si>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</si>
  <si>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</si>
  <si>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</si>
  <si>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</si>
  <si>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</si>
  <si>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</si>
  <si>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</si>
  <si>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</si>
  <si>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</si>
  <si>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</si>
  <si>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</si>
  <si>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</si>
  <si>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</si>
  <si>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</si>
  <si>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</si>
  <si>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</si>
  <si>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</si>
  <si>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</si>
  <si>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</si>
  <si>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</si>
  <si>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</si>
  <si>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</si>
  <si>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</si>
  <si>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</si>
  <si>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</si>
  <si>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</si>
  <si>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</si>
  <si>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</si>
  <si>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</si>
  <si>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</si>
  <si>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</si>
  <si>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</si>
  <si>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</si>
  <si>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</si>
  <si>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</si>
  <si>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</si>
  <si>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</si>
  <si>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</si>
  <si>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</si>
  <si>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</si>
  <si>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</si>
  <si>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</si>
  <si>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</si>
  <si>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</si>
  <si>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</si>
  <si>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</si>
  <si>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</si>
  <si>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</si>
  <si>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</si>
  <si>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</si>
  <si>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</si>
  <si>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</si>
  <si>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</si>
  <si>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</si>
  <si>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</si>
  <si>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</si>
  <si>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</si>
  <si>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</si>
  <si>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</si>
  <si>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</si>
  <si>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</si>
  <si>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</si>
  <si>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</si>
  <si>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</si>
  <si>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</si>
  <si>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</si>
  <si>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</si>
  <si>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</si>
  <si>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</si>
  <si>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</si>
  <si>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</si>
  <si>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</si>
  <si>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</si>
  <si>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</si>
  <si>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</si>
  <si>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</si>
  <si>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</si>
  <si>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</si>
  <si>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</si>
  <si>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</si>
  <si>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</si>
  <si>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</si>
  <si>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</si>
  <si>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</si>
  <si>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</si>
  <si>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</si>
  <si>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</si>
  <si>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</si>
  <si>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</si>
  <si>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</si>
  <si>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</si>
  <si>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</si>
  <si>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</si>
  <si>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</si>
  <si>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</si>
  <si>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</si>
  <si>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</si>
  <si>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</si>
  <si>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</si>
  <si>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</si>
  <si>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</si>
  <si>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</si>
  <si>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</si>
  <si>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</si>
  <si>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</si>
  <si>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</si>
  <si>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</si>
  <si>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</si>
  <si>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</si>
  <si>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</si>
  <si>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</si>
  <si>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</si>
  <si>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</si>
  <si>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</si>
  <si>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</si>
  <si>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</si>
  <si>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</si>
  <si>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</si>
  <si>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</si>
  <si>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</si>
  <si>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</si>
  <si>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</si>
  <si>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</si>
  <si>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</si>
  <si>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</si>
  <si>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</si>
  <si>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</si>
  <si>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</si>
  <si>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</si>
  <si>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</si>
  <si>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</si>
  <si>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</si>
  <si>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</si>
  <si>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</si>
  <si>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</si>
  <si>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</si>
  <si>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</si>
  <si>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</si>
  <si>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</si>
  <si>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</si>
  <si>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</si>
  <si>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</si>
  <si>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</si>
  <si>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</si>
  <si>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</si>
  <si>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</si>
  <si>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</si>
  <si>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</si>
  <si>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</si>
  <si>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</si>
  <si>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</si>
  <si>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</si>
  <si>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</si>
  <si>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</si>
  <si>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</si>
  <si>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</si>
  <si>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</si>
  <si>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</si>
  <si>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</si>
  <si>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</si>
  <si>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</si>
  <si>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</si>
  <si>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</si>
  <si>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</si>
  <si>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</si>
  <si>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</si>
  <si>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</si>
  <si>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</si>
  <si>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</si>
  <si>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</si>
  <si>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</si>
  <si>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</si>
  <si>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</si>
  <si>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</si>
  <si>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</si>
  <si>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</si>
  <si>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</si>
  <si>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</si>
  <si>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</si>
  <si>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</si>
  <si>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</si>
  <si>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</si>
  <si>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</si>
  <si>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</si>
  <si>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</si>
  <si>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</si>
  <si>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</si>
  <si>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</si>
  <si>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</si>
  <si>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</si>
  <si>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</si>
  <si>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</si>
  <si>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</si>
  <si>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</si>
  <si>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</si>
  <si>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</si>
  <si>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</si>
  <si>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</si>
  <si>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</si>
  <si>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</si>
  <si>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</si>
  <si>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</si>
  <si>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</si>
  <si>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</si>
  <si>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</si>
  <si>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</si>
  <si>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</si>
  <si>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</si>
  <si>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</si>
  <si>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</si>
  <si>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</si>
  <si>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</si>
  <si>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</si>
  <si>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</si>
  <si>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</si>
  <si>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</si>
  <si>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</si>
  <si>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</si>
  <si>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</si>
  <si>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</si>
  <si>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</si>
  <si>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</si>
  <si>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</si>
  <si>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</si>
  <si>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</si>
  <si>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</si>
  <si>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</si>
  <si>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</si>
  <si>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</si>
  <si>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</si>
  <si>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</si>
  <si>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</si>
  <si>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</si>
  <si>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</si>
  <si>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</si>
  <si>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</si>
  <si>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</si>
  <si>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</si>
  <si>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</si>
  <si>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</si>
  <si>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</si>
  <si>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</si>
  <si>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</si>
  <si>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</si>
  <si>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</si>
  <si>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</si>
  <si>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</si>
  <si>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</si>
  <si>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</si>
  <si>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</si>
  <si>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</si>
  <si>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</si>
  <si>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</si>
  <si>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</si>
  <si>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</si>
  <si>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</si>
  <si>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</si>
  <si>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</si>
  <si>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</si>
  <si>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</si>
  <si>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</si>
  <si>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</si>
  <si>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</si>
  <si>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</si>
  <si>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</si>
  <si>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</si>
  <si>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</si>
  <si>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</si>
  <si>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</si>
  <si>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</si>
  <si>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</si>
  <si>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</si>
  <si>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</si>
  <si>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</si>
  <si>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</si>
  <si>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</si>
  <si>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</si>
  <si>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</si>
  <si>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</si>
  <si>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</si>
  <si>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</si>
  <si>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</si>
  <si>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</si>
  <si>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</si>
  <si>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</si>
  <si>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</si>
  <si>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</si>
  <si>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</si>
  <si>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</si>
  <si>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</si>
  <si>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</si>
  <si>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</si>
  <si>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</si>
  <si>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</si>
  <si>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</si>
  <si>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</si>
  <si>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</si>
  <si>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</si>
  <si>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</si>
  <si>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</si>
  <si>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</si>
  <si>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</si>
  <si>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</si>
  <si>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</si>
  <si>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</si>
  <si>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</si>
  <si>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</si>
  <si>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</si>
  <si>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</si>
  <si>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</si>
  <si>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</si>
  <si>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</si>
  <si>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</si>
  <si>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</si>
  <si>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</si>
  <si>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</si>
  <si>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</si>
  <si>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</si>
  <si>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</si>
  <si>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</si>
  <si>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</si>
  <si>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</si>
  <si>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</si>
  <si>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</si>
  <si>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</si>
  <si>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</si>
  <si>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</si>
  <si>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</si>
  <si>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</si>
  <si>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</si>
  <si>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</si>
  <si>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</si>
  <si>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</si>
  <si>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</si>
  <si>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</si>
  <si>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</si>
  <si>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</si>
  <si>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</si>
  <si>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</si>
  <si>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</si>
  <si>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</si>
  <si>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</si>
  <si>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</si>
  <si>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</si>
  <si>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</si>
  <si>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</si>
  <si>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</si>
  <si>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</si>
  <si>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</si>
  <si>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</si>
  <si>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</si>
  <si>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</si>
  <si>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</si>
  <si>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</si>
  <si>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</si>
  <si>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</si>
  <si>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</si>
  <si>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</si>
  <si>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</si>
  <si>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</si>
  <si>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</si>
  <si>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</si>
  <si>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</si>
  <si>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</si>
  <si>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</si>
  <si>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</si>
  <si>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</si>
  <si>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</si>
  <si>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</si>
  <si>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</si>
  <si>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</si>
  <si>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</si>
  <si>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</si>
  <si>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</si>
  <si>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</si>
  <si>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</si>
  <si>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</si>
  <si>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</si>
  <si>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</si>
  <si>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</si>
  <si>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</si>
  <si>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</si>
  <si>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</si>
  <si>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</si>
  <si>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</si>
  <si>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</si>
  <si>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</si>
  <si>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</si>
  <si>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</si>
  <si>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</si>
  <si>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</si>
  <si>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</si>
  <si>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</si>
  <si>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</si>
  <si>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</si>
  <si>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</si>
  <si>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</si>
  <si>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</si>
  <si>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</si>
  <si>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</si>
  <si>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</si>
  <si>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</si>
  <si>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</si>
  <si>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</si>
  <si>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</si>
  <si>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</si>
  <si>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</si>
  <si>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</si>
  <si>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</si>
  <si>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</si>
  <si>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</si>
  <si>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</si>
  <si>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</si>
  <si>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</si>
  <si>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</si>
  <si>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</si>
  <si>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</si>
  <si>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</si>
  <si>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</si>
  <si>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</si>
  <si>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</si>
  <si>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</si>
  <si>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</si>
  <si>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</si>
  <si>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</si>
  <si>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</si>
  <si>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</si>
  <si>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</si>
  <si>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</si>
  <si>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</si>
  <si>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</si>
  <si>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</si>
  <si>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</si>
  <si>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</si>
  <si>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</si>
  <si>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</si>
  <si>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</si>
  <si>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</si>
  <si>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</si>
  <si>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</si>
  <si>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</si>
  <si>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</si>
  <si>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</si>
  <si>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</si>
  <si>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</si>
  <si>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</si>
  <si>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</si>
  <si>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</si>
  <si>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</si>
  <si>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</si>
  <si>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</si>
  <si>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</si>
  <si>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</si>
  <si>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</si>
  <si>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</si>
  <si>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</si>
  <si>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</si>
  <si>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</si>
  <si>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</si>
  <si>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</si>
  <si>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</si>
  <si>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</si>
  <si>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</si>
  <si>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</si>
  <si>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</si>
  <si>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</si>
  <si>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</si>
  <si>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</si>
  <si>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</si>
  <si>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</si>
  <si>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</si>
  <si>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</si>
  <si>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</si>
  <si>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</si>
  <si>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</si>
  <si>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</si>
  <si>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</si>
  <si>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</si>
  <si>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</si>
  <si>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</si>
  <si>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</si>
  <si>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</si>
  <si>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</si>
  <si>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</si>
  <si>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</si>
  <si>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</si>
  <si>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</si>
  <si>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</si>
  <si>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</si>
  <si>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</si>
  <si>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</si>
  <si>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</si>
  <si>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</si>
  <si>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</si>
  <si>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</si>
  <si>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</si>
  <si>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</si>
  <si>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</si>
  <si>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</si>
  <si>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</si>
  <si>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</si>
  <si>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</si>
  <si>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</si>
  <si>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</si>
  <si>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</si>
  <si>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</si>
  <si>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</si>
  <si>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</si>
  <si>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</si>
  <si>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</si>
  <si>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</si>
  <si>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</si>
  <si>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</si>
  <si>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</si>
  <si>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</si>
  <si>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</si>
  <si>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</si>
  <si>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</si>
  <si>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</si>
  <si>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</si>
  <si>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</si>
  <si>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</si>
  <si>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</si>
  <si>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</si>
  <si>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</si>
  <si>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</si>
  <si>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</si>
  <si>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</si>
  <si>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</si>
  <si>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</si>
  <si>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</si>
  <si>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</si>
  <si>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</si>
  <si>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</si>
  <si>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</si>
  <si>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</si>
  <si>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</si>
  <si>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</si>
  <si>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</si>
  <si>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</si>
  <si>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</si>
  <si>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</si>
  <si>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</si>
  <si>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</si>
  <si>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</si>
  <si>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</si>
  <si>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</si>
  <si>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</si>
  <si>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</si>
  <si>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</si>
  <si>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</si>
  <si>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</si>
  <si>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</si>
  <si>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</si>
  <si>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</si>
  <si>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</si>
  <si>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</si>
  <si>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</si>
  <si>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</si>
  <si>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</si>
  <si>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</si>
  <si>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</si>
  <si>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</si>
  <si>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</si>
  <si>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</si>
  <si>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</si>
  <si>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</si>
  <si>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</si>
  <si>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</si>
  <si>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</si>
  <si>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</si>
  <si>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</si>
  <si>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</si>
  <si>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</si>
  <si>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</si>
  <si>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</si>
  <si>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</si>
  <si>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</si>
  <si>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</si>
  <si>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</si>
  <si>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</si>
  <si>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</si>
  <si>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</si>
  <si>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</si>
  <si>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</si>
  <si>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</si>
  <si>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</si>
  <si>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</si>
  <si>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</si>
  <si>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</si>
  <si>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</si>
  <si>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</si>
  <si>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</si>
  <si>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</si>
  <si>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</si>
  <si>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</si>
  <si>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</si>
  <si>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</si>
  <si>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</si>
  <si>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</si>
  <si>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</si>
  <si>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</si>
  <si>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</si>
  <si>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</si>
  <si>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</si>
  <si>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</si>
  <si>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</si>
  <si>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</si>
  <si>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</si>
  <si>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</si>
  <si>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</si>
  <si>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</si>
  <si>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</si>
  <si>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</si>
  <si>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</si>
  <si>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</si>
  <si>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</si>
  <si>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</si>
  <si>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</si>
  <si>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</si>
  <si>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</si>
  <si>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</si>
  <si>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</si>
  <si>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</si>
  <si>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</si>
  <si>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</si>
  <si>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</si>
  <si>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</si>
  <si>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</si>
  <si>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</si>
  <si>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</si>
  <si>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</si>
  <si>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</si>
  <si>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</si>
  <si>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</si>
  <si>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</si>
  <si>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</si>
  <si>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</si>
  <si>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</si>
  <si>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</si>
  <si>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</si>
  <si>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</si>
  <si>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</si>
  <si>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</si>
  <si>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</si>
  <si>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</si>
  <si>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</si>
  <si>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</si>
  <si>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</si>
  <si>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</si>
  <si>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</si>
  <si>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</si>
  <si>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</si>
  <si>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</si>
  <si>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</si>
  <si>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</si>
  <si>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</si>
  <si>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</si>
  <si>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</si>
  <si>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</si>
  <si>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</si>
  <si>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</si>
  <si>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</si>
  <si>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</si>
  <si>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</si>
  <si>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</si>
  <si>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</si>
  <si>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</si>
  <si>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</si>
  <si>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</si>
  <si>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</si>
  <si>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</si>
  <si>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</si>
  <si>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</si>
  <si>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</si>
  <si>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</si>
  <si>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</si>
  <si>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</si>
  <si>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</si>
  <si>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</si>
  <si>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</si>
  <si>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</si>
  <si>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</si>
  <si>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</si>
  <si>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</si>
  <si>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</si>
  <si>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</si>
  <si>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</si>
  <si>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</si>
  <si>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</si>
  <si>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</si>
  <si>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</si>
  <si>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</si>
  <si>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</si>
  <si>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</si>
  <si>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</si>
  <si>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</si>
  <si>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</si>
  <si>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</si>
  <si>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</si>
  <si>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</si>
  <si>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</si>
  <si>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</si>
  <si>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</si>
  <si>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</si>
  <si>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</si>
  <si>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</si>
  <si>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</si>
  <si>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</si>
  <si>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</si>
  <si>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</si>
  <si>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</si>
  <si>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</si>
  <si>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</si>
  <si>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</si>
  <si>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</si>
  <si>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</si>
  <si>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</si>
  <si>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</si>
  <si>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</si>
  <si>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</si>
  <si>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</si>
  <si>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</si>
  <si>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</si>
  <si>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</si>
  <si>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</si>
  <si>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</si>
  <si>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</si>
  <si>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</si>
  <si>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</si>
  <si>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</si>
  <si>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</si>
  <si>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</si>
  <si>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</si>
  <si>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</si>
  <si>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</si>
  <si>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</si>
  <si>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</si>
  <si>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</si>
  <si>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</si>
  <si>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</si>
  <si>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</si>
  <si>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</si>
  <si>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</si>
  <si>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</si>
  <si>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</si>
  <si>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</si>
  <si>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</si>
  <si>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</si>
  <si>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</si>
  <si>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</si>
  <si>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</si>
  <si>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</si>
  <si>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</si>
  <si>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</si>
  <si>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</si>
  <si>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</si>
  <si>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</si>
  <si>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</si>
  <si>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</si>
  <si>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</si>
  <si>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</si>
  <si>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</si>
  <si>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</si>
  <si>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</si>
  <si>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</si>
  <si>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</si>
  <si>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</si>
  <si>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</si>
  <si>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</si>
  <si>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</si>
  <si>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</si>
  <si>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</si>
  <si>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</si>
  <si>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</si>
  <si>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</si>
  <si>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</si>
  <si>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</si>
  <si>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</si>
  <si>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</si>
  <si>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</si>
  <si>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</si>
  <si>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</si>
  <si>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</si>
  <si>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</si>
  <si>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</si>
  <si>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</si>
  <si>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</si>
  <si>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</si>
  <si>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</si>
  <si>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</si>
  <si>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</si>
  <si>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</si>
  <si>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</si>
  <si>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</si>
  <si>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</si>
  <si>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</si>
  <si>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</si>
  <si>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</si>
  <si>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</si>
  <si>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</si>
  <si>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</si>
  <si>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</si>
  <si>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</si>
  <si>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</si>
  <si>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</si>
  <si>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</si>
  <si>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</si>
  <si>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</si>
  <si>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</si>
  <si>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</si>
  <si>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</si>
  <si>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</si>
  <si>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</si>
  <si>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</si>
  <si>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</si>
  <si>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</si>
  <si>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</si>
  <si>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</si>
  <si>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</si>
  <si>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</si>
  <si>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</si>
  <si>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</si>
  <si>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</si>
  <si>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</si>
  <si>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</si>
  <si>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</si>
  <si>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</si>
  <si>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</si>
  <si>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</si>
  <si>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</si>
  <si>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</si>
  <si>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</si>
  <si>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</si>
  <si>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</si>
  <si>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</si>
  <si>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</si>
  <si>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</si>
  <si>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</si>
  <si>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</si>
  <si>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</si>
  <si>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</si>
  <si>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</si>
  <si>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</si>
  <si>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</si>
  <si>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</si>
  <si>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</si>
  <si>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</si>
  <si>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</si>
  <si>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</si>
  <si>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</si>
  <si>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</si>
  <si>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</si>
  <si>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</si>
  <si>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</si>
  <si>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</si>
  <si>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</si>
  <si>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</si>
  <si>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</si>
  <si>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</si>
  <si>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</si>
  <si>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</si>
  <si>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</si>
  <si>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</si>
  <si>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</si>
  <si>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</si>
  <si>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</si>
  <si>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</si>
  <si>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</si>
  <si>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</si>
  <si>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</si>
  <si>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</si>
  <si>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</si>
  <si>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</si>
  <si>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</si>
  <si>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</si>
  <si>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</si>
  <si>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</si>
  <si>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</si>
  <si>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</si>
  <si>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</si>
  <si>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</si>
  <si>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</si>
  <si>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</si>
  <si>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</si>
  <si>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</si>
  <si>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</si>
  <si>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</si>
  <si>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</si>
  <si>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</si>
  <si>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</si>
  <si>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</si>
  <si>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</si>
  <si>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</si>
  <si>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</si>
  <si>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</si>
  <si>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</si>
  <si>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</si>
  <si>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</si>
  <si>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</si>
  <si>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</si>
  <si>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</si>
  <si>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</si>
  <si>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</si>
  <si>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</si>
  <si>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</si>
  <si>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</si>
  <si>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</si>
  <si>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</si>
  <si>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</si>
  <si>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</si>
  <si>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</si>
  <si>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</si>
  <si>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</si>
  <si>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</si>
  <si>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</si>
  <si>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</si>
  <si>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</si>
  <si>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</si>
  <si>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</si>
  <si>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</si>
  <si>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</si>
  <si>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</si>
  <si>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</si>
  <si>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</si>
  <si>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</si>
  <si>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</si>
  <si>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</si>
  <si>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</si>
  <si>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</si>
  <si>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</si>
  <si>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</si>
  <si>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</si>
  <si>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</si>
  <si>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</si>
  <si>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</si>
  <si>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</si>
  <si>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</si>
  <si>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</si>
  <si>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</si>
  <si>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</si>
  <si>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</si>
  <si>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</si>
  <si>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</si>
  <si>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</si>
  <si>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</si>
  <si>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</si>
  <si>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</si>
  <si>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</si>
  <si>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</si>
  <si>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</si>
  <si>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</si>
  <si>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</si>
  <si>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</si>
  <si>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</si>
  <si>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</si>
  <si>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</si>
  <si>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</si>
  <si>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</si>
  <si>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</si>
  <si>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</si>
  <si>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</si>
  <si>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</si>
  <si>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</si>
  <si>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</si>
  <si>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</si>
  <si>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</si>
  <si>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</si>
  <si>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</si>
  <si>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</si>
  <si>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</si>
  <si>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</si>
  <si>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</si>
  <si>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</si>
  <si>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</si>
  <si>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</si>
  <si>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</si>
  <si>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</si>
  <si>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</si>
  <si>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</si>
  <si>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</si>
  <si>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</si>
  <si>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</si>
  <si>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</si>
  <si>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</si>
  <si>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</si>
  <si>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</si>
  <si>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</si>
  <si>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</si>
  <si>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</si>
  <si>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</si>
  <si>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</si>
  <si>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</si>
  <si>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</si>
  <si>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</si>
  <si>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</si>
  <si>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</si>
  <si>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</si>
  <si>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</si>
  <si>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</si>
  <si>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</si>
  <si>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</si>
  <si>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</si>
  <si>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</si>
  <si>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</si>
  <si>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</si>
  <si>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</si>
  <si>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</si>
  <si>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</si>
  <si>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</si>
  <si>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</si>
  <si>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</si>
  <si>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</si>
  <si>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</si>
  <si>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</si>
  <si>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</si>
  <si>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</si>
  <si>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</si>
  <si>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</si>
  <si>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</si>
  <si>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</si>
  <si>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</si>
  <si>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</si>
  <si>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</si>
  <si>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</si>
  <si>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</si>
  <si>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</si>
  <si>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</si>
  <si>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</si>
  <si>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</si>
  <si>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</si>
  <si>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</si>
  <si>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</si>
  <si>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</si>
  <si>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</si>
  <si>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</si>
  <si>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</si>
  <si>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</si>
  <si>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</si>
  <si>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</si>
  <si>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</si>
  <si>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</si>
  <si>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</si>
  <si>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</si>
  <si>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</si>
  <si>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</si>
  <si>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</si>
  <si>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</si>
  <si>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</si>
  <si>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</si>
  <si>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</si>
  <si>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</si>
  <si>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</si>
  <si>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</si>
  <si>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</si>
  <si>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</si>
  <si>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</si>
  <si>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</si>
  <si>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</si>
  <si>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</si>
  <si>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</si>
  <si>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</si>
  <si>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</si>
  <si>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</si>
  <si>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</si>
  <si>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</si>
  <si>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</si>
  <si>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</si>
  <si>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</si>
  <si>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</si>
  <si>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</si>
  <si>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</si>
  <si>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</si>
  <si>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</si>
  <si>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</si>
  <si>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</si>
  <si>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</si>
  <si>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</si>
  <si>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</si>
  <si>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</si>
  <si>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</si>
  <si>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</si>
  <si>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</si>
  <si>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</si>
  <si>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</si>
  <si>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</si>
  <si>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</si>
  <si>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</si>
  <si>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</si>
  <si>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</si>
  <si>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</si>
  <si>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</si>
  <si>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</si>
  <si>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</si>
  <si>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</si>
  <si>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</si>
  <si>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</si>
  <si>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</si>
  <si>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</si>
  <si>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</si>
  <si>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</si>
  <si>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</si>
  <si>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</si>
  <si>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</si>
  <si>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</si>
  <si>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</si>
  <si>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</si>
  <si>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</si>
  <si>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</si>
  <si>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</si>
  <si>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</si>
  <si>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</si>
  <si>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</si>
  <si>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</si>
  <si>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</si>
  <si>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</si>
  <si>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</si>
  <si>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</si>
  <si>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</si>
  <si>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</si>
  <si>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</si>
  <si>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</si>
  <si>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</si>
  <si>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</si>
  <si>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</si>
  <si>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</si>
  <si>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</si>
  <si>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</si>
  <si>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</si>
  <si>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</si>
  <si>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</si>
  <si>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</si>
  <si>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</si>
  <si>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</si>
  <si>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</si>
  <si>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</si>
  <si>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</si>
  <si>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</si>
  <si>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</si>
  <si>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</si>
  <si>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</si>
  <si>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</si>
  <si>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</si>
  <si>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</si>
  <si>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</si>
  <si>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</si>
  <si>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</si>
  <si>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</si>
  <si>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</si>
  <si>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</si>
  <si>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</si>
  <si>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</si>
  <si>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</si>
  <si>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</si>
  <si>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</si>
  <si>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</si>
  <si>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</si>
  <si>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</si>
  <si>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</si>
  <si>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</si>
  <si>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</si>
  <si>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</si>
  <si>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</si>
  <si>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</si>
  <si>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</si>
  <si>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</si>
  <si>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</si>
  <si>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</si>
  <si>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</si>
  <si>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</si>
  <si>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</si>
  <si>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</si>
  <si>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</si>
  <si>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</si>
  <si>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</si>
  <si>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</si>
  <si>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</si>
  <si>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</si>
  <si>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</si>
  <si>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</si>
  <si>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</si>
  <si>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</si>
  <si>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</si>
  <si>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</si>
  <si>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</si>
  <si>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</si>
  <si>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</si>
  <si>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</si>
  <si>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</si>
  <si>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</si>
  <si>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</si>
  <si>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</si>
  <si>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</si>
  <si>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</si>
  <si>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</si>
  <si>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</si>
  <si>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</si>
  <si>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</si>
  <si>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</si>
  <si>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</si>
  <si>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</si>
  <si>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</si>
  <si>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</si>
  <si>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</si>
  <si>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</si>
  <si>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</si>
  <si>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</si>
  <si>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</si>
  <si>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</si>
  <si>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</si>
  <si>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</si>
  <si>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</si>
  <si>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</si>
  <si>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</si>
  <si>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</si>
  <si>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</si>
  <si>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</si>
  <si>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</si>
  <si>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</si>
  <si>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</si>
  <si>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</si>
  <si>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</si>
  <si>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</si>
  <si>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</si>
  <si>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</si>
  <si>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</si>
  <si>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</si>
  <si>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</si>
  <si>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</si>
  <si>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</si>
  <si>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</si>
  <si>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</si>
  <si>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</si>
  <si>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</si>
  <si>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</si>
  <si>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</si>
  <si>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</si>
  <si>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</si>
  <si>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</si>
  <si>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</si>
  <si>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</si>
  <si>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</si>
  <si>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</si>
  <si>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</si>
  <si>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</si>
  <si>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</si>
  <si>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</si>
  <si>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</si>
  <si>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</si>
  <si>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</si>
  <si>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</si>
  <si>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</si>
  <si>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</si>
  <si>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</si>
  <si>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</si>
  <si>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</si>
  <si>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</si>
  <si>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</si>
  <si>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</si>
  <si>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</si>
  <si>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</si>
  <si>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</si>
  <si>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</si>
  <si>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</si>
  <si>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</si>
  <si>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</si>
  <si>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</si>
  <si>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</si>
  <si>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</si>
  <si>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</si>
  <si>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</si>
  <si>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</si>
  <si>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</si>
  <si>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</si>
  <si>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</si>
  <si>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</si>
  <si>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</si>
  <si>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</si>
  <si>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</si>
  <si>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</si>
  <si>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</si>
  <si>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</si>
  <si>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</si>
  <si>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</si>
  <si>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</si>
  <si>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</si>
  <si>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</si>
  <si>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</si>
  <si>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</si>
  <si>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</si>
  <si>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</si>
  <si>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</si>
  <si>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</si>
  <si>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</si>
  <si>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</si>
  <si>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</si>
  <si>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</si>
  <si>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</si>
  <si>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</si>
  <si>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</si>
  <si>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</si>
  <si>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</si>
  <si>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</si>
  <si>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</si>
  <si>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</si>
  <si>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</si>
  <si>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</si>
  <si>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</si>
  <si>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</si>
  <si>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</si>
  <si>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</si>
  <si>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</si>
  <si>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</si>
  <si>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</si>
  <si>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</si>
  <si>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</si>
  <si>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</si>
  <si>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</si>
  <si>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</si>
  <si>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</si>
  <si>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</si>
  <si>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</si>
  <si>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</si>
  <si>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</si>
  <si>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</si>
  <si>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</si>
  <si>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</si>
  <si>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</si>
  <si>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</si>
  <si>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</si>
  <si>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</si>
  <si>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</si>
  <si>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</si>
  <si>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</si>
  <si>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</si>
  <si>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</si>
  <si>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</si>
  <si>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</si>
  <si>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</si>
  <si>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</si>
  <si>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</si>
  <si>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</si>
  <si>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</si>
  <si>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</si>
  <si>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</si>
  <si>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</si>
  <si>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</si>
  <si>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</si>
  <si>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</si>
  <si>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</si>
  <si>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</si>
  <si>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</si>
  <si>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</si>
  <si>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</si>
  <si>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</si>
  <si>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</si>
  <si>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</si>
  <si>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</si>
  <si>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</si>
  <si>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</si>
  <si>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</si>
  <si>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</si>
  <si>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</si>
  <si>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</si>
  <si>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</si>
  <si>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</si>
  <si>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</si>
  <si>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</si>
  <si>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</si>
  <si>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</si>
  <si>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</si>
  <si>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</si>
  <si>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</si>
  <si>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</si>
  <si>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</si>
  <si>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</si>
  <si>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</si>
  <si>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</si>
  <si>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</si>
  <si>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</si>
  <si>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</si>
  <si>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</si>
  <si>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</si>
  <si>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</si>
  <si>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</si>
  <si>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</si>
  <si>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</si>
  <si>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</si>
  <si>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</si>
  <si>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</si>
  <si>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</si>
  <si>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</si>
  <si>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</si>
  <si>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</si>
  <si>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</si>
  <si>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</si>
  <si>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</si>
  <si>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</si>
  <si>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</si>
  <si>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</si>
  <si>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</si>
  <si>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</si>
  <si>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</si>
  <si>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</si>
  <si>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</si>
  <si>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</si>
  <si>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</si>
  <si>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</si>
  <si>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</si>
  <si>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</si>
  <si>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</si>
  <si>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</si>
  <si>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</si>
  <si>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</si>
  <si>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</si>
  <si>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</si>
  <si>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</si>
  <si>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</si>
  <si>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</si>
  <si>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</si>
  <si>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</si>
  <si>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</si>
  <si>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</si>
  <si>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</si>
  <si>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</si>
  <si>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</si>
  <si>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</si>
  <si>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</si>
  <si>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</si>
  <si>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</si>
  <si>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</si>
  <si>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</si>
  <si>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</si>
  <si>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</si>
  <si>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</si>
  <si>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</si>
  <si>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</si>
  <si>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</si>
  <si>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</si>
  <si>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</si>
  <si>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</si>
  <si>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</si>
  <si>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</si>
  <si>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</si>
  <si>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</si>
  <si>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</si>
  <si>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</si>
  <si>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</si>
  <si>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</si>
  <si>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</si>
  <si>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</si>
  <si>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</si>
  <si>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</si>
  <si>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</si>
  <si>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</si>
  <si>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</si>
  <si>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</si>
  <si>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</si>
  <si>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</si>
  <si>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</si>
  <si>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</si>
  <si>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</si>
  <si>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</si>
  <si>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</si>
  <si>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</si>
  <si>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</si>
  <si>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</si>
  <si>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</si>
  <si>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</si>
  <si>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</si>
  <si>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</si>
  <si>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</si>
  <si>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</si>
  <si>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</si>
  <si>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</si>
  <si>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</si>
  <si>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</si>
  <si>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</si>
  <si>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</si>
  <si>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</si>
  <si>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</si>
  <si>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</si>
  <si>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</si>
  <si>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</si>
  <si>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</si>
  <si>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</si>
  <si>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</si>
  <si>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</si>
  <si>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</si>
  <si>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</si>
  <si>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</si>
  <si>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</si>
  <si>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</si>
  <si>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</si>
  <si>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</si>
  <si>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</si>
  <si>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</si>
  <si>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</si>
  <si>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</si>
  <si>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</si>
  <si>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</si>
  <si>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</si>
  <si>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</si>
  <si>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</si>
  <si>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</si>
  <si>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</si>
  <si>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</si>
  <si>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</si>
  <si>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</si>
  <si>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</si>
  <si>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</si>
  <si>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</si>
  <si>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</si>
  <si>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</si>
  <si>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</si>
  <si>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</si>
  <si>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</si>
  <si>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</si>
  <si>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</si>
  <si>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</si>
  <si>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</si>
  <si>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</si>
  <si>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</si>
  <si>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</si>
  <si>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</si>
  <si>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</si>
  <si>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</si>
  <si>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</si>
  <si>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</si>
  <si>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</si>
  <si>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</si>
  <si>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</si>
  <si>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</si>
  <si>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</si>
  <si>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</si>
  <si>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</si>
  <si>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</si>
  <si>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</si>
  <si>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</si>
  <si>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</si>
  <si>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</si>
  <si>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</si>
  <si>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</si>
  <si>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</si>
  <si>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</si>
  <si>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</si>
  <si>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</si>
  <si>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</si>
  <si>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</si>
  <si>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</si>
  <si>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</si>
  <si>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</si>
  <si>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</si>
  <si>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</si>
  <si>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</si>
  <si>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</si>
  <si>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</si>
  <si>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</si>
  <si>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</si>
  <si>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</si>
  <si>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</si>
  <si>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</si>
  <si>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</si>
  <si>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</si>
  <si>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</si>
  <si>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</si>
  <si>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</si>
  <si>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</si>
  <si>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</si>
  <si>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</si>
  <si>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</si>
  <si>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</si>
  <si>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</si>
  <si>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</si>
  <si>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</si>
  <si>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</si>
  <si>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</si>
  <si>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</si>
  <si>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</si>
  <si>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</si>
  <si>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</si>
  <si>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</si>
  <si>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</si>
  <si>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</si>
  <si>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</si>
  <si>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</si>
  <si>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</si>
  <si>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</si>
  <si>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</si>
  <si>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</si>
  <si>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</si>
  <si>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</si>
  <si>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</si>
  <si>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</si>
  <si>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</si>
  <si>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</si>
  <si>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</si>
  <si>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</si>
  <si>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</si>
  <si>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</si>
  <si>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</si>
  <si>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</si>
  <si>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</si>
  <si>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</si>
  <si>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</si>
  <si>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</si>
  <si>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</si>
  <si>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</si>
  <si>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</si>
  <si>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</si>
  <si>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</si>
  <si>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</si>
  <si>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</si>
  <si>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</si>
  <si>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</si>
  <si>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</si>
  <si>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</si>
  <si>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</si>
  <si>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</si>
  <si>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</si>
  <si>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</si>
  <si>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</si>
  <si>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</si>
  <si>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</si>
  <si>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</si>
  <si>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</si>
  <si>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</si>
  <si>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</si>
  <si>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</si>
  <si>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</si>
  <si>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</si>
  <si>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</si>
  <si>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</si>
  <si>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</si>
  <si>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</si>
  <si>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</si>
  <si>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</si>
  <si>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</si>
  <si>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</si>
  <si>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</si>
  <si>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</si>
  <si>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</si>
  <si>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</si>
  <si>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</si>
  <si>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</si>
  <si>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</si>
  <si>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</si>
  <si>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</si>
  <si>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</si>
  <si>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</si>
  <si>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</si>
  <si>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</si>
  <si>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</si>
  <si>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</si>
  <si>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</si>
  <si>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</si>
  <si>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</si>
  <si>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</si>
  <si>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</si>
  <si>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</si>
  <si>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</si>
  <si>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</si>
  <si>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</si>
  <si>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</si>
  <si>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</si>
  <si>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</si>
  <si>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</si>
  <si>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</si>
  <si>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</si>
  <si>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</si>
  <si>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</si>
  <si>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</si>
  <si>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</si>
  <si>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</si>
  <si>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</si>
  <si>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</si>
  <si>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</si>
  <si>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</si>
  <si>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</si>
  <si>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</si>
  <si>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</si>
  <si>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</si>
  <si>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</si>
  <si>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</si>
  <si>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</si>
  <si>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</si>
  <si>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</si>
  <si>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</si>
  <si>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</si>
  <si>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</si>
  <si>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</si>
  <si>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</si>
  <si>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</si>
  <si>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</si>
  <si>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</si>
  <si>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</si>
  <si>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</si>
  <si>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</si>
  <si>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</si>
  <si>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</si>
  <si>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</si>
  <si>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</si>
  <si>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</si>
  <si>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</si>
  <si>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</si>
  <si>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</si>
  <si>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</si>
  <si>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</si>
  <si>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</si>
  <si>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</si>
  <si>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</si>
  <si>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</si>
  <si>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</si>
  <si>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</si>
  <si>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</si>
  <si>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</si>
  <si>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</si>
  <si>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</si>
  <si>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</si>
  <si>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</si>
  <si>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</si>
  <si>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</si>
  <si>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</si>
  <si>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</si>
  <si>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</si>
  <si>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</si>
  <si>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</si>
  <si>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</si>
  <si>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</si>
  <si>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</si>
  <si>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</si>
  <si>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</si>
  <si>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</si>
  <si>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</si>
  <si>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</si>
  <si>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</si>
  <si>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</si>
  <si>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</si>
  <si>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</si>
  <si>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</si>
  <si>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</si>
  <si>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</si>
  <si>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</si>
  <si>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</si>
  <si>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</si>
  <si>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</si>
  <si>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</si>
  <si>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</si>
  <si>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</si>
  <si>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</si>
  <si>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</si>
  <si>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</si>
  <si>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</si>
  <si>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</si>
  <si>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</si>
  <si>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</si>
  <si>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</si>
  <si>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</si>
  <si>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</si>
  <si>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</si>
  <si>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</si>
  <si>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</si>
  <si>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</si>
  <si>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</si>
  <si>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</si>
  <si>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</si>
  <si>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</si>
  <si>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</si>
  <si>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</si>
  <si>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</si>
  <si>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</si>
  <si>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</si>
  <si>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</si>
  <si>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</si>
  <si>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</si>
  <si>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</si>
  <si>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</si>
  <si>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</si>
  <si>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</si>
  <si>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</si>
  <si>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</si>
  <si>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</si>
  <si>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</si>
  <si>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</si>
  <si>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</si>
  <si>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</si>
  <si>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</si>
  <si>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</si>
  <si>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</si>
  <si>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</si>
  <si>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</si>
  <si>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</si>
  <si>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</si>
  <si>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</si>
  <si>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</si>
  <si>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</si>
  <si>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</si>
  <si>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</si>
  <si>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</si>
  <si>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</si>
  <si>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</si>
  <si>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</si>
  <si>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</si>
  <si>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</si>
  <si>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</si>
  <si>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</si>
  <si>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</si>
  <si>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</si>
  <si>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</si>
  <si>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</si>
  <si>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</si>
  <si>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</si>
  <si>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</si>
  <si>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</si>
  <si>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</si>
  <si>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</si>
  <si>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</si>
  <si>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</si>
  <si>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</si>
  <si>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</si>
  <si>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</si>
  <si>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</si>
  <si>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</si>
  <si>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</si>
  <si>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</si>
  <si>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</si>
  <si>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</si>
  <si>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</si>
  <si>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</si>
  <si>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</si>
  <si>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</si>
  <si>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</si>
  <si>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</si>
  <si>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</si>
  <si>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</si>
  <si>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</si>
  <si>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</si>
  <si>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</si>
  <si>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</si>
  <si>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</si>
  <si>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</si>
  <si>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</si>
  <si>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</si>
  <si>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</si>
  <si>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</si>
  <si>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</si>
  <si>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</si>
  <si>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</si>
  <si>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</si>
  <si>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</si>
  <si>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</si>
  <si>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</si>
  <si>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</si>
  <si>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</si>
  <si>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</si>
  <si>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</si>
  <si>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</si>
  <si>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</si>
  <si>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</si>
  <si>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</si>
  <si>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</si>
  <si>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</si>
  <si>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</si>
  <si>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</si>
  <si>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</si>
  <si>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</si>
  <si>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</si>
  <si>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</si>
  <si>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</si>
  <si>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</si>
  <si>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</si>
  <si>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</si>
  <si>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</si>
  <si>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</si>
  <si>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</si>
  <si>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</si>
  <si>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</si>
  <si>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</si>
  <si>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</si>
  <si>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</si>
  <si>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</si>
  <si>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</si>
  <si>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</si>
  <si>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</si>
  <si>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</si>
  <si>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</si>
  <si>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</si>
  <si>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</si>
  <si>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</si>
  <si>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</si>
  <si>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</si>
  <si>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</si>
  <si>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</si>
  <si>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</si>
  <si>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</si>
  <si>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</si>
  <si>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</si>
  <si>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</si>
  <si>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</si>
  <si>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</si>
  <si>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</si>
  <si>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</si>
  <si>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</si>
  <si>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</si>
  <si>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</si>
  <si>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</si>
  <si>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</si>
  <si>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</si>
  <si>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</si>
  <si>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</si>
  <si>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</si>
  <si>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</si>
  <si>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</si>
  <si>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</si>
  <si>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</si>
  <si>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</si>
  <si>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</si>
  <si>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</si>
  <si>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</si>
  <si>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</si>
  <si>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</si>
  <si>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</si>
  <si>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</si>
  <si>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</si>
  <si>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</si>
  <si>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</si>
  <si>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</si>
  <si>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</si>
  <si>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</si>
  <si>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</si>
  <si>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</si>
  <si>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</si>
  <si>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</si>
  <si>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</si>
  <si>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</si>
  <si>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</si>
  <si>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</si>
  <si>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</si>
  <si>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</si>
  <si>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</si>
  <si>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</si>
  <si>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</si>
  <si>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</si>
  <si>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</si>
  <si>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</si>
  <si>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</si>
  <si>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</si>
  <si>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</si>
  <si>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</si>
  <si>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</si>
  <si>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</si>
  <si>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</si>
  <si>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</si>
  <si>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</si>
  <si>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</si>
  <si>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</si>
  <si>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</si>
  <si>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</si>
  <si>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</si>
  <si>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</si>
  <si>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</si>
  <si>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</si>
  <si>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</si>
  <si>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</si>
  <si>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</si>
  <si>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</si>
  <si>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</si>
  <si>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</si>
  <si>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</si>
  <si>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</si>
  <si>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</si>
  <si>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</si>
  <si>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</si>
  <si>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</si>
  <si>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</si>
  <si>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</si>
  <si>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</si>
  <si>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</si>
  <si>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</si>
  <si>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</si>
  <si>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</si>
  <si>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</si>
  <si>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</si>
  <si>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</si>
  <si>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</si>
  <si>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</si>
  <si>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</si>
  <si>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</si>
  <si>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</si>
  <si>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</si>
  <si>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</si>
  <si>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</si>
  <si>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</si>
  <si>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</si>
  <si>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</si>
  <si>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</si>
  <si>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</si>
  <si>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</si>
  <si>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</si>
  <si>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</si>
  <si>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</si>
  <si>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</si>
  <si>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</si>
  <si>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</si>
  <si>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</si>
  <si>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</si>
  <si>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</si>
  <si>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</si>
  <si>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</si>
  <si>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</si>
  <si>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</si>
  <si>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</si>
  <si>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</si>
  <si>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</si>
  <si>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</si>
  <si>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</si>
  <si>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</si>
  <si>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</si>
  <si>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</si>
  <si>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</si>
  <si>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</si>
  <si>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</si>
  <si>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</si>
  <si>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</si>
  <si>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</si>
  <si>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</si>
  <si>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</si>
  <si>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</si>
  <si>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</si>
  <si>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</si>
  <si>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</si>
  <si>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</si>
  <si>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</si>
  <si>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</si>
  <si>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</si>
  <si>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</si>
  <si>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</si>
  <si>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</si>
  <si>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</si>
  <si>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</si>
  <si>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</si>
  <si>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</si>
  <si>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</si>
  <si>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</si>
  <si>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</si>
  <si>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</si>
  <si>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</si>
  <si>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</si>
  <si>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</si>
  <si>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</si>
  <si>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</si>
  <si>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</si>
  <si>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</si>
  <si>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</si>
  <si>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</si>
  <si>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</si>
  <si>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</si>
  <si>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</si>
  <si>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</si>
  <si>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</si>
  <si>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</si>
  <si>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</si>
  <si>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</si>
  <si>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</si>
  <si>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</si>
  <si>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</si>
  <si>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</si>
  <si>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</si>
  <si>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</si>
  <si>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</si>
  <si>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</si>
  <si>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</si>
  <si>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</si>
  <si>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</si>
  <si>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</si>
  <si>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</si>
  <si>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</si>
  <si>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</si>
  <si>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</si>
  <si>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</si>
  <si>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</si>
  <si>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</si>
  <si>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</si>
  <si>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</si>
  <si>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</si>
  <si>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</si>
  <si>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</si>
  <si>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</si>
  <si>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</si>
  <si>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</si>
  <si>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</si>
  <si>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</si>
  <si>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</si>
  <si>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</si>
  <si>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</si>
  <si>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</si>
  <si>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</si>
  <si>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</si>
  <si>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</si>
  <si>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</si>
  <si>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</si>
  <si>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</si>
  <si>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</si>
  <si>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</si>
  <si>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</si>
  <si>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</si>
  <si>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</si>
  <si>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</si>
  <si>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</si>
  <si>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</si>
  <si>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</si>
  <si>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</si>
  <si>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</si>
  <si>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</si>
  <si>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</si>
  <si>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</si>
  <si>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</si>
  <si>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</si>
  <si>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</si>
  <si>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</si>
  <si>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</si>
  <si>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</si>
  <si>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</si>
  <si>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</si>
  <si>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</si>
  <si>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</si>
  <si>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</si>
  <si>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</si>
  <si>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</si>
  <si>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</si>
  <si>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</si>
  <si>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</si>
  <si>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</si>
  <si>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</si>
  <si>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</si>
  <si>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</si>
  <si>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</si>
  <si>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</si>
  <si>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</si>
  <si>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</si>
  <si>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</si>
  <si>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</si>
  <si>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</si>
  <si>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</si>
  <si>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</si>
  <si>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</si>
  <si>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</si>
  <si>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</si>
  <si>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</si>
  <si>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</si>
  <si>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</si>
  <si>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</si>
  <si>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</si>
  <si>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</si>
  <si>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</si>
  <si>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</si>
  <si>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</si>
  <si>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</si>
  <si>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</si>
  <si>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</si>
  <si>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</si>
  <si>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</si>
  <si>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</si>
  <si>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</si>
  <si>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</si>
  <si>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</si>
  <si>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</si>
  <si>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</si>
  <si>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</si>
  <si>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</si>
  <si>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</si>
  <si>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</si>
  <si>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</si>
  <si>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</si>
  <si>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</si>
  <si>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</si>
  <si>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</si>
  <si>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</si>
  <si>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</si>
  <si>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</si>
  <si>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</si>
  <si>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</si>
  <si>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</si>
  <si>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</si>
  <si>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</si>
  <si>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</si>
  <si>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</si>
  <si>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</si>
  <si>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</si>
  <si>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</si>
  <si>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</si>
  <si>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</si>
  <si>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</si>
  <si>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</si>
  <si>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</si>
  <si>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</si>
  <si>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</si>
  <si>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</si>
  <si>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</si>
  <si>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</si>
  <si>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</si>
  <si>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</si>
  <si>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</si>
  <si>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</si>
  <si>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</si>
  <si>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</si>
  <si>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</si>
  <si>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</si>
  <si>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</si>
  <si>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</si>
  <si>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</si>
  <si>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</si>
  <si>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</si>
  <si>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</si>
  <si>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</si>
  <si>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</si>
  <si>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</si>
  <si>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</si>
  <si>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</si>
  <si>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</si>
  <si>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</si>
  <si>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</si>
  <si>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</si>
  <si>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</si>
  <si>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</si>
  <si>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</si>
  <si>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</si>
  <si>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</si>
  <si>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</si>
  <si>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</si>
  <si>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</si>
  <si>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</si>
  <si>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</si>
  <si>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</si>
  <si>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</si>
  <si>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</si>
  <si>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</si>
  <si>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</si>
  <si>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</si>
  <si>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</si>
  <si>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</si>
  <si>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</si>
  <si>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</si>
  <si>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</si>
  <si>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</si>
  <si>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</si>
  <si>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</si>
  <si>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</si>
  <si>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</si>
  <si>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</si>
  <si>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</si>
  <si>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</si>
  <si>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</si>
  <si>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</si>
  <si>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</si>
  <si>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</si>
  <si>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</si>
  <si>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</si>
  <si>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</si>
  <si>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</si>
  <si>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</si>
  <si>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</si>
  <si>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</si>
  <si>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</si>
  <si>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</si>
  <si>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</si>
  <si>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</si>
  <si>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</si>
  <si>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</si>
  <si>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</si>
  <si>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</si>
  <si>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</si>
  <si>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</si>
  <si>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</si>
  <si>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</si>
  <si>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</si>
  <si>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</si>
  <si>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</si>
  <si>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</si>
  <si>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</si>
  <si>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</si>
  <si>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</si>
  <si>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</si>
  <si>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</si>
  <si>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</si>
  <si>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</si>
  <si>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</si>
  <si>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</si>
  <si>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</si>
  <si>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</si>
  <si>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</si>
  <si>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</si>
  <si>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</si>
  <si>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</si>
  <si>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</si>
  <si>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</si>
  <si>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</si>
  <si>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</si>
  <si>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</si>
  <si>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</si>
  <si>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</si>
  <si>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</si>
  <si>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</si>
  <si>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</si>
  <si>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</si>
  <si>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</si>
  <si>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</si>
  <si>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</si>
  <si>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</si>
  <si>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</si>
  <si>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</si>
  <si>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</si>
  <si>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</si>
  <si>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</si>
  <si>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</si>
  <si>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</si>
  <si>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</si>
  <si>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</si>
  <si>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</si>
  <si>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</si>
  <si>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</si>
  <si>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</si>
  <si>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</si>
  <si>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</si>
  <si>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</si>
  <si>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</si>
  <si>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</si>
  <si>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</si>
  <si>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</si>
  <si>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</si>
  <si>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</si>
  <si>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</si>
  <si>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</si>
  <si>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</si>
  <si>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</si>
  <si>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</si>
  <si>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</si>
  <si>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</si>
  <si>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</si>
  <si>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</si>
  <si>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</si>
  <si>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</si>
  <si>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</si>
  <si>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</si>
  <si>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</si>
  <si>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</si>
  <si>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</si>
  <si>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</si>
  <si>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</si>
  <si>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</si>
  <si>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</si>
  <si>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</si>
  <si>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</si>
  <si>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</si>
  <si>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</si>
  <si>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</si>
  <si>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</si>
  <si>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</si>
  <si>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</si>
  <si>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</si>
  <si>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</si>
  <si>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</si>
  <si>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</si>
  <si>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</si>
  <si>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</si>
  <si>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</si>
  <si>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</si>
  <si>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</si>
  <si>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</si>
  <si>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</si>
  <si>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</si>
  <si>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</si>
  <si>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</si>
  <si>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</si>
  <si>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</si>
  <si>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</si>
  <si>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</si>
  <si>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</si>
  <si>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</si>
  <si>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</si>
  <si>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</si>
  <si>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</si>
  <si>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</si>
  <si>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</si>
  <si>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</si>
  <si>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</si>
  <si>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</si>
  <si>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</si>
  <si>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</si>
  <si>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</si>
  <si>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</si>
  <si>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</si>
  <si>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</si>
  <si>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</si>
  <si>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</si>
  <si>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</si>
  <si>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</si>
  <si>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</si>
  <si>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</si>
  <si>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</si>
  <si>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</si>
  <si>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</si>
  <si>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</si>
  <si>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</si>
  <si>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</si>
  <si>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</si>
  <si>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</si>
  <si>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</si>
  <si>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</si>
  <si>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</si>
  <si>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</si>
  <si>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</si>
  <si>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</si>
  <si>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</si>
  <si>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</si>
  <si>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</si>
  <si>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</si>
  <si>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</si>
  <si>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</si>
  <si>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</si>
  <si>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</si>
  <si>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</si>
  <si>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</si>
  <si>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</si>
  <si>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</si>
  <si>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</si>
  <si>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</si>
  <si>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</si>
  <si>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</si>
  <si>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</si>
  <si>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</si>
  <si>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</si>
  <si>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</si>
  <si>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</si>
  <si>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</si>
  <si>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</si>
  <si>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</si>
  <si>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</si>
  <si>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</si>
  <si>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</si>
  <si>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</si>
  <si>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</si>
  <si>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</si>
  <si>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</si>
  <si>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</si>
  <si>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</si>
  <si>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</si>
  <si>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</si>
  <si>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</si>
  <si>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</si>
  <si>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</si>
  <si>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</si>
  <si>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</si>
  <si>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</si>
  <si>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</si>
  <si>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</si>
  <si>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</si>
  <si>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</si>
  <si>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</si>
  <si>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</si>
  <si>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</si>
  <si>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</si>
  <si>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</si>
  <si>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</si>
  <si>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</si>
  <si>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</si>
  <si>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</si>
  <si>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</si>
  <si>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</si>
  <si>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</si>
  <si>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</si>
  <si>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</si>
  <si>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</si>
  <si>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</si>
  <si>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</si>
  <si>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</si>
  <si>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</si>
  <si>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</si>
  <si>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</si>
  <si>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</si>
  <si>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</si>
  <si>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</si>
  <si>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</si>
  <si>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</si>
  <si>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</si>
  <si>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</si>
  <si>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</si>
  <si>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</si>
  <si>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</si>
  <si>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</si>
  <si>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</si>
  <si>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</si>
  <si>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</si>
  <si>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</si>
  <si>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</si>
  <si>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</si>
  <si>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</si>
  <si>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</si>
  <si>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</si>
  <si>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</si>
  <si>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</si>
  <si>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</si>
  <si>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</si>
  <si>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</si>
  <si>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</si>
  <si>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</si>
  <si>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</si>
  <si>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</si>
  <si>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</si>
  <si>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</si>
  <si>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</si>
  <si>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</si>
  <si>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</si>
  <si>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</si>
  <si>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</si>
  <si>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</si>
  <si>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</si>
  <si>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</si>
  <si>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</si>
  <si>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</si>
  <si>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</si>
  <si>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</si>
  <si>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</si>
  <si>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</si>
  <si>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</si>
  <si>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</si>
  <si>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</si>
  <si>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</si>
  <si>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</si>
  <si>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</si>
  <si>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</si>
  <si>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</si>
  <si>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</si>
  <si>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</si>
  <si>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</si>
  <si>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</si>
  <si>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</si>
  <si>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</si>
  <si>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</si>
  <si>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</si>
  <si>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</si>
  <si>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</si>
  <si>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</si>
  <si>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</si>
  <si>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</si>
  <si>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</si>
  <si>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</si>
  <si>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</si>
  <si>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</si>
  <si>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</si>
  <si>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</si>
  <si>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</si>
  <si>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</si>
  <si>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</si>
  <si>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</si>
  <si>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</si>
  <si>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</si>
  <si>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</si>
  <si>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</si>
  <si>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</si>
  <si>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</si>
  <si>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</si>
  <si>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</si>
  <si>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</si>
  <si>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</si>
  <si>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</si>
  <si>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</si>
  <si>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</si>
  <si>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</si>
  <si>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</si>
  <si>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</si>
  <si>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</si>
  <si>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</si>
  <si>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</si>
  <si>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</si>
  <si>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</si>
  <si>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</si>
  <si>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</si>
  <si>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</si>
  <si>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</si>
  <si>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</si>
  <si>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</si>
  <si>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</si>
  <si>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</si>
  <si>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</si>
  <si>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</si>
  <si>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</si>
  <si>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</si>
  <si>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</si>
  <si>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</si>
  <si>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</si>
  <si>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</si>
  <si>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</si>
  <si>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</si>
  <si>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</si>
  <si>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</si>
  <si>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</si>
  <si>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</si>
  <si>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</si>
  <si>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</si>
  <si>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</si>
  <si>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</si>
  <si>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</si>
  <si>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</si>
  <si>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</si>
  <si>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</si>
  <si>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</si>
  <si>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</si>
  <si>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</si>
  <si>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</si>
  <si>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</si>
  <si>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</si>
  <si>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</si>
  <si>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</si>
  <si>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</si>
  <si>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</si>
  <si>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</si>
  <si>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</si>
  <si>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</si>
  <si>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</si>
  <si>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</si>
  <si>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</si>
  <si>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</si>
  <si>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</si>
  <si>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</si>
  <si>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</si>
  <si>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</si>
  <si>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</si>
  <si>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</si>
  <si>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</si>
  <si>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</si>
  <si>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已全部缴纳</t>
  </si>
  <si>
    <t>北京市朝阳区奥林匹克公园中心区B23等地块B4综合性商业金融服务业用地、F3其他类多功能用地</t>
  </si>
  <si>
    <t>2018-11-05</t>
  </si>
  <si>
    <t>北京北辰实业集团有限责任公司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</si>
  <si>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</si>
  <si>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</si>
  <si>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</si>
  <si>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</si>
  <si>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</si>
  <si>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</si>
  <si>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</si>
  <si>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</si>
  <si>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</si>
  <si>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</si>
  <si>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</si>
  <si>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</si>
  <si>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</si>
  <si>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</si>
  <si>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</si>
  <si>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</si>
  <si>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</si>
  <si>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朝阳区太阳宫乡0301-615、0301-616地块</t>
  </si>
  <si>
    <t>2015-02-10</t>
  </si>
  <si>
    <t>绿地控股集团有限公司</t>
  </si>
  <si>
    <t>一般</t>
    <phoneticPr fontId="26" type="noConversion"/>
  </si>
  <si>
    <t>主干道</t>
    <phoneticPr fontId="26" type="noConversion"/>
  </si>
  <si>
    <t>次干道</t>
    <phoneticPr fontId="26" type="noConversion"/>
  </si>
  <si>
    <t>支路</t>
    <phoneticPr fontId="26" type="noConversion"/>
  </si>
  <si>
    <t>潞城镇</t>
    <phoneticPr fontId="26" type="noConversion"/>
  </si>
  <si>
    <t>较好</t>
    <phoneticPr fontId="26" type="noConversion"/>
  </si>
  <si>
    <t>权重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</si>
</sst>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144" fillId="5" borderId="0" xfId="0" applyFont="1" applyFill="1" applyAlignment="1" applyProtection="1">
      <alignment horizontal="center" vertical="center"/>
      <protection locked="0"/>
    </xf>
    <xf numFmtId="9" fontId="84" fillId="0"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根据《国有土地使用证》[]，估价对象（分摊）出让国有建设用地使用权面积为15721.96平方米。根据《建设工程规划许可证》[]、《出让合同》[]，估价对象规划建筑面积为147819.42平方米。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15721.96</v>
      </c>
    </row>
    <row r="44" spans="1:2">
      <c r="A44" s="2833" t="s">
        <v>2737</v>
      </c>
      <c r="B44" s="2834" t="str">
        <f>'预评函-2'!O3</f>
        <v>规划建筑面积/㎡</v>
      </c>
    </row>
    <row r="45" spans="1:2">
      <c r="A45" s="2833" t="s">
        <v>2719</v>
      </c>
      <c r="B45" s="2834">
        <f>'预评函-2'!O5</f>
        <v>147819.42000000001</v>
      </c>
    </row>
    <row r="46" spans="1:2">
      <c r="A46" s="2833" t="s">
        <v>2720</v>
      </c>
      <c r="B46" s="2834">
        <f ca="1">'预评函-2'!P5</f>
        <v>91513</v>
      </c>
    </row>
    <row r="47" spans="1:2">
      <c r="A47" s="2833" t="s">
        <v>2721</v>
      </c>
      <c r="B47" s="2834">
        <f ca="1">'预评函-2'!Q5</f>
        <v>9733</v>
      </c>
    </row>
    <row r="48" spans="1:2">
      <c r="A48" s="2833" t="s">
        <v>2722</v>
      </c>
      <c r="B48" s="2834">
        <f ca="1">'预评函-2'!R5</f>
        <v>143876</v>
      </c>
    </row>
    <row r="49" spans="1:2">
      <c r="A49" s="2833" t="s">
        <v>2738</v>
      </c>
      <c r="B49" s="2834" t="str">
        <f>'预评函-2'!A6</f>
        <v>抵押价格</v>
      </c>
    </row>
    <row r="50" spans="1:2">
      <c r="A50" s="2833" t="s">
        <v>2723</v>
      </c>
      <c r="B50" s="2834">
        <f ca="1">'预评函-2'!R6</f>
        <v>143876</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Normal="100" zoomScaleSheetLayoutView="90" workbookViewId="0">
      <selection activeCell="H19" sqref="H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46" t="str">
        <f>IF(B10="北京市","北京市",C10)&amp;F10&amp;B16&amp;"国有建设用地使用权"&amp;B9&amp;"预评估"</f>
        <v>北京市出让国有建设用地使用权抵押价格预评估</v>
      </c>
      <c r="C1" s="3247"/>
      <c r="D1" s="3247"/>
      <c r="E1" s="3247"/>
      <c r="F1" s="3247"/>
      <c r="G1" s="3247"/>
      <c r="H1" s="3247"/>
      <c r="I1" s="3248"/>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52"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53"/>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49"/>
      <c r="C12" s="3250"/>
      <c r="D12" s="3251"/>
      <c r="E12" s="1683" t="s">
        <v>2059</v>
      </c>
      <c r="F12" s="3267" t="s">
        <v>2887</v>
      </c>
      <c r="G12" s="3268"/>
      <c r="H12" s="3268"/>
      <c r="I12" s="3269"/>
      <c r="J12" s="1678"/>
      <c r="K12" s="1758"/>
      <c r="L12" s="1707"/>
      <c r="M12" s="1707"/>
      <c r="N12" s="1678"/>
      <c r="O12" s="1679"/>
      <c r="P12" s="1678"/>
      <c r="Q12" s="1678"/>
      <c r="R12" s="1678"/>
      <c r="S12" s="1678"/>
      <c r="T12" s="1678"/>
      <c r="U12" s="1678"/>
    </row>
    <row r="13" spans="1:21">
      <c r="A13" s="1671" t="s">
        <v>2057</v>
      </c>
      <c r="B13" s="3249"/>
      <c r="C13" s="3250"/>
      <c r="D13" s="3251"/>
      <c r="E13" s="1683" t="s">
        <v>2059</v>
      </c>
      <c r="F13" s="3267" t="s">
        <v>2888</v>
      </c>
      <c r="G13" s="3268"/>
      <c r="H13" s="3268"/>
      <c r="I13" s="3269"/>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64"/>
      <c r="E20" s="3265"/>
      <c r="F20" s="3265"/>
      <c r="G20" s="3265"/>
      <c r="H20" s="3265"/>
      <c r="I20" s="3266"/>
      <c r="J20" s="1678"/>
      <c r="K20" s="1758"/>
      <c r="L20" s="1707"/>
      <c r="M20" s="1707"/>
      <c r="N20" s="1678"/>
      <c r="O20" s="1679"/>
      <c r="P20" s="1678"/>
      <c r="Q20" s="1678"/>
      <c r="R20" s="1678"/>
      <c r="S20" s="1678"/>
      <c r="T20" s="1678"/>
      <c r="U20" s="1678"/>
    </row>
    <row r="21" spans="1:21">
      <c r="A21" s="1747" t="s">
        <v>1956</v>
      </c>
      <c r="B21" s="1748" t="s">
        <v>1957</v>
      </c>
      <c r="C21" s="1743">
        <f>'数据-汇总表'!E3</f>
        <v>147819.42000000001</v>
      </c>
      <c r="D21" s="1744" t="s">
        <v>1958</v>
      </c>
      <c r="E21" s="3254" t="s">
        <v>1996</v>
      </c>
      <c r="F21" s="3255"/>
      <c r="G21" s="3255"/>
      <c r="H21" s="3255"/>
      <c r="I21" s="3256"/>
      <c r="J21" s="1678"/>
      <c r="K21" s="1758"/>
      <c r="L21" s="1707"/>
      <c r="M21" s="1707"/>
      <c r="N21" s="1678"/>
      <c r="O21" s="1679"/>
      <c r="P21" s="1678"/>
      <c r="Q21" s="1678"/>
      <c r="R21" s="1678"/>
      <c r="S21" s="1678"/>
      <c r="T21" s="1678"/>
      <c r="U21" s="1678"/>
    </row>
    <row r="22" spans="1:21">
      <c r="A22" s="3097" t="s">
        <v>952</v>
      </c>
      <c r="B22" s="1645" t="s">
        <v>1959</v>
      </c>
      <c r="C22" s="1670">
        <f>'数据-汇总表'!D3</f>
        <v>15721.96</v>
      </c>
      <c r="D22" s="1671" t="s">
        <v>1958</v>
      </c>
      <c r="E22" s="3254" t="s">
        <v>2889</v>
      </c>
      <c r="F22" s="3255"/>
      <c r="G22" s="3255"/>
      <c r="H22" s="3255"/>
      <c r="I22" s="3256"/>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57" t="s">
        <v>1964</v>
      </c>
      <c r="C24" s="3258"/>
      <c r="D24" s="3259" t="s">
        <v>1965</v>
      </c>
      <c r="E24" s="3260"/>
      <c r="F24" s="1692" t="s">
        <v>1966</v>
      </c>
      <c r="G24" s="1678"/>
      <c r="H24" s="1678"/>
      <c r="I24" s="1691"/>
      <c r="J24" s="1678"/>
      <c r="K24" s="3245"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4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4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72" t="s">
        <v>1999</v>
      </c>
      <c r="B31" s="1748" t="s">
        <v>2000</v>
      </c>
      <c r="C31" s="3270"/>
      <c r="D31" s="3271"/>
      <c r="E31" s="1678"/>
      <c r="F31" s="1678"/>
      <c r="G31" s="1678"/>
      <c r="H31" s="1678"/>
      <c r="I31" s="1691"/>
      <c r="J31" s="1678"/>
      <c r="K31" s="2422"/>
      <c r="L31" s="1678"/>
      <c r="M31" s="1678"/>
      <c r="N31" s="1678"/>
      <c r="O31" s="1678"/>
      <c r="P31" s="1678"/>
      <c r="Q31" s="1678"/>
      <c r="R31" s="1678"/>
      <c r="S31" s="1678"/>
      <c r="T31" s="1678"/>
      <c r="U31" s="1678"/>
    </row>
    <row r="32" spans="1:21">
      <c r="A32" s="3272"/>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2"/>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3"/>
      <c r="B34" s="1645" t="s">
        <v>2003</v>
      </c>
      <c r="C34" s="3274"/>
      <c r="D34" s="3275"/>
      <c r="E34" s="1678"/>
      <c r="F34" s="1678"/>
      <c r="G34" s="1678"/>
      <c r="H34" s="1678"/>
      <c r="I34" s="1691"/>
      <c r="J34" s="1678"/>
      <c r="K34" s="2422"/>
      <c r="L34" s="1678"/>
      <c r="M34" s="1678"/>
      <c r="N34" s="1678"/>
      <c r="O34" s="1678"/>
      <c r="P34" s="1678"/>
      <c r="Q34" s="1678"/>
      <c r="R34" s="1678"/>
      <c r="S34" s="1678"/>
      <c r="T34" s="1678"/>
      <c r="U34" s="1678"/>
    </row>
    <row r="35" spans="1:21">
      <c r="A35" s="3276" t="s">
        <v>847</v>
      </c>
      <c r="B35" s="1706"/>
      <c r="C35" s="1760" t="str">
        <f>IF(B35="场地平整","——","具体情况：")</f>
        <v>具体情况：</v>
      </c>
      <c r="D35" s="3278"/>
      <c r="E35" s="3279"/>
      <c r="F35" s="3279"/>
      <c r="G35" s="3279"/>
      <c r="H35" s="3279"/>
      <c r="I35" s="3280"/>
      <c r="J35" s="1678"/>
      <c r="K35" s="1759"/>
      <c r="L35" s="1707"/>
      <c r="M35" s="1707"/>
      <c r="N35" s="1678"/>
      <c r="O35" s="1679"/>
      <c r="P35" s="1678"/>
      <c r="Q35" s="1678"/>
      <c r="R35" s="1678"/>
      <c r="S35" s="1678"/>
      <c r="T35" s="1678"/>
      <c r="U35" s="1678"/>
    </row>
    <row r="36" spans="1:21">
      <c r="A36" s="3272"/>
      <c r="B36" s="3281" t="s">
        <v>2052</v>
      </c>
      <c r="C36" s="3282"/>
      <c r="D36" s="1776"/>
      <c r="E36" s="3283"/>
      <c r="F36" s="3283"/>
      <c r="G36" s="1671" t="str">
        <f>IF(B35="场地未平整","估价结果处理","")</f>
        <v/>
      </c>
      <c r="H36" s="3284"/>
      <c r="I36" s="3284"/>
      <c r="J36" s="1678"/>
      <c r="K36" s="1759"/>
      <c r="L36" s="1707"/>
      <c r="M36" s="1707"/>
      <c r="N36" s="1678"/>
      <c r="O36" s="1679"/>
      <c r="P36" s="1678"/>
      <c r="Q36" s="1678"/>
      <c r="R36" s="1678"/>
      <c r="S36" s="1678"/>
      <c r="T36" s="1678"/>
      <c r="U36" s="1678"/>
    </row>
    <row r="37" spans="1:21" ht="28.5">
      <c r="A37" s="3272"/>
      <c r="B37" s="326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72"/>
      <c r="B38" s="3262"/>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73"/>
      <c r="B39" s="326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44" t="s">
        <v>1983</v>
      </c>
      <c r="T40" s="1715" t="str">
        <f>NUMBERSTRING(7-K40,1)&amp;"通"</f>
        <v>七通</v>
      </c>
      <c r="U40" s="1678"/>
    </row>
    <row r="41" spans="1:21">
      <c r="A41" s="1647"/>
      <c r="B41" s="3277" t="s">
        <v>1721</v>
      </c>
      <c r="C41" s="3277"/>
      <c r="D41" s="3277"/>
      <c r="E41" s="327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W13" activePane="bottomRight" state="frozen"/>
      <selection pane="topRight" activeCell="E1" sqref="E1"/>
      <selection pane="bottomLeft" activeCell="A12" sqref="A12"/>
      <selection pane="bottomRight" activeCell="AY11" sqref="AY1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16621</v>
      </c>
      <c r="B3" s="22">
        <f>IF(C3="否",G5-AT5,G5)</f>
        <v>156272.40000000002</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v>15721.96</v>
      </c>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156272.40000000002</v>
      </c>
      <c r="H5" s="27">
        <f t="shared" ref="H5:AT5" si="0">SUM(H13:H641)</f>
        <v>143167.67000000001</v>
      </c>
      <c r="I5" s="27">
        <f t="shared" si="0"/>
        <v>50449.86</v>
      </c>
      <c r="J5" s="27">
        <f t="shared" si="0"/>
        <v>0</v>
      </c>
      <c r="K5" s="27">
        <f t="shared" si="0"/>
        <v>48978.73</v>
      </c>
      <c r="L5" s="27">
        <f t="shared" si="0"/>
        <v>0</v>
      </c>
      <c r="M5" s="27">
        <f t="shared" si="0"/>
        <v>16989.88</v>
      </c>
      <c r="N5" s="27">
        <f t="shared" si="0"/>
        <v>0</v>
      </c>
      <c r="O5" s="27">
        <f t="shared" si="0"/>
        <v>26749.200000000001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4651.75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4651.75</v>
      </c>
      <c r="AO5" s="27">
        <f t="shared" si="0"/>
        <v>0</v>
      </c>
      <c r="AP5" s="27">
        <f t="shared" si="0"/>
        <v>0</v>
      </c>
      <c r="AQ5" s="27">
        <f t="shared" si="0"/>
        <v>0</v>
      </c>
      <c r="AR5" s="27">
        <f t="shared" si="0"/>
        <v>0</v>
      </c>
      <c r="AS5" s="27">
        <f t="shared" si="0"/>
        <v>0</v>
      </c>
      <c r="AT5" s="27">
        <f t="shared" si="0"/>
        <v>8452.98</v>
      </c>
      <c r="AU5" s="988"/>
      <c r="AV5" s="26" t="s">
        <v>168</v>
      </c>
      <c r="AW5" s="989"/>
      <c r="AX5" s="989"/>
      <c r="AY5" s="28" t="s">
        <v>3</v>
      </c>
      <c r="AZ5" s="29">
        <f t="shared" ref="AZ5:BT5" si="1">SUM(AZ13:AZ641)</f>
        <v>147819.42000000001</v>
      </c>
      <c r="BA5" s="29">
        <f t="shared" si="1"/>
        <v>143167.67000000001</v>
      </c>
      <c r="BB5" s="29">
        <f t="shared" si="1"/>
        <v>50449.86</v>
      </c>
      <c r="BC5" s="29">
        <f t="shared" si="1"/>
        <v>48978.73</v>
      </c>
      <c r="BD5" s="29">
        <f t="shared" si="1"/>
        <v>16989.88</v>
      </c>
      <c r="BE5" s="29">
        <f t="shared" si="1"/>
        <v>26749.200000000001</v>
      </c>
      <c r="BF5" s="29">
        <f t="shared" si="1"/>
        <v>0</v>
      </c>
      <c r="BG5" s="29">
        <f t="shared" si="1"/>
        <v>0</v>
      </c>
      <c r="BH5" s="29">
        <f t="shared" si="1"/>
        <v>0</v>
      </c>
      <c r="BI5" s="29">
        <f t="shared" si="1"/>
        <v>0</v>
      </c>
      <c r="BJ5" s="29">
        <f t="shared" si="1"/>
        <v>0</v>
      </c>
      <c r="BK5" s="29">
        <f t="shared" si="1"/>
        <v>0</v>
      </c>
      <c r="BL5" s="29">
        <f t="shared" si="1"/>
        <v>4651.75</v>
      </c>
      <c r="BM5" s="29">
        <f t="shared" si="1"/>
        <v>0</v>
      </c>
      <c r="BN5" s="29">
        <f t="shared" si="1"/>
        <v>0</v>
      </c>
      <c r="BO5" s="29">
        <f t="shared" si="1"/>
        <v>0</v>
      </c>
      <c r="BP5" s="29">
        <f t="shared" si="1"/>
        <v>0</v>
      </c>
      <c r="BQ5" s="29">
        <f t="shared" si="1"/>
        <v>0</v>
      </c>
      <c r="BR5" s="29">
        <f t="shared" si="1"/>
        <v>4651.75</v>
      </c>
      <c r="BS5" s="29">
        <f t="shared" si="1"/>
        <v>0</v>
      </c>
      <c r="BT5" s="30">
        <f t="shared" si="1"/>
        <v>0</v>
      </c>
    </row>
    <row r="6" spans="1:72" s="37" customFormat="1" ht="12.75">
      <c r="A6" s="26" t="s">
        <v>169</v>
      </c>
      <c r="B6" s="31"/>
      <c r="C6" s="31"/>
      <c r="D6" s="32"/>
      <c r="E6" s="27">
        <f>H6+AC6+AT6</f>
        <v>16621</v>
      </c>
      <c r="F6" s="27" t="s">
        <v>1</v>
      </c>
      <c r="G6" s="27" t="s">
        <v>2</v>
      </c>
      <c r="H6" s="33">
        <f>SUMIF(I$12:AB$12,"总值",I6:AB6)</f>
        <v>15227.19</v>
      </c>
      <c r="I6" s="27">
        <f t="shared" ref="I6:AB6" si="2">ROUND($A$3*I5/$B$3,2)</f>
        <v>5365.8</v>
      </c>
      <c r="J6" s="27">
        <f t="shared" si="2"/>
        <v>0</v>
      </c>
      <c r="K6" s="27">
        <f t="shared" si="2"/>
        <v>5209.34</v>
      </c>
      <c r="L6" s="27">
        <f t="shared" si="2"/>
        <v>0</v>
      </c>
      <c r="M6" s="27">
        <f t="shared" si="2"/>
        <v>1807.03</v>
      </c>
      <c r="N6" s="27">
        <f t="shared" si="2"/>
        <v>0</v>
      </c>
      <c r="O6" s="27">
        <f t="shared" si="2"/>
        <v>2845.02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494.76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494.76</v>
      </c>
      <c r="AO6" s="27">
        <f t="shared" si="3"/>
        <v>0</v>
      </c>
      <c r="AP6" s="27">
        <f t="shared" si="3"/>
        <v>0</v>
      </c>
      <c r="AQ6" s="27">
        <f t="shared" si="3"/>
        <v>0</v>
      </c>
      <c r="AR6" s="27">
        <f t="shared" si="3"/>
        <v>0</v>
      </c>
      <c r="AS6" s="27">
        <f t="shared" si="3"/>
        <v>0</v>
      </c>
      <c r="AT6" s="33">
        <f>IF(C3="是",ROUND($A$3*AT5/$B$3,2),0)</f>
        <v>899.05</v>
      </c>
      <c r="AU6" s="34"/>
      <c r="AV6" s="26" t="s">
        <v>169</v>
      </c>
      <c r="AW6" s="31"/>
      <c r="AX6" s="31"/>
      <c r="AY6" s="35">
        <f>IF(AY3&gt;0,AY3,ROUND($A$3*AZ5/$B$3,2))</f>
        <v>15721.96</v>
      </c>
      <c r="AZ6" s="27" t="s">
        <v>3</v>
      </c>
      <c r="BA6" s="27">
        <f>ROUND($AY$6*BA5/$AZ$5,2)</f>
        <v>15227.2</v>
      </c>
      <c r="BB6" s="27">
        <f>ROUND($AY$6*BB5/$AZ$5,2)</f>
        <v>5365.81</v>
      </c>
      <c r="BC6" s="27">
        <f t="shared" ref="BC6:BH6" si="4">ROUND($AY$6*BC5/$AZ$5,2)</f>
        <v>5209.34</v>
      </c>
      <c r="BD6" s="27">
        <f t="shared" si="4"/>
        <v>1807.03</v>
      </c>
      <c r="BE6" s="27">
        <f t="shared" si="4"/>
        <v>2845.02</v>
      </c>
      <c r="BF6" s="27">
        <f t="shared" si="4"/>
        <v>0</v>
      </c>
      <c r="BG6" s="27">
        <f t="shared" si="4"/>
        <v>0</v>
      </c>
      <c r="BH6" s="27">
        <f t="shared" si="4"/>
        <v>0</v>
      </c>
      <c r="BI6" s="27">
        <f t="shared" ref="BI6:BT6" si="5">ROUND($AY$6*BI5/$AZ$5,2)</f>
        <v>0</v>
      </c>
      <c r="BJ6" s="27">
        <f t="shared" si="5"/>
        <v>0</v>
      </c>
      <c r="BK6" s="27">
        <f t="shared" si="5"/>
        <v>0</v>
      </c>
      <c r="BL6" s="27">
        <f t="shared" si="5"/>
        <v>494.76</v>
      </c>
      <c r="BM6" s="27">
        <f t="shared" si="5"/>
        <v>0</v>
      </c>
      <c r="BN6" s="27">
        <f t="shared" si="5"/>
        <v>0</v>
      </c>
      <c r="BO6" s="27">
        <f t="shared" si="5"/>
        <v>0</v>
      </c>
      <c r="BP6" s="27">
        <f t="shared" si="5"/>
        <v>0</v>
      </c>
      <c r="BQ6" s="27">
        <f t="shared" si="5"/>
        <v>0</v>
      </c>
      <c r="BR6" s="27">
        <f t="shared" si="5"/>
        <v>494.76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16621</v>
      </c>
      <c r="F13" s="81"/>
      <c r="G13" s="82">
        <f t="shared" ref="G13:G20" si="7">H13+AC13+AT13</f>
        <v>156272.40000000002</v>
      </c>
      <c r="H13" s="33">
        <f t="shared" ref="H13:H20" si="8">SUMIF(I$12:AB$12,"总值",I13:AB13)</f>
        <v>143167.67000000001</v>
      </c>
      <c r="I13" s="2970">
        <v>50449.86</v>
      </c>
      <c r="J13" s="2970"/>
      <c r="K13" s="2970">
        <v>48978.73</v>
      </c>
      <c r="L13" s="2970"/>
      <c r="M13" s="2970">
        <v>16989.88</v>
      </c>
      <c r="N13" s="83"/>
      <c r="O13" s="83">
        <v>26749.200000000001</v>
      </c>
      <c r="P13" s="83"/>
      <c r="Q13" s="83"/>
      <c r="R13" s="83"/>
      <c r="S13" s="83"/>
      <c r="T13" s="83"/>
      <c r="U13" s="83"/>
      <c r="V13" s="83"/>
      <c r="W13" s="83"/>
      <c r="X13" s="83"/>
      <c r="Y13" s="83"/>
      <c r="Z13" s="83"/>
      <c r="AA13" s="83"/>
      <c r="AB13" s="83"/>
      <c r="AC13" s="27">
        <f t="shared" ref="AC13:AC20" si="9">SUMIF(AD$12:AS$12,"总值",AD13:AS13)</f>
        <v>4651.75</v>
      </c>
      <c r="AD13" s="2974"/>
      <c r="AE13" s="2974"/>
      <c r="AF13" s="2974"/>
      <c r="AG13" s="2974"/>
      <c r="AH13" s="2974"/>
      <c r="AI13" s="2974"/>
      <c r="AJ13" s="2974"/>
      <c r="AK13" s="2974"/>
      <c r="AL13" s="2974"/>
      <c r="AM13" s="2974"/>
      <c r="AN13" s="2974">
        <v>4651.75</v>
      </c>
      <c r="AO13" s="2974"/>
      <c r="AP13" s="2974"/>
      <c r="AQ13" s="2974"/>
      <c r="AR13" s="2974"/>
      <c r="AS13" s="2974"/>
      <c r="AT13" s="2975">
        <v>8452.98</v>
      </c>
      <c r="AU13" s="2976"/>
      <c r="AV13" s="17">
        <f t="shared" ref="AV13:AX20" si="10">A13</f>
        <v>0</v>
      </c>
      <c r="AW13" s="17">
        <f t="shared" si="10"/>
        <v>0</v>
      </c>
      <c r="AX13" s="17">
        <f t="shared" si="10"/>
        <v>0</v>
      </c>
      <c r="AY13" s="996">
        <f t="shared" ref="AY13:AY20" si="11">ROUND($AY$6*AZ13/$AZ$5,2)</f>
        <v>15721.96</v>
      </c>
      <c r="AZ13" s="27">
        <f t="shared" ref="AZ13:AZ20" si="12">BA13+BL13</f>
        <v>147819.42000000001</v>
      </c>
      <c r="BA13" s="27">
        <f t="shared" ref="BA13:BA20" si="13">SUM(BB13:BK13)</f>
        <v>143167.67000000001</v>
      </c>
      <c r="BB13" s="27">
        <f t="shared" ref="BB13:BB20" si="14">IF($D13="是",I13-J13,0)</f>
        <v>50449.86</v>
      </c>
      <c r="BC13" s="27">
        <f t="shared" ref="BC13:BC20" si="15">IF($D13="是",K13-L13,0)</f>
        <v>48978.73</v>
      </c>
      <c r="BD13" s="27">
        <f t="shared" ref="BD13:BD20" si="16">IF($D13="是",M13-N13,0)</f>
        <v>16989.88</v>
      </c>
      <c r="BE13" s="27">
        <f t="shared" ref="BE13:BE20" si="17">IF($D13="是",O13-P13,0)</f>
        <v>26749.200000000001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4651.75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4651.75</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M32" sqref="M32"/>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6" t="s">
        <v>203</v>
      </c>
      <c r="B2" s="3296"/>
      <c r="C2" s="3296"/>
      <c r="D2" s="1960" t="s">
        <v>204</v>
      </c>
      <c r="E2" s="106" t="s">
        <v>205</v>
      </c>
      <c r="F2" s="1969"/>
      <c r="G2" s="1194"/>
      <c r="H2" s="1195"/>
      <c r="I2" s="1196" t="s">
        <v>857</v>
      </c>
      <c r="J2" s="1969"/>
      <c r="K2" s="1969"/>
      <c r="L2" s="1969"/>
    </row>
    <row r="3" spans="1:16" ht="15.75" thickBot="1">
      <c r="A3" s="3297" t="s">
        <v>206</v>
      </c>
      <c r="B3" s="3297"/>
      <c r="C3" s="3297"/>
      <c r="D3" s="107">
        <f>'数据-基础表'!AY6</f>
        <v>15721.96</v>
      </c>
      <c r="E3" s="107">
        <f>'数据-基础表'!AZ5</f>
        <v>147819.42000000001</v>
      </c>
      <c r="F3" s="1969"/>
      <c r="G3" s="280" t="s">
        <v>858</v>
      </c>
      <c r="H3" s="275" t="s">
        <v>859</v>
      </c>
      <c r="I3" s="1961">
        <f>ROUND('数据-基础表'!B3/'数据-基础表'!A3,2)</f>
        <v>9.4</v>
      </c>
      <c r="J3" s="1969"/>
      <c r="K3" s="1969"/>
      <c r="L3" s="1969"/>
    </row>
    <row r="4" spans="1:16" ht="15">
      <c r="A4" s="3298"/>
      <c r="B4" s="3299"/>
      <c r="C4" s="3300"/>
      <c r="D4" s="108" t="s">
        <v>204</v>
      </c>
      <c r="E4" s="109" t="s">
        <v>205</v>
      </c>
      <c r="F4" s="1969"/>
      <c r="G4" s="1197"/>
      <c r="H4" s="275" t="s">
        <v>860</v>
      </c>
      <c r="I4" s="1961">
        <f>ROUND(SUMIF('数据-基础表'!I9:AS9,"地上",'数据-基础表'!I5:AS5)/'数据-基础表'!A3,2)</f>
        <v>5.98</v>
      </c>
      <c r="J4" s="1969"/>
      <c r="K4" s="1969"/>
      <c r="L4" s="1969"/>
    </row>
    <row r="5" spans="1:16">
      <c r="A5" s="110" t="s">
        <v>207</v>
      </c>
      <c r="B5" s="3301" t="s">
        <v>230</v>
      </c>
      <c r="C5" s="3301"/>
      <c r="D5" s="111">
        <f>ROUND($D$3*E5/$E$3,2)</f>
        <v>0</v>
      </c>
      <c r="E5" s="112">
        <f>SUMIF('数据-基础表'!$11:$11,"住宅",'数据-基础表'!$5:$5)</f>
        <v>0</v>
      </c>
      <c r="F5" s="1969"/>
      <c r="G5" s="280" t="s">
        <v>861</v>
      </c>
      <c r="H5" s="275" t="s">
        <v>859</v>
      </c>
      <c r="I5" s="1961">
        <f>ROUND(E31/D31,2)</f>
        <v>9.4</v>
      </c>
      <c r="J5" s="1969"/>
      <c r="K5" s="1969"/>
      <c r="L5" s="1969"/>
    </row>
    <row r="6" spans="1:16" ht="15" thickBot="1">
      <c r="A6" s="113"/>
      <c r="B6" s="3301" t="s">
        <v>208</v>
      </c>
      <c r="C6" s="3301"/>
      <c r="D6" s="111">
        <f>ROUND($D$3*E6/$E$3,2)</f>
        <v>15721.96</v>
      </c>
      <c r="E6" s="112">
        <f>E3-E5</f>
        <v>147819.42000000001</v>
      </c>
      <c r="F6" s="1969"/>
      <c r="G6" s="1197"/>
      <c r="H6" s="275" t="s">
        <v>860</v>
      </c>
      <c r="I6" s="1961">
        <f>ROUND(F31/D31,2)</f>
        <v>6.32</v>
      </c>
      <c r="J6" s="1969"/>
      <c r="K6" s="1969"/>
      <c r="L6" s="1969"/>
    </row>
    <row r="7" spans="1:16" ht="15">
      <c r="A7" s="3293"/>
      <c r="B7" s="3294"/>
      <c r="C7" s="3295"/>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10575.15</v>
      </c>
      <c r="E8" s="116">
        <f>SUMIF('数据-基础表'!BB10:BK10,"地上",'数据-基础表'!BB5:BK5)</f>
        <v>99428.59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1807.03</v>
      </c>
      <c r="E10" s="116">
        <f>SUMPRODUCT(('数据-基础表'!BB10:BK10="地下")*('数据-基础表'!BB11:BK11="商业")*('数据-基础表'!BB5:BK5))</f>
        <v>16989.88</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2845.02</v>
      </c>
      <c r="E15" s="116">
        <f>SUMPRODUCT(('数据-基础表'!BB10:BK10="地下")*('数据-基础表'!BB11:BK11="车库—办公")*('数据-基础表'!BB5:BK5))</f>
        <v>26749.200000000001</v>
      </c>
      <c r="F15" s="1969"/>
      <c r="G15" s="1971"/>
      <c r="H15" s="1971"/>
      <c r="I15" s="1969"/>
      <c r="J15" s="1969"/>
      <c r="K15" s="1969"/>
      <c r="L15" s="1969"/>
    </row>
    <row r="16" spans="1:16" ht="15.75" thickBot="1">
      <c r="A16" s="113"/>
      <c r="B16" s="118"/>
      <c r="C16" s="115" t="s">
        <v>215</v>
      </c>
      <c r="D16" s="115">
        <f>SUM(D8:D15)</f>
        <v>15227.2</v>
      </c>
      <c r="E16" s="120">
        <f>SUM(E8:E15)</f>
        <v>143167.67000000001</v>
      </c>
      <c r="F16" s="1969"/>
      <c r="G16" s="1971"/>
      <c r="H16" s="968" t="s">
        <v>219</v>
      </c>
      <c r="I16" s="969"/>
      <c r="J16" s="1969"/>
      <c r="K16" s="3287" t="s">
        <v>2564</v>
      </c>
      <c r="L16" s="3288"/>
      <c r="M16" s="3288"/>
      <c r="N16" s="3288"/>
      <c r="O16" s="3288"/>
      <c r="P16" s="3289"/>
    </row>
    <row r="17" spans="1:19" ht="15">
      <c r="A17" s="121" t="s">
        <v>216</v>
      </c>
      <c r="B17" s="122" t="s">
        <v>217</v>
      </c>
      <c r="C17" s="2283" t="s">
        <v>2311</v>
      </c>
      <c r="D17" s="108" t="s">
        <v>204</v>
      </c>
      <c r="E17" s="124" t="s">
        <v>205</v>
      </c>
      <c r="F17" s="125"/>
      <c r="G17" s="1362"/>
      <c r="H17" s="970" t="s">
        <v>218</v>
      </c>
      <c r="I17" s="971" t="s">
        <v>2310</v>
      </c>
      <c r="J17" s="1969"/>
      <c r="K17" s="3290" t="s">
        <v>2565</v>
      </c>
      <c r="L17" s="3291"/>
      <c r="M17" s="3292"/>
      <c r="N17" s="3290" t="s">
        <v>2566</v>
      </c>
      <c r="O17" s="3291"/>
      <c r="P17" s="3292"/>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5365.81</v>
      </c>
      <c r="E19" s="134">
        <f t="shared" ref="E19:E26" si="2">SUM(F19:G19)</f>
        <v>50449.86</v>
      </c>
      <c r="F19" s="135">
        <f>'数据-基础表'!I13</f>
        <v>50449.86</v>
      </c>
      <c r="G19" s="1364"/>
      <c r="H19" s="974">
        <f>ROUND($D$3*I19/$E$3,2)</f>
        <v>174.34</v>
      </c>
      <c r="I19" s="116">
        <f>IF($I$17="自定义",P19,M19)</f>
        <v>1639.2</v>
      </c>
      <c r="J19" s="1969"/>
      <c r="K19" s="2572">
        <f t="shared" ref="K19:K26" si="3">ROUND(E$28*E19/E$27,2)</f>
        <v>1639.2</v>
      </c>
      <c r="L19" s="275">
        <f t="shared" ref="L19:L26" si="4">ROUND(IF(COUNTIF(C19,"*住宅*")&gt;0,E$29*E19/E$32,0),2)</f>
        <v>0</v>
      </c>
      <c r="M19" s="2573">
        <f>K19+L19</f>
        <v>1639.2</v>
      </c>
      <c r="N19" s="2574"/>
      <c r="O19" s="2575"/>
      <c r="P19" s="2576">
        <f>N19+O19</f>
        <v>0</v>
      </c>
      <c r="R19" s="275">
        <f t="shared" ref="R19:S26" si="5">D19+H19</f>
        <v>5540.1500000000005</v>
      </c>
      <c r="S19" s="2286">
        <f t="shared" si="5"/>
        <v>52089.06</v>
      </c>
    </row>
    <row r="20" spans="1:19">
      <c r="A20" s="138"/>
      <c r="B20" s="115" t="s">
        <v>226</v>
      </c>
      <c r="C20" s="2977" t="s">
        <v>3010</v>
      </c>
      <c r="D20" s="111">
        <f t="shared" si="1"/>
        <v>7016.37</v>
      </c>
      <c r="E20" s="134">
        <f t="shared" si="2"/>
        <v>65968.61</v>
      </c>
      <c r="F20" s="135">
        <f>'数据-基础表'!K13</f>
        <v>48978.73</v>
      </c>
      <c r="G20" s="1364">
        <f>'数据-基础表'!M13</f>
        <v>16989.88</v>
      </c>
      <c r="H20" s="974">
        <f t="shared" ref="H20:H26" si="6">ROUND($D$3*I20/$E$3,2)</f>
        <v>227.97</v>
      </c>
      <c r="I20" s="116">
        <f t="shared" ref="I20:I26" si="7">IF($I$17="自定义",P20,M20)</f>
        <v>2143.4299999999998</v>
      </c>
      <c r="J20" s="1969"/>
      <c r="K20" s="2572">
        <f t="shared" si="3"/>
        <v>2143.4299999999998</v>
      </c>
      <c r="L20" s="275">
        <f t="shared" si="4"/>
        <v>0</v>
      </c>
      <c r="M20" s="2573">
        <f t="shared" ref="M20:M26" si="8">K20+L20</f>
        <v>2143.4299999999998</v>
      </c>
      <c r="N20" s="2574"/>
      <c r="O20" s="2575"/>
      <c r="P20" s="2576">
        <f t="shared" ref="P20:P26" si="9">N20+O20</f>
        <v>0</v>
      </c>
      <c r="R20" s="275">
        <f t="shared" si="5"/>
        <v>7244.34</v>
      </c>
      <c r="S20" s="2286">
        <f t="shared" si="5"/>
        <v>68112.039999999994</v>
      </c>
    </row>
    <row r="21" spans="1:19">
      <c r="A21" s="138"/>
      <c r="B21" s="115" t="s">
        <v>226</v>
      </c>
      <c r="C21" s="2977" t="s">
        <v>3011</v>
      </c>
      <c r="D21" s="111">
        <f t="shared" si="1"/>
        <v>2845.02</v>
      </c>
      <c r="E21" s="134">
        <f t="shared" si="2"/>
        <v>26749.200000000001</v>
      </c>
      <c r="F21" s="135"/>
      <c r="G21" s="1364">
        <f>'数据-基础表'!O13</f>
        <v>26749.200000000001</v>
      </c>
      <c r="H21" s="974">
        <f t="shared" si="6"/>
        <v>92.44</v>
      </c>
      <c r="I21" s="116">
        <f t="shared" si="7"/>
        <v>869.12</v>
      </c>
      <c r="J21" s="1969"/>
      <c r="K21" s="2572">
        <f t="shared" si="3"/>
        <v>869.12</v>
      </c>
      <c r="L21" s="275">
        <f t="shared" si="4"/>
        <v>0</v>
      </c>
      <c r="M21" s="2573">
        <f t="shared" si="8"/>
        <v>869.12</v>
      </c>
      <c r="N21" s="2574"/>
      <c r="O21" s="2575"/>
      <c r="P21" s="2576">
        <f t="shared" si="9"/>
        <v>0</v>
      </c>
      <c r="R21" s="275">
        <f t="shared" si="5"/>
        <v>2937.46</v>
      </c>
      <c r="S21" s="2286">
        <f t="shared" si="5"/>
        <v>27618.32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15227.2</v>
      </c>
      <c r="E27" s="143">
        <f>IF(SUM(E19:E26)='数据-基础表'!BA5,SUM(E19:E26),IF(F27="地上面积有误","面积有误","地下面积有误"))</f>
        <v>143167.67000000001</v>
      </c>
      <c r="F27" s="134">
        <f>IF(SUM(F19:F26)=E8,SUM(F19:F26),"地上面积有误")</f>
        <v>99428.59</v>
      </c>
      <c r="G27" s="112">
        <f>SUM(G19:G26)</f>
        <v>43739.08</v>
      </c>
      <c r="H27" s="975">
        <f>SUM(H19:H26)</f>
        <v>494.75</v>
      </c>
      <c r="I27" s="976">
        <f>SUM(I19:I26)</f>
        <v>4651.75</v>
      </c>
      <c r="J27" s="1969"/>
      <c r="K27" s="2581">
        <f>SUM(K19:K26)</f>
        <v>4651.75</v>
      </c>
      <c r="L27" s="2582">
        <f>SUM(L19:L26)</f>
        <v>0</v>
      </c>
      <c r="M27" s="2583">
        <f>SUM(M19:M26)</f>
        <v>4651.75</v>
      </c>
      <c r="N27" s="2581">
        <f t="shared" ref="N27:O27" si="10">SUM(N19:N26)</f>
        <v>0</v>
      </c>
      <c r="O27" s="2582">
        <f t="shared" si="10"/>
        <v>0</v>
      </c>
      <c r="P27" s="2584">
        <f>SUM(P19:P26)</f>
        <v>0</v>
      </c>
      <c r="R27" s="2290" t="str">
        <f>IF(SUM(R19:R26)=$D$3,SUM(R19:R26),SUM(R19:R26)&amp;"误差"&amp;ROUND(SUM(R19:R26)-$D$3,2))</f>
        <v>15721.95误差-0.01</v>
      </c>
      <c r="S27" s="275">
        <f>IF(SUM(S19:S26)=$E$3,SUM(S19:S26),SUM(S19:S26)&amp;"误差"&amp;ROUND(SUM(S19:S26)-E3,2))</f>
        <v>147819.41999999998</v>
      </c>
    </row>
    <row r="28" spans="1:19">
      <c r="A28" s="138"/>
      <c r="B28" s="115" t="s">
        <v>227</v>
      </c>
      <c r="C28" s="136" t="s">
        <v>228</v>
      </c>
      <c r="D28" s="111">
        <f>ROUND($D$3*E28/$E$3,2)</f>
        <v>494.76</v>
      </c>
      <c r="E28" s="134">
        <f>SUM(F28:G28)</f>
        <v>4651.75</v>
      </c>
      <c r="F28" s="144">
        <f>'数据-基础表'!BQ5+'数据-基础表'!BS5</f>
        <v>0</v>
      </c>
      <c r="G28" s="145">
        <f>'数据-基础表'!BR5+'数据-基础表'!BT5</f>
        <v>4651.75</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494.76</v>
      </c>
      <c r="E30" s="134">
        <f>SUM(E28:E29)</f>
        <v>4651.75</v>
      </c>
      <c r="F30" s="134">
        <f>SUM(F28:F29)</f>
        <v>0</v>
      </c>
      <c r="G30" s="112">
        <f>SUM(G28:G29)</f>
        <v>4651.75</v>
      </c>
      <c r="H30" s="1969"/>
      <c r="I30" s="1969"/>
      <c r="J30" s="1969"/>
      <c r="K30" s="1969"/>
      <c r="L30" s="1969"/>
    </row>
    <row r="31" spans="1:19" ht="32.25" customHeight="1" thickBot="1">
      <c r="A31" s="1366"/>
      <c r="B31" s="1367" t="s">
        <v>229</v>
      </c>
      <c r="C31" s="2315" t="s">
        <v>2320</v>
      </c>
      <c r="D31" s="1368">
        <f>D27+D30</f>
        <v>15721.960000000001</v>
      </c>
      <c r="E31" s="1368">
        <f>E27+E30</f>
        <v>147819.42000000001</v>
      </c>
      <c r="F31" s="1369">
        <f>F27+F30</f>
        <v>99428.59</v>
      </c>
      <c r="G31" s="1370">
        <f>G27+G30</f>
        <v>48390.83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20" sqref="A2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50449.86</v>
      </c>
      <c r="L6" s="2979">
        <v>4500</v>
      </c>
      <c r="M6" s="177">
        <f t="shared" ref="M6:M14" si="0">ROUND(K6*L6/10000,0)</f>
        <v>22702</v>
      </c>
      <c r="N6" s="2980">
        <v>0</v>
      </c>
      <c r="O6" s="177">
        <f>IF($N$5="成新度","——",ROUND(M6*N6,0))</f>
        <v>0</v>
      </c>
      <c r="P6" s="178">
        <f>IF($N$5="成新度","——",M6-O6)</f>
        <v>22702</v>
      </c>
      <c r="Q6" s="2981">
        <v>0.15</v>
      </c>
      <c r="R6" s="179">
        <f>SUMIF('数据-汇总表'!C$19:C$33,A6,'数据-汇总表'!R$19:R$33)</f>
        <v>5540.1500000000005</v>
      </c>
      <c r="S6" s="132">
        <f>IF('数据-汇总表'!$I$17="按面积比例",SUMIF('数据-汇总表'!C$19:C$33,A6,'数据-汇总表'!K$19:K$33),SUMIF('数据-汇总表'!C$19:C$33,A6,'数据-汇总表'!N$19:N$33))</f>
        <v>1639.2</v>
      </c>
      <c r="T6" s="2219">
        <f>IF($T$4="按面积比例",IF(ISERROR(ROUND($M$14*S6/S$16,0)),"0",ROUND($M$14*S6/S$16,0)),"需自行计算录入")</f>
        <v>410</v>
      </c>
      <c r="U6" s="180">
        <v>5</v>
      </c>
      <c r="V6" s="181">
        <v>1.4999999999999999E-2</v>
      </c>
      <c r="W6" s="181">
        <v>0.1</v>
      </c>
      <c r="X6" s="2306"/>
      <c r="Y6" s="182">
        <v>1</v>
      </c>
      <c r="Z6" s="183"/>
      <c r="AA6" s="176"/>
      <c r="AB6" s="176"/>
      <c r="AC6" s="2309"/>
      <c r="AD6" s="184"/>
      <c r="AE6" s="972">
        <f ca="1">IF(AN6="",0,SUMIF(INDIRECT("'"&amp;AN6&amp;"'"&amp;"!E:E"),$AE$5,INDIRECT("'"&amp;AN6&amp;"'"&amp;"!F:F")))</f>
        <v>39.83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65968.61</v>
      </c>
      <c r="L7" s="2979">
        <v>4000</v>
      </c>
      <c r="M7" s="177">
        <f t="shared" si="0"/>
        <v>26387</v>
      </c>
      <c r="N7" s="2980">
        <v>0</v>
      </c>
      <c r="O7" s="177">
        <f t="shared" ref="O7:O14" si="3">IF($N$5="成新度","——",ROUND(M7*N7,0))</f>
        <v>0</v>
      </c>
      <c r="P7" s="178">
        <f t="shared" ref="P7:P14" si="4">IF($N$5="成新度","——",M7-O7)</f>
        <v>26387</v>
      </c>
      <c r="Q7" s="2981">
        <v>0.15</v>
      </c>
      <c r="R7" s="179">
        <f>SUMIF('数据-汇总表'!C$19:C$33,A7,'数据-汇总表'!R$19:R$33)</f>
        <v>7244.34</v>
      </c>
      <c r="S7" s="132">
        <f>IF('数据-汇总表'!$I$17="按面积比例",SUMIF('数据-汇总表'!C$19:C$33,A7,'数据-汇总表'!K$19:K$33),SUMIF('数据-汇总表'!C$19:C$33,A7,'数据-汇总表'!N$19:N$33))</f>
        <v>2143.4299999999998</v>
      </c>
      <c r="T7" s="2219">
        <f t="shared" ref="T7:T13" si="5">IF($T$4="按面积比例",IF(ISERROR(ROUND($M$14*S7/S$16,0)),"0",ROUND($M$14*S7/S$16,0)),"需自行计算录入")</f>
        <v>536</v>
      </c>
      <c r="U7" s="180">
        <v>6</v>
      </c>
      <c r="V7" s="181">
        <v>1.4999999999999999E-2</v>
      </c>
      <c r="W7" s="181">
        <v>0.1</v>
      </c>
      <c r="X7" s="2306"/>
      <c r="Y7" s="182">
        <v>1</v>
      </c>
      <c r="Z7" s="183"/>
      <c r="AA7" s="176"/>
      <c r="AB7" s="176"/>
      <c r="AC7" s="2309"/>
      <c r="AD7" s="184"/>
      <c r="AE7" s="972">
        <f t="shared" ref="AE7:AE13" ca="1" si="6">IF(AN7="",0,SUMIF(INDIRECT("'"&amp;AN7&amp;"'"&amp;"!E:E"),$AE$5,INDIRECT("'"&amp;AN7&amp;"'"&amp;"!F:F")))</f>
        <v>29.83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26749.200000000001</v>
      </c>
      <c r="L8" s="2979">
        <v>3000</v>
      </c>
      <c r="M8" s="177">
        <f>ROUND(K8*L8/10000,0)</f>
        <v>8025</v>
      </c>
      <c r="N8" s="2980">
        <v>0</v>
      </c>
      <c r="O8" s="177">
        <f t="shared" si="3"/>
        <v>0</v>
      </c>
      <c r="P8" s="178">
        <f t="shared" si="4"/>
        <v>8025</v>
      </c>
      <c r="Q8" s="2981">
        <v>0.05</v>
      </c>
      <c r="R8" s="179">
        <f>SUMIF('数据-汇总表'!C$19:C$33,A8,'数据-汇总表'!R$19:R$33)</f>
        <v>2937.46</v>
      </c>
      <c r="S8" s="132">
        <f>IF('数据-汇总表'!$I$17="按面积比例",SUMIF('数据-汇总表'!C$19:C$33,A8,'数据-汇总表'!K$19:K$33),SUMIF('数据-汇总表'!C$19:C$33,A8,'数据-汇总表'!N$19:N$33))</f>
        <v>869.12</v>
      </c>
      <c r="T8" s="2219">
        <f t="shared" si="5"/>
        <v>217</v>
      </c>
      <c r="U8" s="180">
        <v>600</v>
      </c>
      <c r="V8" s="181">
        <v>0</v>
      </c>
      <c r="W8" s="181">
        <v>0.2</v>
      </c>
      <c r="X8" s="2306"/>
      <c r="Y8" s="182">
        <v>1</v>
      </c>
      <c r="Z8" s="183"/>
      <c r="AA8" s="176"/>
      <c r="AB8" s="176"/>
      <c r="AC8" s="2309"/>
      <c r="AD8" s="184"/>
      <c r="AE8" s="972">
        <f t="shared" ca="1" si="6"/>
        <v>39.83</v>
      </c>
      <c r="AF8" s="141"/>
      <c r="AG8" s="1209">
        <f t="shared" si="7"/>
        <v>0</v>
      </c>
      <c r="AH8" s="141">
        <v>764</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4651.75</v>
      </c>
      <c r="L14" s="193">
        <v>2500</v>
      </c>
      <c r="M14" s="177">
        <f t="shared" si="0"/>
        <v>1163</v>
      </c>
      <c r="N14" s="194">
        <v>0</v>
      </c>
      <c r="O14" s="177">
        <f t="shared" si="3"/>
        <v>0</v>
      </c>
      <c r="P14" s="178">
        <f t="shared" si="4"/>
        <v>1163</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0.94899999999999995</v>
      </c>
      <c r="H16" s="203">
        <f>ROUND(SUMPRODUCT(H6:H13,K6:K13)/SUMPRODUCT((H6:H13&gt;0)*(K6:K13)),3)</f>
        <v>5.0999999999999997E-2</v>
      </c>
      <c r="I16" s="204"/>
      <c r="J16" s="204"/>
      <c r="K16" s="205">
        <f>SUM(K6:K15)</f>
        <v>147819.42000000001</v>
      </c>
      <c r="L16" s="206">
        <f>ROUND(M16*10000/SUM(K6:K14),0)</f>
        <v>3942</v>
      </c>
      <c r="M16" s="206">
        <f>SUM(M6:M14)</f>
        <v>58277</v>
      </c>
      <c r="N16" s="207">
        <f>ROUND(SUMPRODUCT(M6:M14,N6:N14)/M16,3)</f>
        <v>0</v>
      </c>
      <c r="O16" s="206">
        <f>SUM(O6:O14)</f>
        <v>0</v>
      </c>
      <c r="P16" s="206">
        <f>SUM(P6:P14)</f>
        <v>58277</v>
      </c>
      <c r="Q16" s="208">
        <f>ROUND(SUMPRODUCT(Q6:Q13,K6:K13)/SUMPRODUCT((Q6:Q13&gt;0)*(K6:K13)),2)</f>
        <v>0.13</v>
      </c>
      <c r="R16" s="2296">
        <f>SUM(R6:R13)</f>
        <v>15721.95</v>
      </c>
      <c r="S16" s="209">
        <f>SUM(S6:S13)</f>
        <v>4651.75</v>
      </c>
      <c r="T16" s="210">
        <f>IF(SUMIF(T6:T13,"&lt;9E307")=M14,SUMIF(T6:T13,"&lt;9E307"),"有误，请检查")</f>
        <v>1163</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0.84899999999999998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3089</v>
      </c>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12244.68</v>
      </c>
      <c r="V20" s="1974">
        <v>9.5</v>
      </c>
      <c r="W20" s="1974">
        <v>1</v>
      </c>
      <c r="X20" s="1974">
        <f>ROUND(U20/$U$25,2)</f>
        <v>0.19</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12244.68</v>
      </c>
      <c r="V21" s="1974">
        <f>V20*W21</f>
        <v>5.7</v>
      </c>
      <c r="W21" s="1974">
        <v>0.6</v>
      </c>
      <c r="X21" s="1974">
        <f t="shared" ref="X21:X24" si="9">ROUND(U21/$U$25,2)</f>
        <v>0.19</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12244.68</v>
      </c>
      <c r="V22" s="1974">
        <f>V20*W22</f>
        <v>5.2250000000000005</v>
      </c>
      <c r="W22" s="1974">
        <v>0.55000000000000004</v>
      </c>
      <c r="X22" s="1974">
        <f t="shared" si="9"/>
        <v>0.19</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12244.690000000002</v>
      </c>
      <c r="V23" s="1974">
        <f>V20*W23</f>
        <v>4.75</v>
      </c>
      <c r="W23" s="1974">
        <v>0.5</v>
      </c>
      <c r="X23" s="1974">
        <f t="shared" si="9"/>
        <v>0.19</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v>-1</v>
      </c>
      <c r="U24" s="1974">
        <f>'数据-汇总表'!G20</f>
        <v>16989.88</v>
      </c>
      <c r="V24" s="1974">
        <f>V20*W24</f>
        <v>4.75</v>
      </c>
      <c r="W24" s="1974">
        <v>0.5</v>
      </c>
      <c r="X24" s="1974">
        <f t="shared" si="9"/>
        <v>0.26</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65968.61</v>
      </c>
      <c r="V25" s="1974">
        <f>V20*X20+V21*X21+V22*X22+V23*X23+V24*X24</f>
        <v>6.0182500000000001</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f ca="1">'剩余法-待开发'!C22</f>
        <v>2956</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2" t="s">
        <v>1663</v>
      </c>
      <c r="B1" s="3303"/>
      <c r="C1" s="3303"/>
      <c r="D1" s="3303"/>
      <c r="E1" s="3303"/>
      <c r="F1" s="3303"/>
      <c r="G1" s="3303"/>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147819.42000000001</v>
      </c>
      <c r="C1" s="2998"/>
      <c r="D1" s="2998"/>
      <c r="E1" s="2998"/>
      <c r="F1" s="2998"/>
    </row>
    <row r="2" spans="1:9" ht="16.5">
      <c r="A2" s="2997" t="s">
        <v>2842</v>
      </c>
      <c r="B2" s="2997">
        <f>SUM(C14:C23)</f>
        <v>15721.96</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143876</v>
      </c>
      <c r="C5" s="2997">
        <f ca="1">ROUND(B5*10000/$B$1,0)</f>
        <v>9733</v>
      </c>
      <c r="D5" s="2997">
        <f ca="1">ROUND(B5*10000/$B$2,0)</f>
        <v>91513</v>
      </c>
      <c r="E5" s="2998"/>
      <c r="F5" s="2998"/>
    </row>
    <row r="6" spans="1:9" ht="16.5">
      <c r="A6" s="2997" t="s">
        <v>2849</v>
      </c>
      <c r="B6" s="2997">
        <f ca="1">SUM(G14:G23)</f>
        <v>143876</v>
      </c>
      <c r="C6" s="2997">
        <f t="shared" ref="C6:C8" ca="1" si="0">ROUND(B6*10000/$B$1,0)</f>
        <v>9733</v>
      </c>
      <c r="D6" s="2997">
        <f t="shared" ref="D6:D8" ca="1" si="1">ROUND(B6*10000/$B$2,0)</f>
        <v>91513</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147819.42000000001</v>
      </c>
      <c r="C14" s="3001">
        <f>结果表!K38</f>
        <v>15721.96</v>
      </c>
      <c r="D14" s="3001">
        <f ca="1">结果表!C42</f>
        <v>143876</v>
      </c>
      <c r="E14" s="3001">
        <f ca="1">ROUND(D14*10000/B14,0)</f>
        <v>9733</v>
      </c>
      <c r="F14" s="3001">
        <f ca="1">ROUND(D14*10000/C14,0)</f>
        <v>91513</v>
      </c>
      <c r="G14" s="3001">
        <f ca="1">结果表!C44</f>
        <v>143876</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E27" sqref="E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49" t="str">
        <f>项目基本情况!K2</f>
        <v>北京市出让国有建设用地使用权</v>
      </c>
      <c r="B2" s="3350"/>
      <c r="C2" s="3351"/>
      <c r="D2" s="3351"/>
      <c r="E2" s="3351"/>
      <c r="F2" s="3351"/>
      <c r="G2" s="3350"/>
      <c r="H2" s="3350"/>
      <c r="I2" s="3352"/>
      <c r="J2" s="2015"/>
      <c r="K2" s="2014"/>
      <c r="L2" s="2014"/>
      <c r="M2" s="2014"/>
      <c r="N2" s="2014"/>
      <c r="O2" s="2014"/>
      <c r="P2" s="2014"/>
      <c r="Q2" s="2014"/>
      <c r="R2" s="2014"/>
      <c r="S2" s="2014"/>
      <c r="T2" s="2014"/>
      <c r="U2" s="2014"/>
      <c r="V2" s="2014"/>
    </row>
    <row r="3" spans="1:22" ht="14.25">
      <c r="A3" s="3360" t="s">
        <v>298</v>
      </c>
      <c r="B3" s="3361"/>
      <c r="C3" s="3361"/>
      <c r="D3" s="3361"/>
      <c r="E3" s="3361"/>
      <c r="F3" s="3361"/>
      <c r="G3" s="3361"/>
      <c r="H3" s="3361"/>
      <c r="I3" s="3361"/>
      <c r="J3" s="2015"/>
      <c r="K3" s="2014"/>
      <c r="L3" s="2014"/>
      <c r="M3" s="2014"/>
      <c r="N3" s="2014"/>
      <c r="O3" s="2014"/>
      <c r="P3" s="2014"/>
      <c r="Q3" s="2014"/>
      <c r="R3" s="2014"/>
      <c r="S3" s="2014"/>
      <c r="T3" s="2014"/>
      <c r="U3" s="2014"/>
      <c r="V3" s="2014"/>
    </row>
    <row r="4" spans="1:22" ht="14.25">
      <c r="A4" s="258" t="s">
        <v>299</v>
      </c>
      <c r="B4" s="259" t="s">
        <v>300</v>
      </c>
      <c r="C4" s="260" t="s">
        <v>3090</v>
      </c>
      <c r="D4" s="260" t="s">
        <v>3091</v>
      </c>
      <c r="E4" s="3324" t="s">
        <v>301</v>
      </c>
      <c r="F4" s="3366"/>
      <c r="G4" s="3366"/>
      <c r="H4" s="3366"/>
      <c r="I4" s="332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3" t="s">
        <v>302</v>
      </c>
      <c r="B5" s="3354">
        <v>25</v>
      </c>
      <c r="C5" s="3362"/>
      <c r="D5" s="3365"/>
      <c r="E5" s="261" t="s">
        <v>303</v>
      </c>
      <c r="F5" s="262"/>
      <c r="G5" s="262"/>
      <c r="H5" s="262"/>
      <c r="I5" s="263"/>
      <c r="J5" s="2015"/>
      <c r="K5" s="2014"/>
      <c r="L5" s="2014"/>
      <c r="M5" s="2014"/>
      <c r="N5" s="2014"/>
      <c r="O5" s="2014"/>
      <c r="P5" s="2014"/>
      <c r="Q5" s="2014"/>
      <c r="R5" s="2014"/>
      <c r="S5" s="2014"/>
      <c r="T5" s="2014"/>
      <c r="U5" s="2014"/>
      <c r="V5" s="2014"/>
    </row>
    <row r="6" spans="1:22" ht="14.25">
      <c r="A6" s="3353"/>
      <c r="B6" s="3354"/>
      <c r="C6" s="3363"/>
      <c r="D6" s="3365"/>
      <c r="E6" s="261" t="s">
        <v>304</v>
      </c>
      <c r="F6" s="262"/>
      <c r="G6" s="262"/>
      <c r="H6" s="262"/>
      <c r="I6" s="263"/>
      <c r="J6" s="2015"/>
      <c r="K6" s="2014"/>
      <c r="L6" s="2014"/>
      <c r="M6" s="2014"/>
      <c r="N6" s="2014"/>
      <c r="O6" s="2014"/>
      <c r="P6" s="2014"/>
      <c r="Q6" s="2014"/>
      <c r="R6" s="2014"/>
      <c r="S6" s="2014"/>
      <c r="T6" s="2014"/>
      <c r="U6" s="2014"/>
      <c r="V6" s="2014"/>
    </row>
    <row r="7" spans="1:22" ht="14.25">
      <c r="A7" s="3353"/>
      <c r="B7" s="3354"/>
      <c r="C7" s="3364"/>
      <c r="D7" s="3365"/>
      <c r="E7" s="261" t="s">
        <v>305</v>
      </c>
      <c r="F7" s="262"/>
      <c r="G7" s="262"/>
      <c r="H7" s="262"/>
      <c r="I7" s="263"/>
      <c r="J7" s="2015"/>
      <c r="K7" s="2014"/>
      <c r="L7" s="2014"/>
      <c r="M7" s="2014"/>
      <c r="N7" s="2014"/>
      <c r="O7" s="2014"/>
      <c r="P7" s="2014"/>
      <c r="Q7" s="2014"/>
      <c r="R7" s="2014"/>
      <c r="S7" s="2014"/>
      <c r="T7" s="2014"/>
      <c r="U7" s="2014"/>
      <c r="V7" s="2014"/>
    </row>
    <row r="8" spans="1:22" ht="14.25">
      <c r="A8" s="3353" t="s">
        <v>306</v>
      </c>
      <c r="B8" s="3354">
        <v>15</v>
      </c>
      <c r="C8" s="3362"/>
      <c r="D8" s="3365"/>
      <c r="E8" s="261" t="s">
        <v>307</v>
      </c>
      <c r="F8" s="262"/>
      <c r="G8" s="262"/>
      <c r="H8" s="262"/>
      <c r="I8" s="263"/>
      <c r="J8" s="2015"/>
      <c r="K8" s="2014"/>
      <c r="L8" s="2014"/>
      <c r="M8" s="2014"/>
      <c r="N8" s="2014"/>
      <c r="O8" s="2014"/>
      <c r="P8" s="2014"/>
      <c r="Q8" s="2014"/>
      <c r="R8" s="2014"/>
      <c r="S8" s="2014"/>
      <c r="T8" s="2014"/>
      <c r="U8" s="2014"/>
      <c r="V8" s="2014"/>
    </row>
    <row r="9" spans="1:22" ht="14.25">
      <c r="A9" s="3353"/>
      <c r="B9" s="3354"/>
      <c r="C9" s="3364"/>
      <c r="D9" s="3365"/>
      <c r="E9" s="261" t="s">
        <v>308</v>
      </c>
      <c r="F9" s="262"/>
      <c r="G9" s="262"/>
      <c r="H9" s="262"/>
      <c r="I9" s="263"/>
      <c r="J9" s="2015"/>
      <c r="K9" s="2014"/>
      <c r="L9" s="2014"/>
      <c r="M9" s="2014"/>
      <c r="N9" s="2014"/>
      <c r="O9" s="2014"/>
      <c r="P9" s="2014"/>
      <c r="Q9" s="2014"/>
      <c r="R9" s="2014"/>
      <c r="S9" s="2014"/>
      <c r="T9" s="2014"/>
      <c r="U9" s="2014"/>
      <c r="V9" s="2014"/>
    </row>
    <row r="10" spans="1:22" ht="14.25">
      <c r="A10" s="3353" t="s">
        <v>309</v>
      </c>
      <c r="B10" s="3354">
        <v>15</v>
      </c>
      <c r="C10" s="3362"/>
      <c r="D10" s="3365"/>
      <c r="E10" s="261" t="s">
        <v>310</v>
      </c>
      <c r="F10" s="262"/>
      <c r="G10" s="262"/>
      <c r="H10" s="262"/>
      <c r="I10" s="263"/>
      <c r="J10" s="2015"/>
      <c r="K10" s="2014"/>
      <c r="L10" s="2014"/>
      <c r="M10" s="2014"/>
      <c r="N10" s="2014"/>
      <c r="O10" s="2014"/>
      <c r="P10" s="2014"/>
      <c r="Q10" s="2014"/>
      <c r="R10" s="2014"/>
      <c r="S10" s="2014"/>
      <c r="T10" s="2014"/>
      <c r="U10" s="2014"/>
      <c r="V10" s="2014"/>
    </row>
    <row r="11" spans="1:22" ht="14.25">
      <c r="A11" s="3353"/>
      <c r="B11" s="3354"/>
      <c r="C11" s="3364"/>
      <c r="D11" s="3365"/>
      <c r="E11" s="261" t="s">
        <v>311</v>
      </c>
      <c r="F11" s="262"/>
      <c r="G11" s="262"/>
      <c r="H11" s="262"/>
      <c r="I11" s="263"/>
      <c r="J11" s="2015"/>
      <c r="K11" s="2014"/>
      <c r="L11" s="2014"/>
      <c r="M11" s="2014"/>
      <c r="N11" s="2014"/>
      <c r="O11" s="2014"/>
      <c r="P11" s="2014"/>
      <c r="Q11" s="2014"/>
      <c r="R11" s="2014"/>
      <c r="S11" s="2014"/>
      <c r="T11" s="2014"/>
      <c r="U11" s="2014"/>
      <c r="V11" s="2014"/>
    </row>
    <row r="12" spans="1:22" ht="14.25">
      <c r="A12" s="3353" t="s">
        <v>312</v>
      </c>
      <c r="B12" s="3354">
        <v>15</v>
      </c>
      <c r="C12" s="3362"/>
      <c r="D12" s="3365"/>
      <c r="E12" s="261" t="s">
        <v>313</v>
      </c>
      <c r="F12" s="262"/>
      <c r="G12" s="262"/>
      <c r="H12" s="262"/>
      <c r="I12" s="263"/>
      <c r="J12" s="2015"/>
      <c r="K12" s="2014"/>
      <c r="L12" s="2014"/>
      <c r="M12" s="2014"/>
      <c r="N12" s="2014"/>
      <c r="O12" s="2014"/>
      <c r="P12" s="2014"/>
      <c r="Q12" s="2014"/>
      <c r="R12" s="2014"/>
      <c r="S12" s="2014"/>
      <c r="T12" s="2014"/>
      <c r="U12" s="2014"/>
      <c r="V12" s="2014"/>
    </row>
    <row r="13" spans="1:22" ht="14.25">
      <c r="A13" s="3353"/>
      <c r="B13" s="3354"/>
      <c r="C13" s="3364"/>
      <c r="D13" s="3365"/>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3" t="s">
        <v>315</v>
      </c>
      <c r="B14" s="3354">
        <v>30</v>
      </c>
      <c r="C14" s="3362">
        <v>5</v>
      </c>
      <c r="D14" s="3365">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3"/>
      <c r="B15" s="3354"/>
      <c r="C15" s="3363"/>
      <c r="D15" s="3365"/>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3"/>
      <c r="B16" s="3354"/>
      <c r="C16" s="3364"/>
      <c r="D16" s="3365"/>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160107</v>
      </c>
      <c r="D19" s="271">
        <f ca="1">SUMIF(INDIRECT("'"&amp;D4&amp;"'"&amp;"!A:A"),结果表!B19,INDIRECT("'"&amp;D4&amp;"'"&amp;"!B:B"))</f>
        <v>127645</v>
      </c>
      <c r="E19" s="268" t="s">
        <v>323</v>
      </c>
      <c r="F19" s="269" t="s">
        <v>322</v>
      </c>
      <c r="G19" s="272">
        <f ca="1">ROUND(C19*$C$18+D19*$D$18,0)</f>
        <v>143876</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10831</v>
      </c>
      <c r="D20" s="277">
        <f ca="1">SUMIF(INDIRECT("'"&amp;D4&amp;"'"&amp;"!A:A"),结果表!B20,INDIRECT("'"&amp;D4&amp;"'"&amp;"!B:B"))</f>
        <v>8635</v>
      </c>
      <c r="E20" s="274"/>
      <c r="F20" s="275" t="s">
        <v>325</v>
      </c>
      <c r="G20" s="278">
        <f ca="1">ROUND(C20*$C$18+D20*$D$18,0)</f>
        <v>9733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101837</v>
      </c>
      <c r="D21" s="151">
        <f ca="1">SUMIF(INDIRECT("'"&amp;D4&amp;"'"&amp;"!A:A"),结果表!B21,INDIRECT("'"&amp;D4&amp;"'"&amp;"!B:B"))</f>
        <v>81189</v>
      </c>
      <c r="E21" s="274"/>
      <c r="F21" s="280" t="s">
        <v>327</v>
      </c>
      <c r="G21" s="282">
        <f ca="1">ROUND(C21*$C$18+D21*$D$18,0)</f>
        <v>91513</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0.25431470092835595</v>
      </c>
      <c r="E22" s="284"/>
      <c r="F22" s="285"/>
      <c r="G22" s="286">
        <f ca="1">ROUND(G19/('数据-汇总表'!D3/666.67),0)</f>
        <v>6101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8"/>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出让国有建设用地使用权价格：143876万元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大写金额：人民币壹拾肆亿叁仟捌佰柒拾陆万元整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单位面积地价：91513元/平方米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楼面地价：9733元/平方米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抵押价格：143876万元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大写金额：人民币壹拾肆亿叁仟捌佰柒拾陆万元整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143876</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9733</v>
      </c>
      <c r="D33" s="1382" t="s">
        <v>1691</v>
      </c>
      <c r="E33" s="332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91513</v>
      </c>
      <c r="D34" s="1384" t="s">
        <v>1691</v>
      </c>
      <c r="E34" s="332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6101</v>
      </c>
      <c r="D35" s="1387" t="s">
        <v>1693</v>
      </c>
      <c r="E35" s="3328"/>
      <c r="F35" s="301" t="s">
        <v>342</v>
      </c>
      <c r="G35" s="982"/>
      <c r="H35" s="981" t="s">
        <v>343</v>
      </c>
      <c r="I35" s="311"/>
      <c r="J35" s="2014"/>
      <c r="K35" s="3332" t="s">
        <v>350</v>
      </c>
      <c r="L35" s="3332" t="s">
        <v>351</v>
      </c>
      <c r="M35" s="1260" t="s">
        <v>352</v>
      </c>
      <c r="N35" s="3332" t="s">
        <v>353</v>
      </c>
      <c r="O35" s="3332" t="s">
        <v>354</v>
      </c>
      <c r="P35" s="2014"/>
      <c r="V35" s="2014"/>
    </row>
    <row r="36" spans="1:26" ht="16.5" customHeight="1">
      <c r="A36" s="303" t="s">
        <v>344</v>
      </c>
      <c r="B36" s="304" t="s">
        <v>333</v>
      </c>
      <c r="C36" s="305" t="s">
        <v>345</v>
      </c>
      <c r="D36" s="305" t="s">
        <v>346</v>
      </c>
      <c r="E36" s="306" t="s">
        <v>347</v>
      </c>
      <c r="F36" s="311"/>
      <c r="G36" s="311"/>
      <c r="H36" s="311"/>
      <c r="I36" s="311"/>
      <c r="J36" s="2016"/>
      <c r="K36" s="3333"/>
      <c r="L36" s="3333"/>
      <c r="M36" s="1262" t="s">
        <v>355</v>
      </c>
      <c r="N36" s="3333"/>
      <c r="O36" s="3333"/>
      <c r="P36" s="2014"/>
      <c r="V36" s="2014"/>
    </row>
    <row r="37" spans="1:26" ht="16.5" customHeight="1" thickBot="1">
      <c r="A37" s="1256" t="s">
        <v>348</v>
      </c>
      <c r="B37" s="307"/>
      <c r="C37" s="294"/>
      <c r="D37" s="294"/>
      <c r="E37" s="295"/>
      <c r="F37" s="311"/>
      <c r="G37" s="311"/>
      <c r="H37" s="311"/>
      <c r="I37" s="311"/>
      <c r="J37" s="2016"/>
      <c r="K37" s="3334"/>
      <c r="L37" s="3334"/>
      <c r="M37" s="1263"/>
      <c r="N37" s="3334"/>
      <c r="O37" s="3334"/>
      <c r="P37" s="2014"/>
      <c r="V37" s="2014"/>
    </row>
    <row r="38" spans="1:26" ht="16.5" customHeight="1" thickBot="1">
      <c r="A38" s="1256" t="s">
        <v>349</v>
      </c>
      <c r="B38" s="307"/>
      <c r="C38" s="294"/>
      <c r="D38" s="294"/>
      <c r="E38" s="295"/>
      <c r="F38" s="311"/>
      <c r="G38" s="311"/>
      <c r="H38" s="311"/>
      <c r="I38" s="311"/>
      <c r="J38" s="2016"/>
      <c r="K38" s="1264">
        <f>'数据-汇总表'!D3</f>
        <v>15721.96</v>
      </c>
      <c r="L38" s="1265">
        <f>'数据-汇总表'!E3</f>
        <v>147819.42000000001</v>
      </c>
      <c r="M38" s="1265">
        <f ca="1">C34</f>
        <v>91513</v>
      </c>
      <c r="N38" s="1265">
        <f ca="1">C33</f>
        <v>9733</v>
      </c>
      <c r="O38" s="1266">
        <f ca="1">C32</f>
        <v>143876</v>
      </c>
      <c r="P38" s="2014"/>
      <c r="V38" s="2014"/>
    </row>
    <row r="39" spans="1:26" ht="16.5" customHeight="1" thickBot="1">
      <c r="A39" s="1261"/>
      <c r="B39" s="308"/>
      <c r="C39" s="309"/>
      <c r="D39" s="309"/>
      <c r="E39" s="310"/>
      <c r="F39" s="311"/>
      <c r="G39" s="311"/>
      <c r="H39" s="311"/>
      <c r="I39" s="311"/>
      <c r="J39" s="2016"/>
      <c r="K39" s="3309" t="str">
        <f>MID(A44,3,LEN(A44)-2)</f>
        <v>抵押价格</v>
      </c>
      <c r="L39" s="3310"/>
      <c r="M39" s="3310"/>
      <c r="N39" s="3311"/>
      <c r="O39" s="1389">
        <f ca="1">C44</f>
        <v>143876</v>
      </c>
      <c r="P39" s="2014"/>
      <c r="V39" s="2014"/>
    </row>
    <row r="40" spans="1:26" ht="19.5" thickBot="1">
      <c r="A40" s="104" t="s">
        <v>873</v>
      </c>
      <c r="B40" s="311"/>
      <c r="C40" s="311"/>
      <c r="D40" s="311"/>
      <c r="E40" s="311"/>
      <c r="F40" s="311"/>
      <c r="G40" s="311"/>
      <c r="H40" s="311"/>
      <c r="I40" s="311"/>
      <c r="J40" s="2016"/>
      <c r="K40" s="3309" t="str">
        <f t="shared" ref="K40:K41" si="0">MID(A45,3,LEN(A45)-2)</f>
        <v/>
      </c>
      <c r="L40" s="3310"/>
      <c r="M40" s="3310"/>
      <c r="N40" s="331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9" t="str">
        <f t="shared" si="0"/>
        <v/>
      </c>
      <c r="L41" s="3310"/>
      <c r="M41" s="3310"/>
      <c r="N41" s="3311"/>
      <c r="O41" s="1389" t="str">
        <f>C46</f>
        <v>——</v>
      </c>
      <c r="P41" s="2014"/>
      <c r="V41" s="2014"/>
    </row>
    <row r="42" spans="1:26" ht="29.25">
      <c r="A42" s="3369" t="s">
        <v>2065</v>
      </c>
      <c r="B42" s="3370"/>
      <c r="C42" s="264">
        <f ca="1">C32</f>
        <v>143876</v>
      </c>
      <c r="D42" s="317">
        <f ca="1">C33</f>
        <v>9733</v>
      </c>
      <c r="E42" s="317">
        <f ca="1">C34</f>
        <v>91513</v>
      </c>
      <c r="F42" s="318">
        <f ca="1">C35</f>
        <v>6101</v>
      </c>
      <c r="G42" s="311"/>
      <c r="H42" s="311"/>
      <c r="I42" s="319"/>
      <c r="J42" s="2016"/>
      <c r="K42" s="1267" t="s">
        <v>361</v>
      </c>
      <c r="L42" s="2033" t="s">
        <v>362</v>
      </c>
      <c r="M42" s="1268" t="s">
        <v>363</v>
      </c>
      <c r="N42" s="2034" t="s">
        <v>364</v>
      </c>
      <c r="O42" s="2035" t="s">
        <v>365</v>
      </c>
      <c r="P42" s="2014"/>
      <c r="V42" s="2014"/>
    </row>
    <row r="43" spans="1:26" ht="30">
      <c r="A43" s="3379" t="s">
        <v>2727</v>
      </c>
      <c r="B43" s="3380"/>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160107</v>
      </c>
      <c r="M43" s="1271">
        <f>C18</f>
        <v>0.5</v>
      </c>
      <c r="N43" s="1272">
        <f ca="1">IF(N42="测算结果/万元",G19,G20)</f>
        <v>143876</v>
      </c>
      <c r="O43" s="1273">
        <f ca="1">IF(O42="最终结果/万元",C32,C33)</f>
        <v>143876</v>
      </c>
      <c r="P43" s="2014"/>
      <c r="V43" s="2014"/>
    </row>
    <row r="44" spans="1:26" ht="30.75" thickBot="1">
      <c r="A44" s="3369" t="str">
        <f>IF(OR(项目基本情况!E8="抵押价格",项目基本情况!E8="已注销及未注销"),"3.抵押价格","——")</f>
        <v>3.抵押价格</v>
      </c>
      <c r="B44" s="3370"/>
      <c r="C44" s="264">
        <f ca="1">IF(A44="——","——",C42-C43)</f>
        <v>143876</v>
      </c>
      <c r="D44" s="317">
        <f ca="1">ROUND(C44*10000/'数据-汇总表'!E3,0)</f>
        <v>9733</v>
      </c>
      <c r="E44" s="317">
        <f ca="1">ROUND(C44*10000/'数据-汇总表'!D3,0)</f>
        <v>91513</v>
      </c>
      <c r="F44" s="318">
        <f ca="1">ROUND(C44/('数据-汇总表'!D3/666.67),0)</f>
        <v>6101</v>
      </c>
      <c r="G44" s="311"/>
      <c r="H44" s="311"/>
      <c r="I44" s="319"/>
      <c r="J44" s="2016"/>
      <c r="K44" s="1274" t="str">
        <f>D4</f>
        <v>剩余法-待开发</v>
      </c>
      <c r="L44" s="1275">
        <f ca="1">IF(L42="估价结果/万元",D19,D20)</f>
        <v>127645</v>
      </c>
      <c r="M44" s="1276">
        <f>D18</f>
        <v>0.5</v>
      </c>
      <c r="N44" s="1277"/>
      <c r="O44" s="1278"/>
      <c r="P44" s="2014"/>
      <c r="V44" s="2014"/>
    </row>
    <row r="45" spans="1:26" ht="15">
      <c r="A45" s="3374" t="str">
        <f>IF(项目基本情况!E8="已注销及未注销","4.抵押担保权已注销时的抵押价格",IF(项目基本情况!E8="已注销","3.抵押担保权已注销时的抵押价格","——"))</f>
        <v>——</v>
      </c>
      <c r="B45" s="337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1" t="str">
        <f>IF(项目基本情况!E9="抵押净值",IF(A45="——","4.抵押净值","5.抵押净值"),"——")</f>
        <v>——</v>
      </c>
      <c r="B46" s="337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7" t="s">
        <v>374</v>
      </c>
      <c r="B63" s="3338"/>
      <c r="C63" s="3339"/>
      <c r="D63" s="341">
        <f ca="1">ROUND(C42*F63,0)</f>
        <v>86326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6" t="s">
        <v>378</v>
      </c>
      <c r="B64" s="3377"/>
      <c r="C64" s="3377"/>
      <c r="D64" s="3377"/>
      <c r="E64" s="3377"/>
      <c r="F64" s="3377"/>
      <c r="G64" s="337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3" t="s">
        <v>386</v>
      </c>
      <c r="B66" s="3344"/>
      <c r="C66" s="3344"/>
      <c r="D66" s="261">
        <f ca="1">IF(H66="情况1",0,IF(H66="情况2",D70,IF(H66="情况3",D71,IF(H66="情况4",D72))))</f>
        <v>4522</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13" t="s">
        <v>385</v>
      </c>
      <c r="M66" s="3314"/>
      <c r="N66" s="2423"/>
      <c r="O66" s="2424"/>
      <c r="P66" s="2425"/>
      <c r="Q66" s="2014"/>
      <c r="R66" s="2014"/>
      <c r="S66" s="2014"/>
      <c r="T66" s="2014"/>
      <c r="U66" s="2014"/>
      <c r="V66" s="2014"/>
    </row>
    <row r="67" spans="1:22" ht="25.5" customHeight="1">
      <c r="A67" s="352" t="s">
        <v>390</v>
      </c>
      <c r="B67" s="3356" t="s">
        <v>391</v>
      </c>
      <c r="C67" s="3356"/>
      <c r="D67" s="353">
        <v>0</v>
      </c>
      <c r="E67" s="41" t="s">
        <v>392</v>
      </c>
      <c r="F67" s="62" t="s">
        <v>21</v>
      </c>
      <c r="G67" s="3340"/>
      <c r="H67" s="311"/>
      <c r="I67" s="1288"/>
      <c r="J67" s="2021"/>
      <c r="K67" s="1962">
        <v>2</v>
      </c>
      <c r="L67" s="3312" t="s">
        <v>389</v>
      </c>
      <c r="M67" s="3312"/>
      <c r="N67" s="1321">
        <f>'数据-取费表'!B2</f>
        <v>43843</v>
      </c>
      <c r="O67" s="1321"/>
      <c r="P67" s="1321"/>
      <c r="Q67" s="2014"/>
      <c r="R67" s="2014"/>
      <c r="S67" s="2014"/>
      <c r="T67" s="2014"/>
      <c r="U67" s="2014"/>
      <c r="V67" s="2014"/>
    </row>
    <row r="68" spans="1:22" ht="25.5" customHeight="1">
      <c r="A68" s="354"/>
      <c r="B68" s="3356" t="s">
        <v>394</v>
      </c>
      <c r="C68" s="3356"/>
      <c r="D68" s="355"/>
      <c r="E68" s="77"/>
      <c r="F68" s="356"/>
      <c r="G68" s="3341"/>
      <c r="H68" s="311"/>
      <c r="I68" s="1288"/>
      <c r="J68" s="2021"/>
      <c r="K68" s="1962">
        <v>3</v>
      </c>
      <c r="L68" s="3312" t="s">
        <v>393</v>
      </c>
      <c r="M68" s="3312"/>
      <c r="N68" s="1289">
        <f ca="1">C42</f>
        <v>143876</v>
      </c>
      <c r="O68" s="1289"/>
      <c r="P68" s="1289"/>
      <c r="Q68" s="2014"/>
      <c r="R68" s="2014"/>
      <c r="S68" s="2014"/>
      <c r="T68" s="2014"/>
      <c r="U68" s="2014"/>
      <c r="V68" s="2014"/>
    </row>
    <row r="69" spans="1:22" ht="12" customHeight="1">
      <c r="A69" s="357"/>
      <c r="B69" s="3356" t="s">
        <v>395</v>
      </c>
      <c r="C69" s="3356"/>
      <c r="D69" s="358"/>
      <c r="E69" s="73"/>
      <c r="F69" s="356"/>
      <c r="G69" s="3342"/>
      <c r="H69" s="311"/>
      <c r="I69" s="1288"/>
      <c r="J69" s="2021"/>
      <c r="K69" s="1290">
        <v>4</v>
      </c>
      <c r="L69" s="3318" t="s">
        <v>2880</v>
      </c>
      <c r="M69" s="3319"/>
      <c r="N69" s="1291">
        <f ca="1">C44</f>
        <v>143876</v>
      </c>
      <c r="O69" s="1291"/>
      <c r="P69" s="1291"/>
      <c r="Q69" s="2014"/>
      <c r="R69" s="2014"/>
      <c r="S69" s="2014"/>
      <c r="T69" s="2014"/>
      <c r="U69" s="2014"/>
      <c r="V69" s="2014"/>
    </row>
    <row r="70" spans="1:22" ht="24" customHeight="1">
      <c r="A70" s="359" t="s">
        <v>396</v>
      </c>
      <c r="B70" s="3356" t="s">
        <v>397</v>
      </c>
      <c r="C70" s="3356"/>
      <c r="D70" s="358">
        <f ca="1">ROUND(D63*'数据-取费表'!B41/(1+'数据-取费表'!C42),0)</f>
        <v>4522</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55" t="s">
        <v>405</v>
      </c>
      <c r="C71" s="3367"/>
      <c r="D71" s="358">
        <f ca="1">ROUND(D63*'数据-取费表'!B41/(1+'数据-取费表'!C42),0)</f>
        <v>4522</v>
      </c>
      <c r="E71" s="17" t="s">
        <v>398</v>
      </c>
      <c r="F71" s="360">
        <f>'数据-取费表'!B41</f>
        <v>5.5000000000000007E-2</v>
      </c>
      <c r="G71" s="361"/>
      <c r="H71" s="311"/>
      <c r="I71" s="1288"/>
      <c r="J71" s="2021"/>
      <c r="K71" s="3013" t="s">
        <v>399</v>
      </c>
      <c r="L71" s="3320" t="s">
        <v>400</v>
      </c>
      <c r="M71" s="3320"/>
      <c r="N71" s="3013" t="s">
        <v>401</v>
      </c>
      <c r="O71" s="3013" t="s">
        <v>402</v>
      </c>
      <c r="P71" s="3013" t="s">
        <v>403</v>
      </c>
      <c r="Q71" s="2014"/>
      <c r="R71" s="2014"/>
      <c r="S71" s="2014"/>
      <c r="T71" s="2014"/>
      <c r="U71" s="2014"/>
      <c r="V71" s="2014"/>
    </row>
    <row r="72" spans="1:22" ht="12" customHeight="1">
      <c r="A72" s="359" t="s">
        <v>407</v>
      </c>
      <c r="B72" s="3355" t="s">
        <v>408</v>
      </c>
      <c r="C72" s="3367"/>
      <c r="D72" s="358">
        <f ca="1">C86</f>
        <v>4412</v>
      </c>
      <c r="E72" s="73" t="s">
        <v>409</v>
      </c>
      <c r="F72" s="360">
        <f>'数据-取费表'!B41</f>
        <v>5.5000000000000007E-2</v>
      </c>
      <c r="G72" s="361"/>
      <c r="H72" s="1294"/>
      <c r="I72" s="1288"/>
      <c r="J72" s="2021"/>
      <c r="K72" s="1962">
        <v>1</v>
      </c>
      <c r="L72" s="3317" t="s">
        <v>406</v>
      </c>
      <c r="M72" s="3317"/>
      <c r="N72" s="1292">
        <f ca="1">D66</f>
        <v>4522</v>
      </c>
      <c r="O72" s="1845" t="str">
        <f>E66</f>
        <v>销售额×税（费）率</v>
      </c>
      <c r="P72" s="1293">
        <f>F66</f>
        <v>5.5000000000000007E-2</v>
      </c>
      <c r="Q72" s="2014"/>
      <c r="R72" s="2014"/>
      <c r="S72" s="2014"/>
      <c r="T72" s="2014"/>
      <c r="U72" s="2014"/>
      <c r="V72" s="2014"/>
    </row>
    <row r="73" spans="1:22" ht="24" customHeight="1">
      <c r="A73" s="3343" t="s">
        <v>411</v>
      </c>
      <c r="B73" s="3344"/>
      <c r="C73" s="3344"/>
      <c r="D73" s="362">
        <f>IF(H73="个人住宅",0,ROUND(D63*I73,0))</f>
        <v>0</v>
      </c>
      <c r="E73" s="17" t="s">
        <v>412</v>
      </c>
      <c r="F73" s="360" t="str">
        <f>IF(H73="正常",I73,"免征")</f>
        <v>免征</v>
      </c>
      <c r="G73" s="361"/>
      <c r="H73" s="191" t="s">
        <v>2453</v>
      </c>
      <c r="I73" s="360">
        <f>'数据-取费表'!B49</f>
        <v>5.0000000000000001E-4</v>
      </c>
      <c r="J73" s="2021"/>
      <c r="K73" s="1962">
        <v>2</v>
      </c>
      <c r="L73" s="3317" t="s">
        <v>410</v>
      </c>
      <c r="M73" s="3317"/>
      <c r="N73" s="1292">
        <f t="shared" ref="N73:P74" si="1">D73</f>
        <v>0</v>
      </c>
      <c r="O73" s="1845" t="str">
        <f t="shared" si="1"/>
        <v>销售额×税（费）率</v>
      </c>
      <c r="P73" s="1293" t="str">
        <f t="shared" si="1"/>
        <v>免征</v>
      </c>
      <c r="Q73" s="2014"/>
      <c r="R73" s="2014"/>
      <c r="S73" s="2014"/>
      <c r="T73" s="2014"/>
      <c r="U73" s="2014"/>
      <c r="V73" s="2014"/>
    </row>
    <row r="74" spans="1:22" ht="24.75">
      <c r="A74" s="3343" t="s">
        <v>415</v>
      </c>
      <c r="B74" s="3344"/>
      <c r="C74" s="3344"/>
      <c r="D74" s="362">
        <f ca="1">IF(H74="个人住宅",D75,D76)</f>
        <v>48283</v>
      </c>
      <c r="E74" s="17" t="s">
        <v>416</v>
      </c>
      <c r="F74" s="360" t="str">
        <f>IF(H74="正常",F76,"免征")</f>
        <v>——</v>
      </c>
      <c r="G74" s="983" t="s">
        <v>417</v>
      </c>
      <c r="H74" s="363" t="s">
        <v>413</v>
      </c>
      <c r="I74" s="42"/>
      <c r="J74" s="2021"/>
      <c r="K74" s="1962">
        <v>3</v>
      </c>
      <c r="L74" s="3317" t="s">
        <v>414</v>
      </c>
      <c r="M74" s="3317"/>
      <c r="N74" s="1292">
        <f t="shared" ca="1" si="1"/>
        <v>48283</v>
      </c>
      <c r="O74" s="1845" t="str">
        <f t="shared" si="1"/>
        <v>增值额×税（费）率</v>
      </c>
      <c r="P74" s="1295" t="str">
        <f t="shared" si="1"/>
        <v>——</v>
      </c>
      <c r="Q74" s="2014"/>
      <c r="R74" s="2014"/>
      <c r="S74" s="2014"/>
      <c r="T74" s="2014"/>
      <c r="U74" s="2014"/>
      <c r="V74" s="2014"/>
    </row>
    <row r="75" spans="1:22" ht="24">
      <c r="A75" s="359" t="s">
        <v>418</v>
      </c>
      <c r="B75" s="3324" t="s">
        <v>419</v>
      </c>
      <c r="C75" s="3325"/>
      <c r="D75" s="364">
        <v>0</v>
      </c>
      <c r="E75" s="41" t="s">
        <v>420</v>
      </c>
      <c r="F75" s="365"/>
      <c r="G75" s="361"/>
      <c r="H75" s="42"/>
      <c r="I75" s="42"/>
      <c r="J75" s="2021"/>
      <c r="K75" s="3006">
        <f>IF(H77="非个人房产","",4)</f>
        <v>4</v>
      </c>
      <c r="L75" s="3317" t="str">
        <f>IF(H77="非个人房产","——","个人所得税")</f>
        <v>个人所得税</v>
      </c>
      <c r="M75" s="3317"/>
      <c r="N75" s="1296">
        <f ca="1">D77</f>
        <v>863</v>
      </c>
      <c r="O75" s="1858" t="str">
        <f>E77</f>
        <v>销售额×税（费）率</v>
      </c>
      <c r="P75" s="1297">
        <f>F77</f>
        <v>0.01</v>
      </c>
      <c r="Q75" s="2014"/>
      <c r="R75" s="2014"/>
      <c r="S75" s="2014"/>
      <c r="T75" s="2014"/>
      <c r="U75" s="2014"/>
      <c r="V75" s="2014"/>
    </row>
    <row r="76" spans="1:22" ht="24.75">
      <c r="A76" s="359" t="s">
        <v>396</v>
      </c>
      <c r="B76" s="3324" t="s">
        <v>422</v>
      </c>
      <c r="C76" s="3366"/>
      <c r="D76" s="362">
        <f ca="1">IF(H76="转让取得",C99,C115)</f>
        <v>48283</v>
      </c>
      <c r="E76" s="17" t="s">
        <v>423</v>
      </c>
      <c r="F76" s="53" t="s">
        <v>21</v>
      </c>
      <c r="G76" s="361"/>
      <c r="H76" s="363" t="s">
        <v>424</v>
      </c>
      <c r="I76" s="42"/>
      <c r="J76" s="2021"/>
      <c r="K76" s="3006" t="str">
        <f>IF(项目基本情况!K6="上海银行",IF(K75="",4,K75+1),"")</f>
        <v/>
      </c>
      <c r="L76" s="3305" t="str">
        <f>IF(项目基本情况!K6="上海银行","其他处置费用","")</f>
        <v/>
      </c>
      <c r="M76" s="3306"/>
      <c r="N76" s="1292" t="str">
        <f>IF(项目基本情况!K6="上海银行",N89,"")</f>
        <v/>
      </c>
      <c r="O76" s="3307" t="str">
        <f>IF(项目基本情况!K6="上海银行","包含处置中涉及的律师、诉讼、拍卖、评估等费用","")</f>
        <v/>
      </c>
      <c r="P76" s="3308"/>
      <c r="Q76" s="2014"/>
      <c r="R76" s="2014"/>
      <c r="S76" s="2014"/>
      <c r="T76" s="2014"/>
      <c r="U76" s="2014"/>
      <c r="V76" s="2014"/>
    </row>
    <row r="77" spans="1:22" ht="26.25" thickBot="1">
      <c r="A77" s="3335" t="s">
        <v>426</v>
      </c>
      <c r="B77" s="3336"/>
      <c r="C77" s="3336"/>
      <c r="D77" s="366">
        <f ca="1">IF(H77="非个人房产","——",IF(H77="个人住宅",0,ROUND(D63*I77,0)))</f>
        <v>863</v>
      </c>
      <c r="E77" s="367" t="str">
        <f>IF(H77="非个人房产","——","销售额×税（费）率")</f>
        <v>销售额×税（费）率</v>
      </c>
      <c r="F77" s="368">
        <f>IF(H77="非个人房产","——",IF(H77="个人住宅","免征",I77))</f>
        <v>0.01</v>
      </c>
      <c r="G77" s="984" t="s">
        <v>417</v>
      </c>
      <c r="H77" s="363" t="s">
        <v>2881</v>
      </c>
      <c r="I77" s="369">
        <v>0.01</v>
      </c>
      <c r="J77" s="2021"/>
      <c r="K77" s="3331">
        <f>IF(AND(K75="",K76=""),4,IF(项目基本情况!K6="上海银行",K76+1,K75+1))</f>
        <v>5</v>
      </c>
      <c r="L77" s="3317" t="s">
        <v>2882</v>
      </c>
      <c r="M77" s="3012" t="s">
        <v>421</v>
      </c>
      <c r="N77" s="1298"/>
      <c r="O77" s="1299">
        <f ca="1">SUMIF(N72:N76,"&lt;9e307")</f>
        <v>53668</v>
      </c>
      <c r="P77" s="1300"/>
      <c r="Q77" s="3010">
        <f ca="1">O77/N69</f>
        <v>0.37301565236731632</v>
      </c>
      <c r="R77" s="2014"/>
      <c r="S77" s="2014"/>
      <c r="T77" s="2014"/>
      <c r="U77" s="2014"/>
      <c r="V77" s="2014"/>
    </row>
    <row r="78" spans="1:22" ht="12" customHeight="1">
      <c r="A78" s="1301"/>
      <c r="B78" s="311"/>
      <c r="C78" s="311"/>
      <c r="D78" s="311"/>
      <c r="E78" s="42"/>
      <c r="F78" s="42"/>
      <c r="G78" s="42"/>
      <c r="H78" s="1003"/>
      <c r="I78" s="311"/>
      <c r="J78" s="2021"/>
      <c r="K78" s="3331"/>
      <c r="L78" s="3317"/>
      <c r="M78" s="3012" t="s">
        <v>425</v>
      </c>
      <c r="N78" s="1298"/>
      <c r="O78" s="1299" t="str">
        <f ca="1">NUMBERSTRING(INT(O77*10000),2)&amp;"元整"</f>
        <v>伍亿叁仟陆佰陆拾捌万元整</v>
      </c>
      <c r="P78" s="1300"/>
      <c r="Q78" s="2014"/>
      <c r="R78" s="2014"/>
      <c r="S78" s="2014"/>
      <c r="T78" s="2014"/>
      <c r="U78" s="2014"/>
      <c r="V78" s="2014"/>
    </row>
    <row r="79" spans="1:22" ht="13.5" thickBot="1">
      <c r="A79" s="3321" t="s">
        <v>427</v>
      </c>
      <c r="B79" s="3321"/>
      <c r="C79" s="3321"/>
      <c r="D79" s="3321"/>
      <c r="E79" s="3321"/>
      <c r="F79" s="42"/>
      <c r="G79" s="42"/>
      <c r="H79" s="1003"/>
      <c r="I79" s="311"/>
      <c r="J79" s="2021"/>
      <c r="K79" s="3315">
        <f>K77+1</f>
        <v>6</v>
      </c>
      <c r="L79" s="3317" t="s">
        <v>2883</v>
      </c>
      <c r="M79" s="3012" t="s">
        <v>421</v>
      </c>
      <c r="N79" s="1298"/>
      <c r="O79" s="1299">
        <f ca="1">N69-O77</f>
        <v>90208</v>
      </c>
      <c r="P79" s="1300"/>
      <c r="Q79" s="2014"/>
      <c r="R79" s="2014"/>
      <c r="S79" s="2014"/>
      <c r="T79" s="2014"/>
      <c r="U79" s="2014"/>
      <c r="V79" s="2014"/>
    </row>
    <row r="80" spans="1:22" ht="25.5">
      <c r="A80" s="3322" t="s">
        <v>428</v>
      </c>
      <c r="B80" s="3323"/>
      <c r="C80" s="994"/>
      <c r="D80" s="994" t="s">
        <v>429</v>
      </c>
      <c r="E80" s="370" t="s">
        <v>430</v>
      </c>
      <c r="F80" s="42"/>
      <c r="G80" s="42"/>
      <c r="H80" s="1003"/>
      <c r="I80" s="311"/>
      <c r="J80" s="2014"/>
      <c r="K80" s="3316"/>
      <c r="L80" s="3317"/>
      <c r="M80" s="3012" t="s">
        <v>425</v>
      </c>
      <c r="N80" s="1298"/>
      <c r="O80" s="1299" t="str">
        <f ca="1">NUMBERSTRING(INT(O79*10000),2)&amp;"元整"</f>
        <v>玖亿零贰佰零捌万元整</v>
      </c>
      <c r="P80" s="1300"/>
      <c r="Q80" s="2014"/>
      <c r="R80" s="2014"/>
      <c r="S80" s="2014"/>
      <c r="T80" s="2014"/>
      <c r="U80" s="2014"/>
      <c r="V80" s="2014"/>
    </row>
    <row r="81" spans="1:26" ht="13.5" thickBot="1">
      <c r="A81" s="381" t="s">
        <v>1823</v>
      </c>
      <c r="B81" s="371" t="s">
        <v>431</v>
      </c>
      <c r="C81" s="372">
        <f ca="1">ROUND((C82+C83)/(1+'数据-取费表'!C42),0)</f>
        <v>82215</v>
      </c>
      <c r="D81" s="373"/>
      <c r="E81" s="374"/>
      <c r="F81" s="42"/>
      <c r="G81" s="42"/>
      <c r="H81" s="1003"/>
      <c r="I81" s="311"/>
      <c r="J81" s="2014"/>
      <c r="K81" s="3006">
        <f>K79+1</f>
        <v>7</v>
      </c>
      <c r="L81" s="3329" t="s">
        <v>2884</v>
      </c>
      <c r="M81" s="3330"/>
      <c r="N81" s="1302"/>
      <c r="O81" s="1303">
        <f ca="1">ROUND(O79*10000/'数据-汇总表'!E3,0)</f>
        <v>6103</v>
      </c>
      <c r="P81" s="1304"/>
      <c r="Q81" s="2014"/>
      <c r="R81" s="2014"/>
      <c r="S81" s="2014"/>
      <c r="T81" s="2014"/>
      <c r="U81" s="2014"/>
      <c r="V81" s="2014"/>
    </row>
    <row r="82" spans="1:26" ht="13.5" thickTop="1">
      <c r="A82" s="375" t="s">
        <v>1824</v>
      </c>
      <c r="B82" s="376" t="s">
        <v>432</v>
      </c>
      <c r="C82" s="377">
        <f ca="1">D63</f>
        <v>86326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04" t="s">
        <v>2871</v>
      </c>
      <c r="L83" s="3018" t="s">
        <v>2872</v>
      </c>
      <c r="M83" s="3008">
        <f ca="1">IF(N69&gt;10000,N69*0.5%,IF(AND(N69&gt;1000,N69&lt;=10000),N69*1%,IF(AND(N69&gt;100,N69&lt;=1000),N69*3%,IF(AND(N69&gt;10,N69&lt;=100),N69*5%,N69*8%))))</f>
        <v>719.38</v>
      </c>
      <c r="N83" s="53">
        <f ca="1">ROUND(M83,1)</f>
        <v>719.4</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304"/>
      <c r="L84" s="3018" t="s">
        <v>2873</v>
      </c>
      <c r="M84" s="3008">
        <f ca="1">IF(N69&gt;2000,N69*0.5%,IF(AND(N69&gt;1000,N69&lt;=2000),N69*0.6%,IF(AND(N69&gt;500,N69&lt;=1000),N69*0.7%,IF(AND(N69&gt;200,N69&lt;=500),N69*0.8%,IF(AND(N69&gt;100,N69&lt;=200),N69*0.9%,IF(AND(N69&gt;50,N69&lt;=100),N69*1%,IF(AND(N69&gt;20,N69&lt;=50),N69*1.5%,IF(AND(N69&gt;10,N69&lt;=20),N69*2%,IF(AND(N69&gt;1,N69&lt;=10),N69*2.5%)))))))))</f>
        <v>719.38</v>
      </c>
      <c r="N84" s="53">
        <f t="shared" ref="N84:N85" ca="1" si="2">ROUND(M84,1)</f>
        <v>719.4</v>
      </c>
      <c r="O84" s="2014" t="s">
        <v>2874</v>
      </c>
      <c r="P84" s="2014"/>
      <c r="Q84" s="2014"/>
      <c r="R84" s="2014"/>
      <c r="S84" s="2014"/>
      <c r="T84" s="2014"/>
      <c r="U84" s="2014"/>
      <c r="V84" s="2014"/>
    </row>
    <row r="85" spans="1:26" ht="12.75">
      <c r="A85" s="381" t="s">
        <v>1827</v>
      </c>
      <c r="B85" s="382" t="s">
        <v>435</v>
      </c>
      <c r="C85" s="385">
        <f ca="1">C81-C84</f>
        <v>80215</v>
      </c>
      <c r="D85" s="378" t="s">
        <v>19</v>
      </c>
      <c r="E85" s="379"/>
      <c r="F85" s="42"/>
      <c r="G85" s="42"/>
      <c r="H85" s="1003"/>
      <c r="I85" s="311"/>
      <c r="J85" s="2014"/>
      <c r="K85" s="3304"/>
      <c r="L85" s="3018" t="s">
        <v>2875</v>
      </c>
      <c r="M85" s="3008">
        <f ca="1">IF(N69&gt;1000,N69*0.1%,IF(AND(N69&gt;500,N69&lt;=1000),N69*0.5%,IF(AND(N69&gt;50,N69&lt;=500),N69*1%,IF(AND(N69&gt;1,N69&lt;=50),N69*1.5%))))</f>
        <v>143.876</v>
      </c>
      <c r="N85" s="53">
        <f t="shared" ca="1" si="2"/>
        <v>143.9</v>
      </c>
      <c r="O85" s="2014" t="s">
        <v>2874</v>
      </c>
      <c r="P85" s="2014"/>
      <c r="Q85" s="2014"/>
      <c r="R85" s="2014"/>
      <c r="S85" s="2014"/>
      <c r="T85" s="2014"/>
      <c r="U85" s="2014"/>
      <c r="V85" s="2014"/>
    </row>
    <row r="86" spans="1:26" ht="13.5" thickBot="1">
      <c r="A86" s="386" t="s">
        <v>1828</v>
      </c>
      <c r="B86" s="387" t="s">
        <v>436</v>
      </c>
      <c r="C86" s="388">
        <f ca="1">IF(C85&lt;=0,0,ROUND(C85*D86,0))</f>
        <v>4412</v>
      </c>
      <c r="D86" s="389">
        <f>'数据-取费表'!B41</f>
        <v>5.5000000000000007E-2</v>
      </c>
      <c r="E86" s="390"/>
      <c r="F86" s="42"/>
      <c r="G86" s="42"/>
      <c r="H86" s="1003"/>
      <c r="I86" s="311"/>
      <c r="J86" s="2014"/>
      <c r="K86" s="3304"/>
      <c r="L86" s="3018" t="s">
        <v>2876</v>
      </c>
      <c r="M86" s="3008">
        <f ca="1">N69*0.5%</f>
        <v>719.38</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4"/>
      <c r="L87" s="3018" t="s">
        <v>2878</v>
      </c>
      <c r="M87" s="3008">
        <f ca="1">IF(N69&gt;=10000,(8.25+(N69-10000)*0.01%),IF(AND(N69&gt;=8000,N69&lt;10000),(7.85+(N69-8000)*0.02%),IF(AND(N69&gt;=5000,N69&lt;8000),(6.65+(N69-5000)*0.04%),IF(AND(N69&gt;=2000,N69&lt;5000),(4.25+(PN69-2000)*0.08%),IF(AND(N69&gt;=1000,N69&lt;2000),(2.75+(N69-1000)*0.15%),IF(AND(N69&gt;=100,N69&lt;1000),(0.5+(N69-100)*0.25%),IF(AND(N69&gt;0,N69&lt;100),N69*0.5%)))))))</f>
        <v>21.637599999999999</v>
      </c>
      <c r="N87" s="53">
        <f ca="1">ROUND(M87*0.9,1)</f>
        <v>19.5</v>
      </c>
      <c r="O87" s="3011"/>
      <c r="P87" s="311"/>
      <c r="Q87" s="2014"/>
      <c r="R87" s="2014"/>
      <c r="S87" s="2014"/>
      <c r="T87" s="2014"/>
      <c r="U87" s="2014"/>
      <c r="V87" s="2014"/>
      <c r="W87" s="292"/>
      <c r="X87" s="292"/>
      <c r="Y87" s="292"/>
      <c r="Z87" s="292"/>
    </row>
    <row r="88" spans="1:26" s="1310" customFormat="1" ht="15" thickBot="1">
      <c r="A88" s="3358" t="s">
        <v>437</v>
      </c>
      <c r="B88" s="3359"/>
      <c r="C88" s="3359"/>
      <c r="D88" s="3359"/>
      <c r="E88" s="3359"/>
      <c r="F88" s="3359"/>
      <c r="G88" s="3359"/>
      <c r="H88" s="3359"/>
      <c r="I88" s="1311"/>
      <c r="J88" s="2022"/>
      <c r="K88" s="3304"/>
      <c r="L88" s="3018" t="s">
        <v>2879</v>
      </c>
      <c r="M88" s="3008">
        <f ca="1">IF(N69&gt;10000,N69*0.5%,IF(AND(N69&gt;5000,N69&lt;=10000),N69*1%,IF(AND(N69&gt;1000,N69&lt;=5000),N69*2%,IF(AND(N69&gt;200,N69&lt;=1000),N69*3%,N69*5%))))</f>
        <v>719.38</v>
      </c>
      <c r="N88" s="53">
        <f ca="1">ROUND(M88,1)</f>
        <v>719.4</v>
      </c>
      <c r="O88" s="3011"/>
      <c r="P88" s="11"/>
      <c r="Q88" s="2019"/>
      <c r="R88" s="2019"/>
      <c r="S88" s="2019"/>
      <c r="T88" s="2019"/>
      <c r="U88" s="2019"/>
      <c r="V88" s="2019"/>
      <c r="W88" s="2023"/>
      <c r="X88" s="2023"/>
      <c r="Y88" s="2023"/>
      <c r="Z88" s="2023"/>
    </row>
    <row r="89" spans="1:26" s="1310" customFormat="1" ht="14.25">
      <c r="A89" s="3322" t="s">
        <v>428</v>
      </c>
      <c r="B89" s="3323"/>
      <c r="C89" s="994"/>
      <c r="D89" s="994" t="s">
        <v>429</v>
      </c>
      <c r="E89" s="391" t="s">
        <v>438</v>
      </c>
      <c r="F89" s="392"/>
      <c r="G89" s="392"/>
      <c r="H89" s="393"/>
      <c r="I89" s="1312"/>
      <c r="J89" s="2024"/>
      <c r="K89" s="3304"/>
      <c r="L89" s="3018" t="s">
        <v>27</v>
      </c>
      <c r="M89" s="3009"/>
      <c r="N89" s="53">
        <f ca="1">ROUND(SUM(N83:N88),0)</f>
        <v>2322</v>
      </c>
      <c r="O89" s="3019">
        <f ca="1">N89/N69</f>
        <v>1.6138897383858323E-2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82215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2972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55" t="s">
        <v>447</v>
      </c>
      <c r="F94" s="3356"/>
      <c r="G94" s="3356"/>
      <c r="H94" s="3357"/>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411</v>
      </c>
      <c r="D96" s="406">
        <f>'数据-取费表'!B43</f>
        <v>5.000000000000001E-3</v>
      </c>
      <c r="E96" s="3345" t="s">
        <v>2426</v>
      </c>
      <c r="F96" s="3346"/>
      <c r="G96" s="3346"/>
      <c r="H96" s="334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79243</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26.663189771197846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46506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8" t="s">
        <v>454</v>
      </c>
      <c r="B101" s="3359"/>
      <c r="C101" s="3359"/>
      <c r="D101" s="3359"/>
      <c r="E101" s="3359"/>
      <c r="F101" s="3359"/>
      <c r="G101" s="3359"/>
      <c r="H101" s="335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2" t="s">
        <v>428</v>
      </c>
      <c r="B102" s="332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82215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1101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8" t="s">
        <v>462</v>
      </c>
      <c r="F109" s="3346"/>
      <c r="G109" s="3346"/>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8" t="s">
        <v>464</v>
      </c>
      <c r="F110" s="3346"/>
      <c r="G110" s="3346"/>
      <c r="H110" s="334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411</v>
      </c>
      <c r="D111" s="406">
        <f>'数据-取费表'!B43</f>
        <v>5.000000000000001E-3</v>
      </c>
      <c r="E111" s="3345" t="s">
        <v>2426</v>
      </c>
      <c r="F111" s="3346"/>
      <c r="G111" s="3346"/>
      <c r="H111" s="334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8" t="s">
        <v>2451</v>
      </c>
      <c r="F112" s="3346"/>
      <c r="G112" s="3346"/>
      <c r="H112" s="334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81114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73.673024523160763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48283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58277</v>
      </c>
      <c r="D13" s="451"/>
      <c r="E13" s="365"/>
      <c r="F13" s="452"/>
      <c r="G13" s="444"/>
      <c r="H13" s="447"/>
      <c r="I13" s="447"/>
      <c r="J13" s="447"/>
      <c r="K13" s="448"/>
    </row>
    <row r="14" spans="1:41" s="2102" customFormat="1" ht="13.5" customHeight="1">
      <c r="A14" s="1619" t="s">
        <v>1849</v>
      </c>
      <c r="B14" s="449" t="s">
        <v>480</v>
      </c>
      <c r="C14" s="53">
        <f ca="1">ROUND(C13*F14,0)</f>
        <v>1748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2956</v>
      </c>
      <c r="D16" s="451">
        <f ca="1">IF(B1="",'数据-汇总表'!E3,INDIRECT("'数据-取费表'!K"&amp;$K$1)+INDIRECT("'数据-取费表'!S"&amp;$K$1))</f>
        <v>147819.42000000001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874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63855</v>
      </c>
      <c r="D18" s="461"/>
      <c r="E18" s="462"/>
      <c r="F18" s="462"/>
      <c r="G18" s="1323" t="s">
        <v>2430</v>
      </c>
      <c r="H18" s="447"/>
      <c r="I18" s="447"/>
      <c r="J18" s="447"/>
      <c r="K18" s="448"/>
    </row>
    <row r="19" spans="1:14" s="2105" customFormat="1" ht="13.5" customHeight="1">
      <c r="A19" s="1620" t="s">
        <v>1854</v>
      </c>
      <c r="B19" s="459" t="s">
        <v>493</v>
      </c>
      <c r="C19" s="460">
        <f ca="1">ROUND(C18*F19,0)</f>
        <v>1277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4695</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4695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8467</v>
      </c>
      <c r="D24" s="489">
        <f ca="1">C26</f>
        <v>2.5999999999999999E-3</v>
      </c>
      <c r="E24" s="469" t="s">
        <v>507</v>
      </c>
      <c r="F24" s="479">
        <f ca="1">IF(B1="",'数据-取费表'!Q16,INDIRECT("'数据-取费表'!q"&amp;$K$1))</f>
        <v>0.13</v>
      </c>
      <c r="G24" s="444"/>
      <c r="H24" s="447"/>
      <c r="I24" s="447"/>
      <c r="J24" s="447"/>
      <c r="K24" s="448"/>
    </row>
    <row r="25" spans="1:14" s="2106" customFormat="1" ht="13.5" customHeight="1">
      <c r="A25" s="1619" t="s">
        <v>1848</v>
      </c>
      <c r="B25" s="1324" t="s">
        <v>2434</v>
      </c>
      <c r="C25" s="490">
        <f ca="1">ROUND((C18+C19)*F24,0)</f>
        <v>8467</v>
      </c>
      <c r="D25" s="472"/>
      <c r="E25" s="473"/>
      <c r="F25" s="480"/>
      <c r="G25" s="1322" t="s">
        <v>2431</v>
      </c>
      <c r="H25" s="457"/>
      <c r="I25" s="457"/>
      <c r="J25" s="457"/>
      <c r="K25" s="458"/>
    </row>
    <row r="26" spans="1:14" s="2106" customFormat="1" ht="13.5" customHeight="1">
      <c r="A26" s="1619" t="s">
        <v>1849</v>
      </c>
      <c r="B26" s="1324" t="s">
        <v>509</v>
      </c>
      <c r="C26" s="491">
        <f ca="1">ROUND(F20*F24,4)</f>
        <v>2.5999999999999999E-3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84770</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6" zoomScale="70" zoomScaleNormal="95" zoomScaleSheetLayoutView="70" workbookViewId="0">
      <selection activeCell="F59" sqref="F59: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160107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10831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101837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6789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3" t="s">
        <v>522</v>
      </c>
      <c r="D6" s="3404"/>
      <c r="E6" s="3403" t="s">
        <v>523</v>
      </c>
      <c r="F6" s="3404"/>
      <c r="G6" s="3403" t="s">
        <v>524</v>
      </c>
      <c r="H6" s="3404"/>
      <c r="I6" s="3403" t="s">
        <v>525</v>
      </c>
      <c r="J6" s="3404"/>
      <c r="K6" s="514" t="s">
        <v>526</v>
      </c>
      <c r="L6" s="2119"/>
      <c r="M6" s="2118"/>
      <c r="N6" s="2118"/>
      <c r="O6" s="2120"/>
      <c r="P6" s="3405" t="s">
        <v>527</v>
      </c>
      <c r="Q6" s="3406"/>
      <c r="R6" s="3391" t="s">
        <v>523</v>
      </c>
      <c r="S6" s="3392"/>
      <c r="T6" s="3391" t="s">
        <v>524</v>
      </c>
      <c r="U6" s="3392"/>
      <c r="V6" s="3411" t="s">
        <v>525</v>
      </c>
      <c r="W6" s="3411"/>
      <c r="X6" s="1554"/>
      <c r="Y6" s="3391" t="s">
        <v>527</v>
      </c>
      <c r="Z6" s="3392"/>
      <c r="AA6" s="3386" t="s">
        <v>523</v>
      </c>
      <c r="AB6" s="3387" t="s">
        <v>524</v>
      </c>
      <c r="AC6" s="3386" t="s">
        <v>525</v>
      </c>
    </row>
    <row r="7" spans="1:30" ht="40.5" customHeight="1">
      <c r="A7" s="515"/>
      <c r="B7" s="516"/>
      <c r="C7" s="3414" t="s">
        <v>2928</v>
      </c>
      <c r="D7" s="3415"/>
      <c r="E7" s="3418" t="s">
        <v>3120</v>
      </c>
      <c r="F7" s="3415"/>
      <c r="G7" s="3414" t="str">
        <f>Sheet3!A26</f>
        <v>朝阳区金盏乡楼梓庄村1113-603地块</v>
      </c>
      <c r="H7" s="3415"/>
      <c r="I7" s="3414" t="str">
        <f>Sheet3!A27</f>
        <v>朝阳区金盏乡楼梓庄村1113-604地块</v>
      </c>
      <c r="J7" s="3415"/>
      <c r="K7" s="514"/>
      <c r="L7" s="2119"/>
      <c r="M7" s="2118"/>
      <c r="N7" s="2118"/>
      <c r="O7" s="2120"/>
      <c r="P7" s="3407"/>
      <c r="Q7" s="3408"/>
      <c r="R7" s="3393"/>
      <c r="S7" s="3394"/>
      <c r="T7" s="3393"/>
      <c r="U7" s="3394"/>
      <c r="V7" s="3411"/>
      <c r="W7" s="3411"/>
      <c r="X7" s="1554"/>
      <c r="Y7" s="3393"/>
      <c r="Z7" s="3394"/>
      <c r="AA7" s="3387"/>
      <c r="AB7" s="3387"/>
      <c r="AC7" s="3387"/>
    </row>
    <row r="8" spans="1:30" ht="21" thickBot="1">
      <c r="A8" s="515"/>
      <c r="B8" s="516"/>
      <c r="C8" s="3416" t="s">
        <v>2932</v>
      </c>
      <c r="D8" s="3417"/>
      <c r="E8" s="3416" t="s">
        <v>2932</v>
      </c>
      <c r="F8" s="3417"/>
      <c r="G8" s="3412" t="s">
        <v>2932</v>
      </c>
      <c r="H8" s="3413"/>
      <c r="I8" s="3412" t="s">
        <v>2932</v>
      </c>
      <c r="J8" s="3413"/>
      <c r="K8" s="514" t="s">
        <v>528</v>
      </c>
      <c r="L8" s="2119"/>
      <c r="M8" s="2118"/>
      <c r="N8" s="2118"/>
      <c r="O8" s="2120"/>
      <c r="P8" s="3409"/>
      <c r="Q8" s="3410"/>
      <c r="R8" s="3393"/>
      <c r="S8" s="3394"/>
      <c r="T8" s="3395"/>
      <c r="U8" s="3396"/>
      <c r="V8" s="3411"/>
      <c r="W8" s="3411"/>
      <c r="X8" s="1554"/>
      <c r="Y8" s="3395"/>
      <c r="Z8" s="3396"/>
      <c r="AA8" s="3388"/>
      <c r="AB8" s="3388"/>
      <c r="AC8" s="3388"/>
    </row>
    <row r="9" spans="1:30" s="1216" customFormat="1" ht="21" thickBot="1">
      <c r="A9" s="2868"/>
      <c r="B9" s="2875" t="s">
        <v>529</v>
      </c>
      <c r="C9" s="2867">
        <f>'数据-取费表'!B2</f>
        <v>43843</v>
      </c>
      <c r="D9" s="520">
        <v>100</v>
      </c>
      <c r="E9" s="521">
        <v>43755</v>
      </c>
      <c r="F9" s="522">
        <f>SUMIF(72:72,YEAR(E9)&amp;"-"&amp;INT((MONTH(E9)+2)/3),73:73)</f>
        <v>99.5</v>
      </c>
      <c r="G9" s="523" t="str">
        <f>Sheet3!G26</f>
        <v>2017-03-30</v>
      </c>
      <c r="H9" s="520">
        <f>SUMIF(72:72,YEAR(G9)&amp;"-"&amp;INT((MONTH(G9)+2)/3),73:73)</f>
        <v>94</v>
      </c>
      <c r="I9" s="523" t="str">
        <f>Sheet3!G27</f>
        <v>2017-03-30</v>
      </c>
      <c r="J9" s="520">
        <f>SUMIF(72:72,YEAR(I9)&amp;"-"&amp;INT((MONTH(I9)+2)/3),73:73)</f>
        <v>94</v>
      </c>
      <c r="K9" s="524"/>
      <c r="L9" s="2121"/>
      <c r="M9" s="2118"/>
      <c r="N9" s="2118"/>
      <c r="O9" s="2122"/>
      <c r="P9" s="3389" t="s">
        <v>530</v>
      </c>
      <c r="Q9" s="3398"/>
      <c r="R9" s="1555" t="s">
        <v>8</v>
      </c>
      <c r="S9" s="1556">
        <f t="shared" ref="S9:S17" si="0">F9</f>
        <v>99.5</v>
      </c>
      <c r="T9" s="1555" t="s">
        <v>8</v>
      </c>
      <c r="U9" s="1556">
        <f t="shared" ref="U9:U17" si="1">H9</f>
        <v>94</v>
      </c>
      <c r="V9" s="1555" t="s">
        <v>8</v>
      </c>
      <c r="W9" s="1556">
        <f t="shared" ref="W9:W17" si="2">J9</f>
        <v>94</v>
      </c>
      <c r="X9" s="1557"/>
      <c r="Y9" s="3389" t="s">
        <v>530</v>
      </c>
      <c r="Z9" s="3390"/>
      <c r="AA9" s="1558">
        <f>D9/F9</f>
        <v>1.0050251256281406</v>
      </c>
      <c r="AB9" s="1558">
        <f>D9/H9</f>
        <v>1.0638297872340425</v>
      </c>
      <c r="AC9" s="1558">
        <f>D9/J9</f>
        <v>1.0638297872340425</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389" t="s">
        <v>533</v>
      </c>
      <c r="Q10" s="3390"/>
      <c r="R10" s="1555" t="s">
        <v>8</v>
      </c>
      <c r="S10" s="1556">
        <f t="shared" si="0"/>
        <v>100</v>
      </c>
      <c r="T10" s="1555" t="s">
        <v>8</v>
      </c>
      <c r="U10" s="1556">
        <f t="shared" si="1"/>
        <v>100</v>
      </c>
      <c r="V10" s="1555" t="s">
        <v>8</v>
      </c>
      <c r="W10" s="1556">
        <f t="shared" si="2"/>
        <v>100</v>
      </c>
      <c r="X10" s="1557"/>
      <c r="Y10" s="3389" t="s">
        <v>533</v>
      </c>
      <c r="Z10" s="3390"/>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7" t="s">
        <v>535</v>
      </c>
      <c r="Q11" s="1147" t="str">
        <f t="shared" ref="Q11:Q17" si="6">B11</f>
        <v>用途</v>
      </c>
      <c r="R11" s="1555" t="s">
        <v>8</v>
      </c>
      <c r="S11" s="1556">
        <f t="shared" si="0"/>
        <v>100</v>
      </c>
      <c r="T11" s="1555" t="s">
        <v>8</v>
      </c>
      <c r="U11" s="1556">
        <f t="shared" si="1"/>
        <v>100</v>
      </c>
      <c r="V11" s="1555" t="s">
        <v>8</v>
      </c>
      <c r="W11" s="1556">
        <f t="shared" si="2"/>
        <v>100</v>
      </c>
      <c r="X11" s="1557"/>
      <c r="Y11" s="3354"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97"/>
      <c r="Q12" s="1147" t="str">
        <f t="shared" si="6"/>
        <v>土地使用年限（年）</v>
      </c>
      <c r="R12" s="1555" t="s">
        <v>8</v>
      </c>
      <c r="S12" s="1556">
        <f t="shared" si="0"/>
        <v>105</v>
      </c>
      <c r="T12" s="1555" t="s">
        <v>8</v>
      </c>
      <c r="U12" s="1556">
        <f t="shared" si="1"/>
        <v>105</v>
      </c>
      <c r="V12" s="1555" t="s">
        <v>8</v>
      </c>
      <c r="W12" s="1556">
        <f t="shared" si="2"/>
        <v>105</v>
      </c>
      <c r="X12" s="1557"/>
      <c r="Y12" s="3354"/>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6.32</v>
      </c>
      <c r="D13" s="255">
        <v>100</v>
      </c>
      <c r="E13" s="533">
        <v>2.5</v>
      </c>
      <c r="F13" s="255">
        <f>LOOKUP(E13,82:82,83:83)-LOOKUP(C13,82:82,83:83)+100</f>
        <v>120</v>
      </c>
      <c r="G13" s="534">
        <v>2</v>
      </c>
      <c r="H13" s="255">
        <f>LOOKUP(G13,82:82,83:83)-LOOKUP(C13,82:82,83:83)+100</f>
        <v>120</v>
      </c>
      <c r="I13" s="533">
        <v>2</v>
      </c>
      <c r="J13" s="255">
        <f>LOOKUP(I13,82:82,83:83)-LOOKUP(C13,82:82,83:83)+100</f>
        <v>120</v>
      </c>
      <c r="K13" s="535">
        <v>10</v>
      </c>
      <c r="L13" s="2126"/>
      <c r="M13" s="2118"/>
      <c r="N13" s="2118"/>
      <c r="O13" s="2127"/>
      <c r="P13" s="3397"/>
      <c r="Q13" s="1147" t="str">
        <f t="shared" si="6"/>
        <v>容积率</v>
      </c>
      <c r="R13" s="1555" t="s">
        <v>8</v>
      </c>
      <c r="S13" s="1556">
        <f t="shared" si="0"/>
        <v>120</v>
      </c>
      <c r="T13" s="1555" t="s">
        <v>8</v>
      </c>
      <c r="U13" s="1556">
        <f t="shared" si="1"/>
        <v>120</v>
      </c>
      <c r="V13" s="1555" t="s">
        <v>8</v>
      </c>
      <c r="W13" s="1556">
        <f t="shared" si="2"/>
        <v>120</v>
      </c>
      <c r="X13" s="1557"/>
      <c r="Y13" s="3354"/>
      <c r="Z13" s="1146" t="str">
        <f t="shared" si="7"/>
        <v>容积率</v>
      </c>
      <c r="AA13" s="1558">
        <f t="shared" si="3"/>
        <v>0.83333333333333337</v>
      </c>
      <c r="AB13" s="1558">
        <f t="shared" si="4"/>
        <v>0.83333333333333337</v>
      </c>
      <c r="AC13" s="1558">
        <f t="shared" si="5"/>
        <v>0.83333333333333337</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7"/>
      <c r="Q14" s="1147" t="str">
        <f t="shared" si="6"/>
        <v>配建</v>
      </c>
      <c r="R14" s="1555" t="s">
        <v>8</v>
      </c>
      <c r="S14" s="1556">
        <f t="shared" si="0"/>
        <v>100</v>
      </c>
      <c r="T14" s="1555" t="s">
        <v>8</v>
      </c>
      <c r="U14" s="1556">
        <f t="shared" si="1"/>
        <v>100</v>
      </c>
      <c r="V14" s="1555" t="s">
        <v>8</v>
      </c>
      <c r="W14" s="1556">
        <f t="shared" si="2"/>
        <v>100</v>
      </c>
      <c r="X14" s="1557"/>
      <c r="Y14" s="3354"/>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7"/>
      <c r="Q15" s="1147">
        <f t="shared" si="6"/>
        <v>111</v>
      </c>
      <c r="R15" s="1555" t="s">
        <v>8</v>
      </c>
      <c r="S15" s="1556">
        <f t="shared" si="0"/>
        <v>100</v>
      </c>
      <c r="T15" s="1555" t="s">
        <v>8</v>
      </c>
      <c r="U15" s="1556">
        <f t="shared" si="1"/>
        <v>100</v>
      </c>
      <c r="V15" s="1555" t="s">
        <v>8</v>
      </c>
      <c r="W15" s="1556">
        <f t="shared" si="2"/>
        <v>100</v>
      </c>
      <c r="X15" s="1557"/>
      <c r="Y15" s="3354"/>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7"/>
      <c r="Q16" s="1147">
        <f t="shared" si="6"/>
        <v>111</v>
      </c>
      <c r="R16" s="1555" t="s">
        <v>8</v>
      </c>
      <c r="S16" s="1556">
        <f t="shared" si="0"/>
        <v>100</v>
      </c>
      <c r="T16" s="1555" t="s">
        <v>8</v>
      </c>
      <c r="U16" s="1556">
        <f t="shared" si="1"/>
        <v>100</v>
      </c>
      <c r="V16" s="1555" t="s">
        <v>8</v>
      </c>
      <c r="W16" s="1556">
        <f t="shared" si="2"/>
        <v>100</v>
      </c>
      <c r="X16" s="1557"/>
      <c r="Y16" s="3354"/>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9" t="s">
        <v>540</v>
      </c>
      <c r="Q17" s="1559" t="str">
        <f t="shared" si="6"/>
        <v>居住社区成熟度</v>
      </c>
      <c r="R17" s="1560" t="s">
        <v>8</v>
      </c>
      <c r="S17" s="1561">
        <f t="shared" si="0"/>
        <v>100</v>
      </c>
      <c r="T17" s="1560" t="s">
        <v>8</v>
      </c>
      <c r="U17" s="1561">
        <f t="shared" si="1"/>
        <v>100</v>
      </c>
      <c r="V17" s="1560" t="s">
        <v>8</v>
      </c>
      <c r="W17" s="1561">
        <f t="shared" si="2"/>
        <v>100</v>
      </c>
      <c r="X17" s="1554"/>
      <c r="Y17" s="3399"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00"/>
      <c r="Q18" s="1559"/>
      <c r="R18" s="1560"/>
      <c r="S18" s="1561"/>
      <c r="T18" s="1560"/>
      <c r="U18" s="1561"/>
      <c r="V18" s="1560"/>
      <c r="W18" s="1561"/>
      <c r="X18" s="1554"/>
      <c r="Y18" s="340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00"/>
      <c r="Q19" s="1559" t="str">
        <f>B19</f>
        <v>商业繁华度</v>
      </c>
      <c r="R19" s="1560" t="s">
        <v>8</v>
      </c>
      <c r="S19" s="1561">
        <f>F19</f>
        <v>100</v>
      </c>
      <c r="T19" s="1560" t="s">
        <v>8</v>
      </c>
      <c r="U19" s="1561">
        <f>H19</f>
        <v>100</v>
      </c>
      <c r="V19" s="1560" t="s">
        <v>8</v>
      </c>
      <c r="W19" s="1561">
        <f>J19</f>
        <v>100</v>
      </c>
      <c r="X19" s="1554"/>
      <c r="Y19" s="3400"/>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400"/>
      <c r="Q20" s="1559"/>
      <c r="R20" s="1560"/>
      <c r="S20" s="1561"/>
      <c r="T20" s="1560"/>
      <c r="U20" s="1561"/>
      <c r="V20" s="1560"/>
      <c r="W20" s="1561"/>
      <c r="X20" s="1554"/>
      <c r="Y20" s="3400"/>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00"/>
      <c r="Q21" s="1559" t="str">
        <f>B21</f>
        <v>办公集聚程度</v>
      </c>
      <c r="R21" s="1560" t="s">
        <v>8</v>
      </c>
      <c r="S21" s="1561">
        <f>F21</f>
        <v>100</v>
      </c>
      <c r="T21" s="1560" t="s">
        <v>8</v>
      </c>
      <c r="U21" s="1561">
        <f>H21</f>
        <v>100</v>
      </c>
      <c r="V21" s="1560" t="s">
        <v>8</v>
      </c>
      <c r="W21" s="1561">
        <f>J21</f>
        <v>100</v>
      </c>
      <c r="X21" s="1554"/>
      <c r="Y21" s="3400"/>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400"/>
      <c r="Q22" s="1559"/>
      <c r="R22" s="1560"/>
      <c r="S22" s="1561"/>
      <c r="T22" s="1560"/>
      <c r="U22" s="1561"/>
      <c r="V22" s="1560"/>
      <c r="W22" s="1561"/>
      <c r="X22" s="1554"/>
      <c r="Y22" s="340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98</v>
      </c>
      <c r="K23" s="535">
        <v>2</v>
      </c>
      <c r="L23" s="2128"/>
      <c r="M23" s="2118"/>
      <c r="N23" s="2118"/>
      <c r="O23" s="2127"/>
      <c r="P23" s="3400"/>
      <c r="Q23" s="1559" t="str">
        <f>B23</f>
        <v>交通便捷度</v>
      </c>
      <c r="R23" s="1560" t="s">
        <v>8</v>
      </c>
      <c r="S23" s="1561">
        <f>F23</f>
        <v>100</v>
      </c>
      <c r="T23" s="1560" t="s">
        <v>8</v>
      </c>
      <c r="U23" s="1561">
        <f>H23</f>
        <v>98</v>
      </c>
      <c r="V23" s="1560" t="s">
        <v>8</v>
      </c>
      <c r="W23" s="1561">
        <f>J23</f>
        <v>98</v>
      </c>
      <c r="X23" s="1554"/>
      <c r="Y23" s="3400"/>
      <c r="Z23" s="1562" t="str">
        <f>Q23</f>
        <v>交通便捷度</v>
      </c>
      <c r="AA23" s="1563">
        <f t="shared" si="3"/>
        <v>1</v>
      </c>
      <c r="AB23" s="1563">
        <f t="shared" si="4"/>
        <v>1.0204081632653061</v>
      </c>
      <c r="AC23" s="1563">
        <f t="shared" si="5"/>
        <v>1.0204081632653061</v>
      </c>
    </row>
    <row r="24" spans="1:29" ht="20.25">
      <c r="A24" s="532"/>
      <c r="B24" s="578"/>
      <c r="C24" s="3197" t="s">
        <v>3073</v>
      </c>
      <c r="D24" s="557"/>
      <c r="E24" s="3198" t="s">
        <v>3121</v>
      </c>
      <c r="F24" s="555"/>
      <c r="G24" s="3199" t="s">
        <v>3070</v>
      </c>
      <c r="H24" s="555"/>
      <c r="I24" s="3198" t="s">
        <v>3116</v>
      </c>
      <c r="J24" s="555"/>
      <c r="K24" s="531"/>
      <c r="L24" s="2128"/>
      <c r="M24" s="2118"/>
      <c r="N24" s="2118"/>
      <c r="O24" s="2127"/>
      <c r="P24" s="3400"/>
      <c r="Q24" s="1559"/>
      <c r="R24" s="1560"/>
      <c r="S24" s="1561"/>
      <c r="T24" s="1560"/>
      <c r="U24" s="1561"/>
      <c r="V24" s="1560"/>
      <c r="W24" s="1561"/>
      <c r="X24" s="1554"/>
      <c r="Y24" s="340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0"/>
      <c r="Q25" s="1559" t="str">
        <f t="shared" ref="Q25:Q39" si="8">B25</f>
        <v>区域土地利用方向</v>
      </c>
      <c r="R25" s="1560" t="s">
        <v>8</v>
      </c>
      <c r="S25" s="1561">
        <f>F25</f>
        <v>100</v>
      </c>
      <c r="T25" s="1560" t="s">
        <v>8</v>
      </c>
      <c r="U25" s="1561">
        <f>H25</f>
        <v>100</v>
      </c>
      <c r="V25" s="1560" t="s">
        <v>8</v>
      </c>
      <c r="W25" s="1561">
        <f>J25</f>
        <v>100</v>
      </c>
      <c r="X25" s="1554"/>
      <c r="Y25" s="3400"/>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400"/>
      <c r="Q26" s="1559"/>
      <c r="R26" s="1560"/>
      <c r="S26" s="1561"/>
      <c r="T26" s="1560"/>
      <c r="U26" s="1561"/>
      <c r="V26" s="1560"/>
      <c r="W26" s="1561"/>
      <c r="X26" s="1554"/>
      <c r="Y26" s="340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0"/>
      <c r="Q27" s="1559" t="str">
        <f t="shared" si="8"/>
        <v>自然及人文环境状况</v>
      </c>
      <c r="R27" s="1560" t="s">
        <v>8</v>
      </c>
      <c r="S27" s="1561">
        <f>F27</f>
        <v>100</v>
      </c>
      <c r="T27" s="1560" t="s">
        <v>8</v>
      </c>
      <c r="U27" s="1561">
        <f>H27</f>
        <v>100</v>
      </c>
      <c r="V27" s="1560" t="s">
        <v>8</v>
      </c>
      <c r="W27" s="1561">
        <f>J27</f>
        <v>100</v>
      </c>
      <c r="X27" s="1554"/>
      <c r="Y27" s="3400"/>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400"/>
      <c r="Q28" s="1559"/>
      <c r="R28" s="1560"/>
      <c r="S28" s="1561"/>
      <c r="T28" s="1560"/>
      <c r="U28" s="1561"/>
      <c r="V28" s="1560"/>
      <c r="W28" s="1561"/>
      <c r="X28" s="1554"/>
      <c r="Y28" s="3400"/>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98</v>
      </c>
      <c r="K29" s="535">
        <v>2</v>
      </c>
      <c r="L29" s="2121"/>
      <c r="M29" s="2118"/>
      <c r="N29" s="2118"/>
      <c r="O29" s="2123"/>
      <c r="P29" s="3400"/>
      <c r="Q29" s="1147" t="str">
        <f t="shared" si="8"/>
        <v>公共配套设施</v>
      </c>
      <c r="R29" s="1555" t="s">
        <v>8</v>
      </c>
      <c r="S29" s="1556">
        <f>F29</f>
        <v>98</v>
      </c>
      <c r="T29" s="1555" t="s">
        <v>8</v>
      </c>
      <c r="U29" s="1556">
        <f>H29</f>
        <v>98</v>
      </c>
      <c r="V29" s="1555" t="s">
        <v>8</v>
      </c>
      <c r="W29" s="1556">
        <f>J29</f>
        <v>98</v>
      </c>
      <c r="X29" s="1557"/>
      <c r="Y29" s="3400"/>
      <c r="Z29" s="1146" t="str">
        <f>Q29</f>
        <v>公共配套设施</v>
      </c>
      <c r="AA29" s="1563">
        <f>D29/F29</f>
        <v>1.0204081632653061</v>
      </c>
      <c r="AB29" s="1563">
        <f>D29/H29</f>
        <v>1.0204081632653061</v>
      </c>
      <c r="AC29" s="1563">
        <f>D29/J29</f>
        <v>1.0204081632653061</v>
      </c>
    </row>
    <row r="30" spans="1:29" s="1216" customFormat="1" ht="20.25">
      <c r="A30" s="577"/>
      <c r="B30" s="566"/>
      <c r="C30" s="3201" t="s">
        <v>3073</v>
      </c>
      <c r="D30" s="557"/>
      <c r="E30" s="3200" t="s">
        <v>3116</v>
      </c>
      <c r="F30" s="555"/>
      <c r="G30" s="3197" t="s">
        <v>3116</v>
      </c>
      <c r="H30" s="555"/>
      <c r="I30" s="3200" t="s">
        <v>3116</v>
      </c>
      <c r="J30" s="555"/>
      <c r="K30" s="531"/>
      <c r="L30" s="2121"/>
      <c r="M30" s="2118"/>
      <c r="N30" s="2118"/>
      <c r="O30" s="2123"/>
      <c r="P30" s="3400"/>
      <c r="Q30" s="1147"/>
      <c r="R30" s="1555"/>
      <c r="S30" s="1556"/>
      <c r="T30" s="1555"/>
      <c r="U30" s="1556"/>
      <c r="V30" s="1555"/>
      <c r="W30" s="1556"/>
      <c r="X30" s="1557"/>
      <c r="Y30" s="3400"/>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0"/>
      <c r="Q31" s="2543" t="str">
        <f t="shared" ref="Q31" si="9">B31</f>
        <v>基础设施水平</v>
      </c>
      <c r="R31" s="1555" t="s">
        <v>8</v>
      </c>
      <c r="S31" s="1556">
        <f>F31</f>
        <v>100</v>
      </c>
      <c r="T31" s="1555" t="s">
        <v>8</v>
      </c>
      <c r="U31" s="1556">
        <f>H31</f>
        <v>100</v>
      </c>
      <c r="V31" s="1555" t="s">
        <v>8</v>
      </c>
      <c r="W31" s="1556">
        <f>J31</f>
        <v>100</v>
      </c>
      <c r="X31" s="1557"/>
      <c r="Y31" s="3400"/>
      <c r="Z31" s="2540" t="str">
        <f>Q31</f>
        <v>基础设施水平</v>
      </c>
      <c r="AA31" s="1563">
        <f>D31/F31</f>
        <v>1</v>
      </c>
      <c r="AB31" s="1563">
        <f>D31/H31</f>
        <v>1</v>
      </c>
      <c r="AC31" s="1563">
        <f>D31/J31</f>
        <v>1</v>
      </c>
    </row>
    <row r="32" spans="1:29" s="1216" customFormat="1" ht="21" thickBot="1">
      <c r="A32" s="577"/>
      <c r="B32" s="566"/>
      <c r="C32" s="3201" t="s">
        <v>3077</v>
      </c>
      <c r="D32" s="557"/>
      <c r="E32" s="3202" t="s">
        <v>3078</v>
      </c>
      <c r="F32" s="555"/>
      <c r="G32" s="3201" t="s">
        <v>3078</v>
      </c>
      <c r="H32" s="555"/>
      <c r="I32" s="3201" t="s">
        <v>3078</v>
      </c>
      <c r="J32" s="555"/>
      <c r="K32" s="531"/>
      <c r="L32" s="2121"/>
      <c r="M32" s="2118"/>
      <c r="N32" s="2118"/>
      <c r="O32" s="2123"/>
      <c r="P32" s="3400"/>
      <c r="Q32" s="2543"/>
      <c r="R32" s="1555"/>
      <c r="S32" s="1556"/>
      <c r="T32" s="1555"/>
      <c r="U32" s="1556"/>
      <c r="V32" s="1555"/>
      <c r="W32" s="1556"/>
      <c r="X32" s="1557"/>
      <c r="Y32" s="3400"/>
      <c r="Z32" s="2540"/>
      <c r="AA32" s="1563">
        <v>1</v>
      </c>
      <c r="AB32" s="1563">
        <v>1</v>
      </c>
      <c r="AC32" s="1563">
        <v>1</v>
      </c>
    </row>
    <row r="33" spans="1:29" ht="20.25" hidden="1">
      <c r="A33" s="532"/>
      <c r="B33" s="566" t="s">
        <v>547</v>
      </c>
      <c r="C33" s="3203"/>
      <c r="D33" s="575">
        <v>100</v>
      </c>
      <c r="E33" s="3204"/>
      <c r="F33" s="540">
        <f>SUMIF(106:106,E33,107:107)-SUMIF(106:106,C33,107:107)+100</f>
        <v>100</v>
      </c>
      <c r="G33" s="3203"/>
      <c r="H33" s="540">
        <f>SUMIF(106:106,G33,107:107)-SUMIF(106:106,C33,107:107)+100</f>
        <v>100</v>
      </c>
      <c r="I33" s="3203"/>
      <c r="J33" s="540">
        <f>SUMIF(106:106,I33,107:107)-SUMIF(106:106,C33,107:107)+100</f>
        <v>100</v>
      </c>
      <c r="K33" s="535">
        <v>2</v>
      </c>
      <c r="L33" s="2128"/>
      <c r="M33" s="2118"/>
      <c r="N33" s="2118"/>
      <c r="O33" s="2127"/>
      <c r="P33" s="340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0"/>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0"/>
      <c r="Q34" s="1559" t="str">
        <f t="shared" si="8"/>
        <v>毗邻道路的类型与等级</v>
      </c>
      <c r="R34" s="1560" t="s">
        <v>8</v>
      </c>
      <c r="S34" s="1561">
        <f t="shared" si="10"/>
        <v>100</v>
      </c>
      <c r="T34" s="1560" t="s">
        <v>8</v>
      </c>
      <c r="U34" s="1561">
        <f t="shared" si="11"/>
        <v>100</v>
      </c>
      <c r="V34" s="1560" t="s">
        <v>8</v>
      </c>
      <c r="W34" s="1561">
        <f t="shared" si="12"/>
        <v>100</v>
      </c>
      <c r="X34" s="1554"/>
      <c r="Y34" s="3400"/>
      <c r="Z34" s="1562" t="str">
        <f t="shared" si="13"/>
        <v>毗邻道路的类型与等级</v>
      </c>
      <c r="AA34" s="1563">
        <f t="shared" si="3"/>
        <v>1</v>
      </c>
      <c r="AB34" s="1563">
        <f t="shared" si="4"/>
        <v>1</v>
      </c>
      <c r="AC34" s="1563">
        <f t="shared" si="5"/>
        <v>1</v>
      </c>
    </row>
    <row r="35" spans="1:29" ht="20.25" hidden="1">
      <c r="A35" s="532"/>
      <c r="B35" s="566"/>
      <c r="C35" s="3197" t="s">
        <v>3118</v>
      </c>
      <c r="D35" s="557"/>
      <c r="E35" s="3200" t="s">
        <v>3119</v>
      </c>
      <c r="F35" s="555"/>
      <c r="G35" s="3197" t="s">
        <v>3119</v>
      </c>
      <c r="H35" s="555"/>
      <c r="I35" s="3200" t="s">
        <v>3119</v>
      </c>
      <c r="J35" s="555"/>
      <c r="K35" s="581"/>
      <c r="L35" s="2128"/>
      <c r="M35" s="2118"/>
      <c r="N35" s="2118"/>
      <c r="O35" s="2127"/>
      <c r="P35" s="3400"/>
      <c r="Q35" s="1559"/>
      <c r="R35" s="1560"/>
      <c r="S35" s="1561"/>
      <c r="T35" s="1560"/>
      <c r="U35" s="1561"/>
      <c r="V35" s="1560"/>
      <c r="W35" s="1561"/>
      <c r="X35" s="1554"/>
      <c r="Y35" s="340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0"/>
      <c r="Q36" s="1559" t="str">
        <f t="shared" si="8"/>
        <v>土地级别</v>
      </c>
      <c r="R36" s="1560" t="s">
        <v>8</v>
      </c>
      <c r="S36" s="1561">
        <f t="shared" si="10"/>
        <v>100</v>
      </c>
      <c r="T36" s="1560" t="s">
        <v>8</v>
      </c>
      <c r="U36" s="1561">
        <f t="shared" si="11"/>
        <v>100</v>
      </c>
      <c r="V36" s="1560" t="s">
        <v>8</v>
      </c>
      <c r="W36" s="1561">
        <f t="shared" si="12"/>
        <v>100</v>
      </c>
      <c r="X36" s="1554"/>
      <c r="Y36" s="340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0"/>
      <c r="Q37" s="1559">
        <f t="shared" si="8"/>
        <v>111</v>
      </c>
      <c r="R37" s="1560" t="s">
        <v>8</v>
      </c>
      <c r="S37" s="1561">
        <f t="shared" si="10"/>
        <v>100</v>
      </c>
      <c r="T37" s="1560" t="s">
        <v>8</v>
      </c>
      <c r="U37" s="1561">
        <f t="shared" si="11"/>
        <v>100</v>
      </c>
      <c r="V37" s="1560" t="s">
        <v>8</v>
      </c>
      <c r="W37" s="1561">
        <f t="shared" si="12"/>
        <v>100</v>
      </c>
      <c r="X37" s="1554"/>
      <c r="Y37" s="340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1" t="s">
        <v>550</v>
      </c>
      <c r="Q38" s="1559">
        <f t="shared" si="8"/>
        <v>111</v>
      </c>
      <c r="R38" s="1560" t="s">
        <v>8</v>
      </c>
      <c r="S38" s="1561">
        <f t="shared" si="10"/>
        <v>100</v>
      </c>
      <c r="T38" s="1560" t="s">
        <v>8</v>
      </c>
      <c r="U38" s="1561">
        <f t="shared" si="11"/>
        <v>100</v>
      </c>
      <c r="V38" s="1560" t="s">
        <v>8</v>
      </c>
      <c r="W38" s="1561">
        <f t="shared" si="12"/>
        <v>100</v>
      </c>
      <c r="X38" s="1554"/>
      <c r="Y38" s="340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2"/>
      <c r="Q39" s="1559">
        <f t="shared" si="8"/>
        <v>111</v>
      </c>
      <c r="R39" s="1564" t="s">
        <v>8</v>
      </c>
      <c r="S39" s="1565">
        <f t="shared" si="10"/>
        <v>100</v>
      </c>
      <c r="T39" s="1564" t="s">
        <v>8</v>
      </c>
      <c r="U39" s="1565">
        <f t="shared" si="11"/>
        <v>100</v>
      </c>
      <c r="V39" s="1564" t="s">
        <v>8</v>
      </c>
      <c r="W39" s="1565">
        <f t="shared" si="12"/>
        <v>100</v>
      </c>
      <c r="X39" s="1566"/>
      <c r="Y39" s="3402"/>
      <c r="Z39" s="1567">
        <f t="shared" si="13"/>
        <v>111</v>
      </c>
      <c r="AA39" s="1563">
        <f t="shared" si="3"/>
        <v>1</v>
      </c>
      <c r="AB39" s="1563">
        <f t="shared" si="4"/>
        <v>1</v>
      </c>
      <c r="AC39" s="1563">
        <f t="shared" si="5"/>
        <v>1</v>
      </c>
    </row>
    <row r="40" spans="1:29" ht="20.25">
      <c r="A40" s="2863" t="s">
        <v>2752</v>
      </c>
      <c r="B40" s="595" t="s">
        <v>552</v>
      </c>
      <c r="C40" s="596">
        <f>'数据-基础表'!A3</f>
        <v>16621</v>
      </c>
      <c r="D40" s="597">
        <v>100</v>
      </c>
      <c r="E40" s="596">
        <v>28003.32</v>
      </c>
      <c r="F40" s="597">
        <f>LOOKUP(E40,119:119,120:120)-LOOKUP(C40,119:119,120:120)+100</f>
        <v>101</v>
      </c>
      <c r="G40" s="596">
        <f>Sheet3!C26</f>
        <v>46165.91</v>
      </c>
      <c r="H40" s="597">
        <f>LOOKUP(G40,119:119,120:120)-LOOKUP(C40,119:119,120:120)+100</f>
        <v>103</v>
      </c>
      <c r="I40" s="598">
        <f>Sheet3!C27</f>
        <v>38100</v>
      </c>
      <c r="J40" s="597">
        <f>LOOKUP(I40,119:119,120:120)-LOOKUP(C40,119:119,120:120)+100</f>
        <v>102</v>
      </c>
      <c r="K40" s="581"/>
      <c r="L40" s="2128"/>
      <c r="M40" s="2118"/>
      <c r="N40" s="2118"/>
      <c r="O40" s="2127"/>
      <c r="P40" s="3402"/>
      <c r="Q40" s="1559" t="str">
        <f>B40</f>
        <v>宗地面积</v>
      </c>
      <c r="R40" s="1560" t="s">
        <v>8</v>
      </c>
      <c r="S40" s="1561">
        <f t="shared" si="10"/>
        <v>101</v>
      </c>
      <c r="T40" s="1560" t="s">
        <v>8</v>
      </c>
      <c r="U40" s="1561">
        <f t="shared" si="11"/>
        <v>103</v>
      </c>
      <c r="V40" s="1560" t="s">
        <v>8</v>
      </c>
      <c r="W40" s="1561">
        <f t="shared" si="12"/>
        <v>102</v>
      </c>
      <c r="X40" s="1554"/>
      <c r="Y40" s="3402"/>
      <c r="Z40" s="1562" t="str">
        <f t="shared" si="13"/>
        <v>宗地面积</v>
      </c>
      <c r="AA40" s="1563">
        <f t="shared" si="3"/>
        <v>0.99009900990099009</v>
      </c>
      <c r="AB40" s="1563">
        <f t="shared" si="4"/>
        <v>0.970873786407767</v>
      </c>
      <c r="AC40" s="1563">
        <f t="shared" si="5"/>
        <v>0.98039215686274506</v>
      </c>
    </row>
    <row r="41" spans="1:29" ht="20.25">
      <c r="A41" s="594"/>
      <c r="B41" s="527" t="s">
        <v>553</v>
      </c>
      <c r="C41" s="3205" t="s">
        <v>3079</v>
      </c>
      <c r="D41" s="540">
        <v>100</v>
      </c>
      <c r="E41" s="3205" t="s">
        <v>3080</v>
      </c>
      <c r="F41" s="540">
        <f>SUMIF(121:121,E41,122:122)-SUMIF(121:121,C41,122:122)+100</f>
        <v>100</v>
      </c>
      <c r="G41" s="3205" t="s">
        <v>3080</v>
      </c>
      <c r="H41" s="540">
        <f>SUMIF(121:121,G41,122:122)-SUMIF(121:121,C41,122:122)+100</f>
        <v>100</v>
      </c>
      <c r="I41" s="3205" t="s">
        <v>3080</v>
      </c>
      <c r="J41" s="540">
        <f>SUMIF(121:121,I41,122:122)-SUMIF(121:121,C41,122:122)+100</f>
        <v>100</v>
      </c>
      <c r="K41" s="584"/>
      <c r="L41" s="2128"/>
      <c r="M41" s="2118"/>
      <c r="N41" s="2118"/>
      <c r="O41" s="2127"/>
      <c r="P41" s="3402"/>
      <c r="Q41" s="1559" t="str">
        <f t="shared" ref="Q41:Q47" si="14">B41</f>
        <v>宗地形状</v>
      </c>
      <c r="R41" s="1560" t="s">
        <v>8</v>
      </c>
      <c r="S41" s="1561">
        <f t="shared" si="10"/>
        <v>100</v>
      </c>
      <c r="T41" s="1560" t="s">
        <v>8</v>
      </c>
      <c r="U41" s="1561">
        <f t="shared" si="11"/>
        <v>100</v>
      </c>
      <c r="V41" s="1560" t="s">
        <v>8</v>
      </c>
      <c r="W41" s="1561">
        <f t="shared" si="12"/>
        <v>100</v>
      </c>
      <c r="X41" s="1554"/>
      <c r="Y41" s="3402"/>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402"/>
      <c r="Q42" s="1559" t="str">
        <f t="shared" si="14"/>
        <v>临街宽度及深度</v>
      </c>
      <c r="R42" s="1560" t="s">
        <v>8</v>
      </c>
      <c r="S42" s="1561">
        <f t="shared" si="10"/>
        <v>100</v>
      </c>
      <c r="T42" s="1560" t="s">
        <v>8</v>
      </c>
      <c r="U42" s="1561">
        <f t="shared" si="11"/>
        <v>100</v>
      </c>
      <c r="V42" s="1560" t="s">
        <v>8</v>
      </c>
      <c r="W42" s="1561">
        <f t="shared" si="12"/>
        <v>100</v>
      </c>
      <c r="X42" s="1554"/>
      <c r="Y42" s="3402"/>
      <c r="Z42" s="1562" t="str">
        <f t="shared" si="13"/>
        <v>临街宽度及深度</v>
      </c>
      <c r="AA42" s="1563">
        <f t="shared" si="3"/>
        <v>1</v>
      </c>
      <c r="AB42" s="1563">
        <f t="shared" si="4"/>
        <v>1</v>
      </c>
      <c r="AC42" s="1563">
        <f t="shared" si="5"/>
        <v>1</v>
      </c>
    </row>
    <row r="43" spans="1:29" s="1216" customFormat="1" ht="20.25">
      <c r="A43" s="600"/>
      <c r="B43" s="1881" t="s">
        <v>2422</v>
      </c>
      <c r="C43" s="3206" t="s">
        <v>3081</v>
      </c>
      <c r="D43" s="255">
        <v>100</v>
      </c>
      <c r="E43" s="3206" t="s">
        <v>3077</v>
      </c>
      <c r="F43" s="540">
        <f>SUMIF(125:125,E43,126:126)-SUMIF(125:125,C43,126:126)+100</f>
        <v>100</v>
      </c>
      <c r="G43" s="3206" t="s">
        <v>3082</v>
      </c>
      <c r="H43" s="540">
        <f>SUMIF(125:125,G43,126:126)-SUMIF(125:125,C43,126:126)+100</f>
        <v>100</v>
      </c>
      <c r="I43" s="3206" t="s">
        <v>3082</v>
      </c>
      <c r="J43" s="540">
        <f>SUMIF(125:125,I43,126:126)-SUMIF(125:125,C43,126:126)+100</f>
        <v>100</v>
      </c>
      <c r="K43" s="584"/>
      <c r="L43" s="2121"/>
      <c r="M43" s="2118"/>
      <c r="N43" s="2118"/>
      <c r="O43" s="2123"/>
      <c r="P43" s="3402"/>
      <c r="Q43" s="1559" t="str">
        <f t="shared" si="14"/>
        <v>宗地开发程度</v>
      </c>
      <c r="R43" s="1555" t="s">
        <v>8</v>
      </c>
      <c r="S43" s="1556">
        <f t="shared" si="10"/>
        <v>100</v>
      </c>
      <c r="T43" s="1555" t="s">
        <v>8</v>
      </c>
      <c r="U43" s="1556">
        <f t="shared" si="11"/>
        <v>100</v>
      </c>
      <c r="V43" s="1555" t="s">
        <v>8</v>
      </c>
      <c r="W43" s="1556">
        <f t="shared" si="12"/>
        <v>100</v>
      </c>
      <c r="X43" s="1557"/>
      <c r="Y43" s="3402"/>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402" t="s">
        <v>550</v>
      </c>
      <c r="Q44" s="1559" t="str">
        <f t="shared" si="14"/>
        <v>工程地质条件</v>
      </c>
      <c r="R44" s="1560" t="s">
        <v>8</v>
      </c>
      <c r="S44" s="1561">
        <f t="shared" si="10"/>
        <v>100</v>
      </c>
      <c r="T44" s="1560" t="s">
        <v>8</v>
      </c>
      <c r="U44" s="1561">
        <f t="shared" si="11"/>
        <v>100</v>
      </c>
      <c r="V44" s="1560" t="s">
        <v>8</v>
      </c>
      <c r="W44" s="1561">
        <f t="shared" si="12"/>
        <v>100</v>
      </c>
      <c r="X44" s="1554"/>
      <c r="Y44" s="340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2"/>
      <c r="Q45" s="1559">
        <f t="shared" si="14"/>
        <v>111</v>
      </c>
      <c r="R45" s="1560" t="s">
        <v>8</v>
      </c>
      <c r="S45" s="1561">
        <f t="shared" si="10"/>
        <v>100</v>
      </c>
      <c r="T45" s="1560" t="s">
        <v>8</v>
      </c>
      <c r="U45" s="1561">
        <f t="shared" si="11"/>
        <v>100</v>
      </c>
      <c r="V45" s="1560" t="s">
        <v>8</v>
      </c>
      <c r="W45" s="1561">
        <f t="shared" si="12"/>
        <v>100</v>
      </c>
      <c r="X45" s="1554"/>
      <c r="Y45" s="340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2"/>
      <c r="Q46" s="1559">
        <f t="shared" si="14"/>
        <v>111</v>
      </c>
      <c r="R46" s="1560" t="s">
        <v>8</v>
      </c>
      <c r="S46" s="1561">
        <f t="shared" si="10"/>
        <v>100</v>
      </c>
      <c r="T46" s="1560" t="s">
        <v>8</v>
      </c>
      <c r="U46" s="1561">
        <f t="shared" si="11"/>
        <v>100</v>
      </c>
      <c r="V46" s="1560" t="s">
        <v>8</v>
      </c>
      <c r="W46" s="1561">
        <f t="shared" si="12"/>
        <v>100</v>
      </c>
      <c r="X46" s="1554"/>
      <c r="Y46" s="340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2"/>
      <c r="Q47" s="1559">
        <f t="shared" si="14"/>
        <v>111</v>
      </c>
      <c r="R47" s="1564" t="s">
        <v>8</v>
      </c>
      <c r="S47" s="1565">
        <f t="shared" si="10"/>
        <v>100</v>
      </c>
      <c r="T47" s="1564" t="s">
        <v>8</v>
      </c>
      <c r="U47" s="1565">
        <f t="shared" si="11"/>
        <v>100</v>
      </c>
      <c r="V47" s="1564" t="s">
        <v>8</v>
      </c>
      <c r="W47" s="1565">
        <f t="shared" si="12"/>
        <v>100</v>
      </c>
      <c r="X47" s="1566"/>
      <c r="Y47" s="3402"/>
      <c r="Z47" s="1567">
        <f t="shared" si="13"/>
        <v>111</v>
      </c>
      <c r="AA47" s="1563">
        <f t="shared" si="3"/>
        <v>1</v>
      </c>
      <c r="AB47" s="1563">
        <f t="shared" si="4"/>
        <v>1</v>
      </c>
      <c r="AC47" s="1563">
        <f t="shared" si="5"/>
        <v>1</v>
      </c>
    </row>
    <row r="48" spans="1:29" ht="20.25">
      <c r="A48" s="607" t="s">
        <v>556</v>
      </c>
      <c r="B48" s="608" t="s">
        <v>3083</v>
      </c>
      <c r="C48" s="609" t="s">
        <v>1</v>
      </c>
      <c r="D48" s="610"/>
      <c r="E48" s="611">
        <v>13970</v>
      </c>
      <c r="F48" s="612"/>
      <c r="G48" s="613">
        <v>24369</v>
      </c>
      <c r="H48" s="614"/>
      <c r="I48" s="611">
        <v>26772</v>
      </c>
      <c r="J48" s="614"/>
      <c r="K48" s="1336"/>
      <c r="L48" s="2130"/>
      <c r="M48" s="2118"/>
      <c r="N48" s="2118"/>
      <c r="O48" s="2131"/>
      <c r="P48" s="3397" t="str">
        <f>A48</f>
        <v>成交单价</v>
      </c>
      <c r="Q48" s="3397"/>
      <c r="R48" s="3411">
        <f>E48</f>
        <v>13970</v>
      </c>
      <c r="S48" s="3411"/>
      <c r="T48" s="3411">
        <f>G48</f>
        <v>24369</v>
      </c>
      <c r="U48" s="3411"/>
      <c r="V48" s="3411">
        <f>I48</f>
        <v>26772</v>
      </c>
      <c r="W48" s="3411"/>
      <c r="X48" s="1546"/>
      <c r="Y48" s="1568"/>
      <c r="Z48" s="1546"/>
      <c r="AA48" s="1546"/>
      <c r="AB48" s="1546"/>
      <c r="AC48" s="1546"/>
    </row>
    <row r="49" spans="1:29" ht="21" thickBot="1">
      <c r="A49" s="615" t="s">
        <v>2690</v>
      </c>
      <c r="B49" s="616"/>
      <c r="C49" s="617">
        <f>R50</f>
        <v>15529</v>
      </c>
      <c r="D49" s="618"/>
      <c r="E49" s="617">
        <f>R49</f>
        <v>11258</v>
      </c>
      <c r="F49" s="619"/>
      <c r="G49" s="620">
        <f>T49</f>
        <v>20799</v>
      </c>
      <c r="H49" s="618"/>
      <c r="I49" s="617">
        <f>V49</f>
        <v>23074</v>
      </c>
      <c r="J49" s="618"/>
      <c r="K49" s="1337"/>
      <c r="L49" s="2130"/>
      <c r="M49" s="2118"/>
      <c r="N49" s="2118"/>
      <c r="O49" s="2131"/>
      <c r="P49" s="3397" t="str">
        <f>A49</f>
        <v>比较价格（元/平方米）</v>
      </c>
      <c r="Q49" s="3397"/>
      <c r="R49" s="3422">
        <f>ROUND(PRODUCT(R48,AA9:AA47),0)</f>
        <v>11258</v>
      </c>
      <c r="S49" s="3422"/>
      <c r="T49" s="3422">
        <f>ROUND(PRODUCT(T48,AB9:AB47),0)</f>
        <v>20799</v>
      </c>
      <c r="U49" s="3422"/>
      <c r="V49" s="3422">
        <f>ROUND(PRODUCT(V48,AC9:AC47),0)</f>
        <v>23074</v>
      </c>
      <c r="W49" s="3422"/>
      <c r="X49" s="1546"/>
      <c r="Y49" s="1546"/>
      <c r="Z49" s="1546"/>
      <c r="AA49" s="1546"/>
      <c r="AB49" s="1546"/>
      <c r="AC49" s="1546"/>
    </row>
    <row r="50" spans="1:29" ht="21" thickBot="1">
      <c r="A50" s="621" t="s">
        <v>2934</v>
      </c>
      <c r="B50" s="622"/>
      <c r="C50" s="623">
        <f>R50</f>
        <v>15529</v>
      </c>
      <c r="D50" s="623"/>
      <c r="E50" s="623"/>
      <c r="F50" s="623"/>
      <c r="G50" s="623"/>
      <c r="H50" s="623"/>
      <c r="I50" s="623"/>
      <c r="J50" s="623"/>
      <c r="K50" s="1338"/>
      <c r="L50" s="2130"/>
      <c r="M50" s="2118"/>
      <c r="N50" s="2118"/>
      <c r="O50" s="2131"/>
      <c r="P50" s="3419" t="str">
        <f>A50</f>
        <v>估价对象XX用房的比较价格（楼面单价，元/平方米）</v>
      </c>
      <c r="Q50" s="3420"/>
      <c r="R50" s="3421">
        <f>ROUND(R49*S52+T49*U52+V49*W52,0)</f>
        <v>15529</v>
      </c>
      <c r="S50" s="3421"/>
      <c r="T50" s="3421"/>
      <c r="U50" s="3421"/>
      <c r="V50" s="3421"/>
      <c r="W50" s="342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3214" t="s">
        <v>3122</v>
      </c>
      <c r="R52" s="2131"/>
      <c r="S52" s="3215">
        <v>0.6</v>
      </c>
      <c r="T52" s="2131"/>
      <c r="U52" s="3215">
        <v>0.2</v>
      </c>
      <c r="V52" s="2131"/>
      <c r="W52" s="3215">
        <v>0.2</v>
      </c>
      <c r="X52" s="2131"/>
      <c r="Y52" s="2131"/>
      <c r="Z52" s="2131"/>
      <c r="AA52" s="2131"/>
      <c r="AB52" s="2131"/>
      <c r="AC52" s="2131"/>
    </row>
    <row r="53" spans="1:29" ht="13.5" customHeight="1">
      <c r="A53" s="2131"/>
      <c r="B53" s="2131"/>
      <c r="C53" s="624" t="s">
        <v>557</v>
      </c>
      <c r="D53" s="625"/>
      <c r="E53" s="626">
        <f>IF(E48&lt;E49,E49/E48-1,E48/E49-1)</f>
        <v>0.24089536329721084</v>
      </c>
      <c r="F53" s="627" t="str">
        <f>IF(OR(E53&gt;=0.3,E53&lt;=-0.3),"超过30%","")</f>
        <v/>
      </c>
      <c r="G53" s="626">
        <f>IF(G48&lt;G49,G49/G48-1,G48/G49-1)</f>
        <v>0.17164286744555035</v>
      </c>
      <c r="H53" s="627" t="str">
        <f>IF(OR(G53&gt;=0.3,G53&lt;=-0.3),"超过30%","")</f>
        <v/>
      </c>
      <c r="I53" s="626">
        <f>IF(I48&lt;I49,I49/I48-1,I48/I49-1)</f>
        <v>0.16026696714917232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0.84748623201279094</v>
      </c>
      <c r="F54" s="627" t="str">
        <f>IF(OR(E54&gt;=0.2,E54&lt;=-0.2),"超过20%","")</f>
        <v>超过20%</v>
      </c>
      <c r="G54" s="626">
        <f>IF(G49&lt;I49,I49/G49-1,G49/I49-1)</f>
        <v>0.10938025866628198</v>
      </c>
      <c r="H54" s="627" t="str">
        <f>IF(OR(G54&gt;=0.2,G54&lt;=-0.2),"超过20%","")</f>
        <v/>
      </c>
      <c r="I54" s="626">
        <f>IF(I49&lt;E49,E49/I49-1,I49/E49-1)</f>
        <v>1.0495647539527448</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0.74438081603435924</v>
      </c>
      <c r="F55" s="627" t="str">
        <f>IF(OR(E55&gt;=0.3,E55&lt;=-0.3),"超过30%","")</f>
        <v>超过30%</v>
      </c>
      <c r="G55" s="626">
        <f>IF(G48&lt;I48,I48/G48-1,G48/I48-1)</f>
        <v>9.8608888341745748E-2</v>
      </c>
      <c r="H55" s="627" t="str">
        <f>IF(OR(G55&gt;=0.3,G55&lt;=-0.3),"超过30%","")</f>
        <v/>
      </c>
      <c r="I55" s="626">
        <f>IF(I48&lt;E48,E48/I48-1,I48/E48-1)</f>
        <v>0.91639226914817473</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81" t="s">
        <v>2279</v>
      </c>
      <c r="H57" s="3382"/>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15529</v>
      </c>
      <c r="C58" s="635">
        <v>1</v>
      </c>
      <c r="D58" s="2214">
        <v>1</v>
      </c>
      <c r="E58" s="635">
        <f>'数据-汇总表'!E8+'数据-汇总表'!E9</f>
        <v>99428.59</v>
      </c>
      <c r="F58" s="636">
        <f t="shared" ref="F58:F67" si="15">ROUND(B58*E58/10000,0)</f>
        <v>154403</v>
      </c>
      <c r="G58" s="3383"/>
      <c r="H58" s="338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2718</v>
      </c>
      <c r="C59" s="378">
        <f t="shared" ref="C59:C67" si="16">IF($C$57="北京市系数",I59,J59)</f>
        <v>0.7</v>
      </c>
      <c r="D59" s="2215">
        <v>0.25</v>
      </c>
      <c r="E59" s="639">
        <v>8494.94</v>
      </c>
      <c r="F59" s="636">
        <f t="shared" si="15"/>
        <v>2309</v>
      </c>
      <c r="G59" s="3385"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1553</v>
      </c>
      <c r="C60" s="378">
        <f t="shared" si="16"/>
        <v>0.4</v>
      </c>
      <c r="D60" s="2215">
        <v>0.25</v>
      </c>
      <c r="E60" s="639">
        <v>8494.94</v>
      </c>
      <c r="F60" s="636">
        <f t="shared" si="15"/>
        <v>1319</v>
      </c>
      <c r="G60" s="3385"/>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1087</v>
      </c>
      <c r="C61" s="378">
        <f t="shared" si="16"/>
        <v>0.28000000000000003</v>
      </c>
      <c r="D61" s="2215">
        <v>0.25</v>
      </c>
      <c r="E61" s="639">
        <v>0</v>
      </c>
      <c r="F61" s="636">
        <f t="shared" si="15"/>
        <v>0</v>
      </c>
      <c r="G61" s="3385"/>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971</v>
      </c>
      <c r="C62" s="378">
        <f t="shared" si="16"/>
        <v>0.25</v>
      </c>
      <c r="D62" s="2215">
        <v>0.25</v>
      </c>
      <c r="E62" s="639">
        <v>0</v>
      </c>
      <c r="F62" s="636">
        <f t="shared" si="15"/>
        <v>0</v>
      </c>
      <c r="G62" s="3385"/>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971</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971</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776</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776</v>
      </c>
      <c r="C67" s="378">
        <f t="shared" si="16"/>
        <v>0.2</v>
      </c>
      <c r="D67" s="2215">
        <v>0.25</v>
      </c>
      <c r="E67" s="641">
        <f>'数据-汇总表'!E15</f>
        <v>26749.200000000001</v>
      </c>
      <c r="F67" s="636">
        <f t="shared" si="15"/>
        <v>2076</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143167.67000000001</v>
      </c>
      <c r="F68" s="644">
        <f>IF(B48="楼面地价",SUM(F58:F67),ROUND(C50*E68/10000,0))</f>
        <v>160107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1（含）-3</v>
      </c>
      <c r="E81" s="682" t="str">
        <f t="shared" si="32"/>
        <v>3（含）-5</v>
      </c>
      <c r="F81" s="682" t="str">
        <f t="shared" si="32"/>
        <v>5（含）-12</v>
      </c>
      <c r="G81" s="682" t="str">
        <f t="shared" si="32"/>
        <v>12（含）-</v>
      </c>
      <c r="H81" s="682" t="str">
        <f t="shared" si="32"/>
        <v>（含）-</v>
      </c>
      <c r="I81" s="682" t="str">
        <f t="shared" si="32"/>
        <v>（含）-</v>
      </c>
      <c r="J81" s="682" t="str">
        <f t="shared" si="32"/>
        <v>（含）-</v>
      </c>
      <c r="K81" s="682" t="str">
        <f t="shared" si="32"/>
        <v>（含）-</v>
      </c>
      <c r="L81" s="682" t="str">
        <f t="shared" si="32"/>
        <v>（含）-</v>
      </c>
      <c r="M81" s="555" t="str">
        <f>M82&amp;"（含）"&amp;"-"&amp;P82</f>
        <v>（含）-</v>
      </c>
      <c r="N81" s="3209" t="str">
        <f t="shared" ref="N81" si="33">N82&amp;"（含）"&amp;"-"&amp;O82</f>
        <v>（含）-</v>
      </c>
      <c r="O81" s="3210" t="str">
        <f>O82&amp;"（含）"&amp;"-"&amp;R82</f>
        <v>（含）-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3</v>
      </c>
      <c r="F82" s="541">
        <v>5</v>
      </c>
      <c r="G82" s="541">
        <v>12</v>
      </c>
      <c r="H82" s="541"/>
      <c r="I82" s="541"/>
      <c r="J82" s="541"/>
      <c r="K82" s="684"/>
      <c r="L82" s="685"/>
      <c r="M82" s="686"/>
      <c r="N82" s="685"/>
      <c r="O82" s="686"/>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90</v>
      </c>
      <c r="E83" s="679">
        <f t="shared" ref="E83:M83" si="34">IF($B$48="单位面积地价",D83+$K13,D83-$K13)</f>
        <v>80</v>
      </c>
      <c r="F83" s="679">
        <f t="shared" si="34"/>
        <v>70</v>
      </c>
      <c r="G83" s="679">
        <f t="shared" si="34"/>
        <v>60</v>
      </c>
      <c r="H83" s="679">
        <f t="shared" si="34"/>
        <v>50</v>
      </c>
      <c r="I83" s="679">
        <f t="shared" si="34"/>
        <v>40</v>
      </c>
      <c r="J83" s="679">
        <f t="shared" si="34"/>
        <v>30</v>
      </c>
      <c r="K83" s="679">
        <f t="shared" si="34"/>
        <v>20</v>
      </c>
      <c r="L83" s="679">
        <f t="shared" si="34"/>
        <v>10</v>
      </c>
      <c r="M83" s="679">
        <f t="shared" si="34"/>
        <v>0</v>
      </c>
      <c r="N83" s="3208">
        <f t="shared" ref="N83" si="35">IF($B$48="单位面积地价",M83+$K13,M83-$K13)</f>
        <v>-10</v>
      </c>
      <c r="O83" s="3208">
        <f t="shared" ref="O83" si="36">IF($B$48="单位面积地价",N83+$K13,N83-$K13)</f>
        <v>-20</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1" t="s">
        <v>3117</v>
      </c>
      <c r="D108" s="3211" t="s">
        <v>3118</v>
      </c>
      <c r="E108" s="3211" t="s">
        <v>3119</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6" t="str">
        <f>项目基本情况!B1</f>
        <v>北京市出让国有建设用地使用权抵押价格预评估</v>
      </c>
      <c r="C37" s="3216"/>
      <c r="D37" s="3216"/>
      <c r="E37" s="3216"/>
      <c r="F37" s="3216"/>
      <c r="G37" s="3216"/>
      <c r="H37" s="3216"/>
      <c r="I37" s="3216"/>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3" t="s">
        <v>522</v>
      </c>
      <c r="D6" s="3404"/>
      <c r="E6" s="3428" t="s">
        <v>523</v>
      </c>
      <c r="F6" s="3429"/>
      <c r="G6" s="3403" t="s">
        <v>524</v>
      </c>
      <c r="H6" s="3404"/>
      <c r="I6" s="3403" t="s">
        <v>525</v>
      </c>
      <c r="J6" s="3404"/>
      <c r="K6" s="514" t="s">
        <v>526</v>
      </c>
      <c r="L6" s="2119"/>
      <c r="M6" s="2120"/>
      <c r="N6" s="2120"/>
      <c r="O6" s="2120"/>
      <c r="P6" s="3405" t="s">
        <v>527</v>
      </c>
      <c r="Q6" s="3406"/>
      <c r="R6" s="3391" t="s">
        <v>523</v>
      </c>
      <c r="S6" s="3392"/>
      <c r="T6" s="3391" t="s">
        <v>524</v>
      </c>
      <c r="U6" s="3392"/>
      <c r="V6" s="3411" t="s">
        <v>525</v>
      </c>
      <c r="W6" s="3411"/>
      <c r="X6" s="1554"/>
      <c r="Y6" s="3391" t="s">
        <v>527</v>
      </c>
      <c r="Z6" s="3392"/>
      <c r="AA6" s="3386" t="s">
        <v>523</v>
      </c>
      <c r="AB6" s="3387" t="s">
        <v>524</v>
      </c>
      <c r="AC6" s="3386" t="s">
        <v>525</v>
      </c>
    </row>
    <row r="7" spans="1:29" ht="15">
      <c r="A7" s="515"/>
      <c r="B7" s="516"/>
      <c r="C7" s="3414" t="s">
        <v>2928</v>
      </c>
      <c r="D7" s="3415"/>
      <c r="E7" s="3430" t="s">
        <v>2929</v>
      </c>
      <c r="F7" s="3431"/>
      <c r="G7" s="3414" t="s">
        <v>2930</v>
      </c>
      <c r="H7" s="3415"/>
      <c r="I7" s="3414" t="s">
        <v>2931</v>
      </c>
      <c r="J7" s="3415"/>
      <c r="K7" s="514"/>
      <c r="L7" s="2119"/>
      <c r="M7" s="2120"/>
      <c r="N7" s="2120"/>
      <c r="O7" s="2120"/>
      <c r="P7" s="3407"/>
      <c r="Q7" s="3408"/>
      <c r="R7" s="3393"/>
      <c r="S7" s="3394"/>
      <c r="T7" s="3393"/>
      <c r="U7" s="3394"/>
      <c r="V7" s="3411"/>
      <c r="W7" s="3411"/>
      <c r="X7" s="1554"/>
      <c r="Y7" s="3393"/>
      <c r="Z7" s="3394"/>
      <c r="AA7" s="3387"/>
      <c r="AB7" s="3387"/>
      <c r="AC7" s="3387"/>
    </row>
    <row r="8" spans="1:29" ht="15.75" thickBot="1">
      <c r="A8" s="517"/>
      <c r="B8" s="518"/>
      <c r="C8" s="3412" t="s">
        <v>2932</v>
      </c>
      <c r="D8" s="3413"/>
      <c r="E8" s="3432" t="s">
        <v>2932</v>
      </c>
      <c r="F8" s="3433"/>
      <c r="G8" s="3412" t="s">
        <v>2932</v>
      </c>
      <c r="H8" s="3413"/>
      <c r="I8" s="3412" t="s">
        <v>2932</v>
      </c>
      <c r="J8" s="3413"/>
      <c r="K8" s="514" t="s">
        <v>528</v>
      </c>
      <c r="L8" s="2119"/>
      <c r="M8" s="2120"/>
      <c r="N8" s="2120"/>
      <c r="O8" s="2120"/>
      <c r="P8" s="3409"/>
      <c r="Q8" s="3410"/>
      <c r="R8" s="3393"/>
      <c r="S8" s="3394"/>
      <c r="T8" s="3395"/>
      <c r="U8" s="3396"/>
      <c r="V8" s="3411"/>
      <c r="W8" s="3411"/>
      <c r="X8" s="1554"/>
      <c r="Y8" s="3395"/>
      <c r="Z8" s="3396"/>
      <c r="AA8" s="3388"/>
      <c r="AB8" s="3388"/>
      <c r="AC8" s="3388"/>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9" t="s">
        <v>530</v>
      </c>
      <c r="Q9" s="3398"/>
      <c r="R9" s="1555" t="s">
        <v>8</v>
      </c>
      <c r="S9" s="1556">
        <f t="shared" ref="S9:S17" si="0">F9</f>
        <v>0</v>
      </c>
      <c r="T9" s="1555" t="s">
        <v>8</v>
      </c>
      <c r="U9" s="1556">
        <f t="shared" ref="U9:U17" si="1">H9</f>
        <v>0</v>
      </c>
      <c r="V9" s="1555" t="s">
        <v>8</v>
      </c>
      <c r="W9" s="1556">
        <f t="shared" ref="W9:W17" si="2">J9</f>
        <v>0</v>
      </c>
      <c r="X9" s="1557"/>
      <c r="Y9" s="3389" t="s">
        <v>530</v>
      </c>
      <c r="Z9" s="3390"/>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9" t="s">
        <v>533</v>
      </c>
      <c r="Q10" s="3390"/>
      <c r="R10" s="1555" t="s">
        <v>8</v>
      </c>
      <c r="S10" s="1556">
        <f t="shared" si="0"/>
        <v>0</v>
      </c>
      <c r="T10" s="1555" t="s">
        <v>8</v>
      </c>
      <c r="U10" s="1556">
        <f t="shared" si="1"/>
        <v>0</v>
      </c>
      <c r="V10" s="1555" t="s">
        <v>8</v>
      </c>
      <c r="W10" s="1556">
        <f t="shared" si="2"/>
        <v>0</v>
      </c>
      <c r="X10" s="1557"/>
      <c r="Y10" s="3389" t="s">
        <v>533</v>
      </c>
      <c r="Z10" s="3390"/>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7" t="s">
        <v>535</v>
      </c>
      <c r="Q11" s="1147" t="str">
        <f t="shared" ref="Q11:Q17" si="6">B11</f>
        <v>用途</v>
      </c>
      <c r="R11" s="1555" t="s">
        <v>8</v>
      </c>
      <c r="S11" s="1556">
        <f t="shared" si="0"/>
        <v>100</v>
      </c>
      <c r="T11" s="1555" t="s">
        <v>8</v>
      </c>
      <c r="U11" s="1556">
        <f t="shared" si="1"/>
        <v>100</v>
      </c>
      <c r="V11" s="1555" t="s">
        <v>8</v>
      </c>
      <c r="W11" s="1556">
        <f t="shared" si="2"/>
        <v>100</v>
      </c>
      <c r="X11" s="1557"/>
      <c r="Y11" s="3354"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97"/>
      <c r="Q12" s="1147" t="str">
        <f t="shared" si="6"/>
        <v>土地使用年限（年）</v>
      </c>
      <c r="R12" s="1555" t="s">
        <v>8</v>
      </c>
      <c r="S12" s="1556">
        <f t="shared" si="0"/>
        <v>105</v>
      </c>
      <c r="T12" s="1555" t="s">
        <v>8</v>
      </c>
      <c r="U12" s="1556">
        <f t="shared" si="1"/>
        <v>105</v>
      </c>
      <c r="V12" s="1555" t="s">
        <v>8</v>
      </c>
      <c r="W12" s="1556">
        <f t="shared" si="2"/>
        <v>105</v>
      </c>
      <c r="X12" s="1557"/>
      <c r="Y12" s="3354"/>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7"/>
      <c r="Q13" s="1147" t="str">
        <f t="shared" si="6"/>
        <v>容积率</v>
      </c>
      <c r="R13" s="1555" t="s">
        <v>8</v>
      </c>
      <c r="S13" s="1556" t="e">
        <f t="shared" si="0"/>
        <v>#N/A</v>
      </c>
      <c r="T13" s="1555" t="s">
        <v>8</v>
      </c>
      <c r="U13" s="1556" t="e">
        <f t="shared" si="1"/>
        <v>#N/A</v>
      </c>
      <c r="V13" s="1555" t="s">
        <v>8</v>
      </c>
      <c r="W13" s="1556" t="e">
        <f t="shared" si="2"/>
        <v>#N/A</v>
      </c>
      <c r="X13" s="1557"/>
      <c r="Y13" s="3354"/>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7"/>
      <c r="Q14" s="1147">
        <f t="shared" si="6"/>
        <v>111</v>
      </c>
      <c r="R14" s="1555" t="s">
        <v>8</v>
      </c>
      <c r="S14" s="1556">
        <f t="shared" si="0"/>
        <v>100</v>
      </c>
      <c r="T14" s="1555" t="s">
        <v>8</v>
      </c>
      <c r="U14" s="1556">
        <f t="shared" si="1"/>
        <v>100</v>
      </c>
      <c r="V14" s="1555" t="s">
        <v>8</v>
      </c>
      <c r="W14" s="1556">
        <f t="shared" si="2"/>
        <v>100</v>
      </c>
      <c r="X14" s="1557"/>
      <c r="Y14" s="3354"/>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7"/>
      <c r="Q15" s="1147">
        <f t="shared" si="6"/>
        <v>111</v>
      </c>
      <c r="R15" s="1555" t="s">
        <v>8</v>
      </c>
      <c r="S15" s="1556">
        <f t="shared" si="0"/>
        <v>100</v>
      </c>
      <c r="T15" s="1555" t="s">
        <v>8</v>
      </c>
      <c r="U15" s="1556">
        <f t="shared" si="1"/>
        <v>100</v>
      </c>
      <c r="V15" s="1555" t="s">
        <v>8</v>
      </c>
      <c r="W15" s="1556">
        <f t="shared" si="2"/>
        <v>100</v>
      </c>
      <c r="X15" s="1557"/>
      <c r="Y15" s="3354"/>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7"/>
      <c r="Q16" s="1147">
        <f t="shared" si="6"/>
        <v>111</v>
      </c>
      <c r="R16" s="1555" t="s">
        <v>8</v>
      </c>
      <c r="S16" s="1556">
        <f t="shared" si="0"/>
        <v>100</v>
      </c>
      <c r="T16" s="1555" t="s">
        <v>8</v>
      </c>
      <c r="U16" s="1556">
        <f t="shared" si="1"/>
        <v>100</v>
      </c>
      <c r="V16" s="1555" t="s">
        <v>8</v>
      </c>
      <c r="W16" s="1556">
        <f t="shared" si="2"/>
        <v>100</v>
      </c>
      <c r="X16" s="1557"/>
      <c r="Y16" s="3354"/>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9" t="s">
        <v>540</v>
      </c>
      <c r="Q17" s="1559" t="str">
        <f t="shared" si="6"/>
        <v>产业集聚程度</v>
      </c>
      <c r="R17" s="1560" t="s">
        <v>8</v>
      </c>
      <c r="S17" s="1561">
        <f t="shared" si="0"/>
        <v>100</v>
      </c>
      <c r="T17" s="1560" t="s">
        <v>8</v>
      </c>
      <c r="U17" s="1561">
        <f t="shared" si="1"/>
        <v>100</v>
      </c>
      <c r="V17" s="1560" t="s">
        <v>8</v>
      </c>
      <c r="W17" s="1561">
        <f t="shared" si="2"/>
        <v>100</v>
      </c>
      <c r="X17" s="1554"/>
      <c r="Y17" s="339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0"/>
      <c r="Q18" s="1559"/>
      <c r="R18" s="1560"/>
      <c r="S18" s="1561"/>
      <c r="T18" s="1560"/>
      <c r="U18" s="1561"/>
      <c r="V18" s="1560"/>
      <c r="W18" s="1561"/>
      <c r="X18" s="1554"/>
      <c r="Y18" s="340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0"/>
      <c r="Q19" s="1559" t="str">
        <f>B19</f>
        <v>交通便捷度</v>
      </c>
      <c r="R19" s="1560" t="s">
        <v>8</v>
      </c>
      <c r="S19" s="1561">
        <f>F19</f>
        <v>100</v>
      </c>
      <c r="T19" s="1560" t="s">
        <v>8</v>
      </c>
      <c r="U19" s="1561">
        <f>H19</f>
        <v>100</v>
      </c>
      <c r="V19" s="1560" t="s">
        <v>8</v>
      </c>
      <c r="W19" s="1561">
        <f>J19</f>
        <v>100</v>
      </c>
      <c r="X19" s="1554"/>
      <c r="Y19" s="340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0"/>
      <c r="Q21" s="1559" t="str">
        <f t="shared" ref="Q21:Q35" si="8">B21</f>
        <v>区域土地利用方向</v>
      </c>
      <c r="R21" s="1560" t="s">
        <v>8</v>
      </c>
      <c r="S21" s="1561">
        <f>F21</f>
        <v>100</v>
      </c>
      <c r="T21" s="1560" t="s">
        <v>8</v>
      </c>
      <c r="U21" s="1561">
        <f>H21</f>
        <v>100</v>
      </c>
      <c r="V21" s="1560" t="s">
        <v>8</v>
      </c>
      <c r="W21" s="1561">
        <f>J21</f>
        <v>100</v>
      </c>
      <c r="X21" s="1554"/>
      <c r="Y21" s="340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0"/>
      <c r="Q22" s="1559"/>
      <c r="R22" s="1560"/>
      <c r="S22" s="1561"/>
      <c r="T22" s="1560"/>
      <c r="U22" s="1561"/>
      <c r="V22" s="1560"/>
      <c r="W22" s="1561"/>
      <c r="X22" s="1554"/>
      <c r="Y22" s="340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0"/>
      <c r="Q23" s="1559" t="str">
        <f t="shared" si="8"/>
        <v>环境状况</v>
      </c>
      <c r="R23" s="1560" t="s">
        <v>8</v>
      </c>
      <c r="S23" s="1561">
        <f>F23</f>
        <v>100</v>
      </c>
      <c r="T23" s="1560" t="s">
        <v>8</v>
      </c>
      <c r="U23" s="1561">
        <f>H23</f>
        <v>100</v>
      </c>
      <c r="V23" s="1560" t="s">
        <v>8</v>
      </c>
      <c r="W23" s="1561">
        <f>J23</f>
        <v>100</v>
      </c>
      <c r="X23" s="1554"/>
      <c r="Y23" s="340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0"/>
      <c r="Q24" s="1559"/>
      <c r="R24" s="1560"/>
      <c r="S24" s="1561"/>
      <c r="T24" s="1560"/>
      <c r="U24" s="1561"/>
      <c r="V24" s="1560"/>
      <c r="W24" s="1561"/>
      <c r="X24" s="1554"/>
      <c r="Y24" s="3400"/>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0"/>
      <c r="Q25" s="1147" t="str">
        <f t="shared" si="8"/>
        <v>公共配套设施</v>
      </c>
      <c r="R25" s="1555" t="s">
        <v>8</v>
      </c>
      <c r="S25" s="1556">
        <f>F25</f>
        <v>100</v>
      </c>
      <c r="T25" s="1555" t="s">
        <v>8</v>
      </c>
      <c r="U25" s="1556">
        <f>H25</f>
        <v>100</v>
      </c>
      <c r="V25" s="1555" t="s">
        <v>8</v>
      </c>
      <c r="W25" s="1556">
        <f>J25</f>
        <v>100</v>
      </c>
      <c r="X25" s="1557"/>
      <c r="Y25" s="340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0"/>
      <c r="Q26" s="1147"/>
      <c r="R26" s="1555"/>
      <c r="S26" s="1556"/>
      <c r="T26" s="1555"/>
      <c r="U26" s="1556"/>
      <c r="V26" s="1555"/>
      <c r="W26" s="1556"/>
      <c r="X26" s="1557"/>
      <c r="Y26" s="3400"/>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0"/>
      <c r="Q27" s="2543" t="str">
        <f t="shared" ref="Q27" si="9">B27</f>
        <v>基础设施水平</v>
      </c>
      <c r="R27" s="1555" t="s">
        <v>8</v>
      </c>
      <c r="S27" s="1556">
        <f>F27</f>
        <v>100</v>
      </c>
      <c r="T27" s="1555" t="s">
        <v>8</v>
      </c>
      <c r="U27" s="1556">
        <f>H27</f>
        <v>100</v>
      </c>
      <c r="V27" s="1555" t="s">
        <v>8</v>
      </c>
      <c r="W27" s="1556">
        <f>J27</f>
        <v>100</v>
      </c>
      <c r="X27" s="1557"/>
      <c r="Y27" s="340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0"/>
      <c r="Q28" s="2543"/>
      <c r="R28" s="1555"/>
      <c r="S28" s="1556"/>
      <c r="T28" s="1555"/>
      <c r="U28" s="1556"/>
      <c r="V28" s="1555"/>
      <c r="W28" s="1556"/>
      <c r="X28" s="1557"/>
      <c r="Y28" s="340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0"/>
      <c r="Q30" s="1559" t="str">
        <f t="shared" si="8"/>
        <v>毗邻道路的类型与等级</v>
      </c>
      <c r="R30" s="1560" t="s">
        <v>8</v>
      </c>
      <c r="S30" s="1561">
        <f t="shared" si="10"/>
        <v>100</v>
      </c>
      <c r="T30" s="1560" t="s">
        <v>8</v>
      </c>
      <c r="U30" s="1561">
        <f t="shared" si="11"/>
        <v>100</v>
      </c>
      <c r="V30" s="1560" t="s">
        <v>8</v>
      </c>
      <c r="W30" s="1561">
        <f t="shared" si="12"/>
        <v>100</v>
      </c>
      <c r="X30" s="1554"/>
      <c r="Y30" s="340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0"/>
      <c r="Q31" s="1559"/>
      <c r="R31" s="1560"/>
      <c r="S31" s="1561"/>
      <c r="T31" s="1560"/>
      <c r="U31" s="1561"/>
      <c r="V31" s="1560"/>
      <c r="W31" s="1561"/>
      <c r="X31" s="1554"/>
      <c r="Y31" s="340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0"/>
      <c r="Q32" s="1559" t="str">
        <f t="shared" si="8"/>
        <v>土地级别</v>
      </c>
      <c r="R32" s="1560" t="s">
        <v>8</v>
      </c>
      <c r="S32" s="1561">
        <f t="shared" si="10"/>
        <v>100</v>
      </c>
      <c r="T32" s="1560" t="s">
        <v>8</v>
      </c>
      <c r="U32" s="1561">
        <f t="shared" si="11"/>
        <v>100</v>
      </c>
      <c r="V32" s="1560" t="s">
        <v>8</v>
      </c>
      <c r="W32" s="1561">
        <f t="shared" si="12"/>
        <v>100</v>
      </c>
      <c r="X32" s="1554"/>
      <c r="Y32" s="340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0"/>
      <c r="Q33" s="1559">
        <f t="shared" si="8"/>
        <v>111</v>
      </c>
      <c r="R33" s="1560" t="s">
        <v>8</v>
      </c>
      <c r="S33" s="1561">
        <f t="shared" si="10"/>
        <v>100</v>
      </c>
      <c r="T33" s="1560" t="s">
        <v>8</v>
      </c>
      <c r="U33" s="1561">
        <f t="shared" si="11"/>
        <v>100</v>
      </c>
      <c r="V33" s="1560" t="s">
        <v>8</v>
      </c>
      <c r="W33" s="1561">
        <f t="shared" si="12"/>
        <v>100</v>
      </c>
      <c r="X33" s="1554"/>
      <c r="Y33" s="340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1" t="s">
        <v>550</v>
      </c>
      <c r="Q34" s="1559">
        <f t="shared" si="8"/>
        <v>111</v>
      </c>
      <c r="R34" s="1560" t="s">
        <v>8</v>
      </c>
      <c r="S34" s="1561">
        <f t="shared" si="10"/>
        <v>100</v>
      </c>
      <c r="T34" s="1560" t="s">
        <v>8</v>
      </c>
      <c r="U34" s="1561">
        <f t="shared" si="11"/>
        <v>100</v>
      </c>
      <c r="V34" s="1560" t="s">
        <v>8</v>
      </c>
      <c r="W34" s="1561">
        <f t="shared" si="12"/>
        <v>100</v>
      </c>
      <c r="X34" s="1554"/>
      <c r="Y34" s="340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2"/>
      <c r="Q35" s="1559">
        <f t="shared" si="8"/>
        <v>111</v>
      </c>
      <c r="R35" s="1564" t="s">
        <v>8</v>
      </c>
      <c r="S35" s="1565">
        <f t="shared" si="10"/>
        <v>100</v>
      </c>
      <c r="T35" s="1564" t="s">
        <v>8</v>
      </c>
      <c r="U35" s="1565">
        <f t="shared" si="11"/>
        <v>100</v>
      </c>
      <c r="V35" s="1564" t="s">
        <v>8</v>
      </c>
      <c r="W35" s="1565">
        <f t="shared" si="12"/>
        <v>100</v>
      </c>
      <c r="X35" s="1566"/>
      <c r="Y35" s="3402"/>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2"/>
      <c r="Q36" s="1559" t="str">
        <f>B36</f>
        <v>宗地面积</v>
      </c>
      <c r="R36" s="1560" t="s">
        <v>8</v>
      </c>
      <c r="S36" s="1561" t="e">
        <f t="shared" si="10"/>
        <v>#N/A</v>
      </c>
      <c r="T36" s="1560" t="s">
        <v>8</v>
      </c>
      <c r="U36" s="1561" t="e">
        <f t="shared" si="11"/>
        <v>#N/A</v>
      </c>
      <c r="V36" s="1560" t="s">
        <v>8</v>
      </c>
      <c r="W36" s="1561" t="e">
        <f t="shared" si="12"/>
        <v>#N/A</v>
      </c>
      <c r="X36" s="1554"/>
      <c r="Y36" s="340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2"/>
      <c r="Q37" s="1559" t="str">
        <f t="shared" ref="Q37:Q42" si="14">B37</f>
        <v>宗地形状</v>
      </c>
      <c r="R37" s="1560" t="s">
        <v>8</v>
      </c>
      <c r="S37" s="1561">
        <f t="shared" si="10"/>
        <v>100</v>
      </c>
      <c r="T37" s="1560" t="s">
        <v>8</v>
      </c>
      <c r="U37" s="1561">
        <f t="shared" si="11"/>
        <v>100</v>
      </c>
      <c r="V37" s="1560" t="s">
        <v>8</v>
      </c>
      <c r="W37" s="1561">
        <f t="shared" si="12"/>
        <v>100</v>
      </c>
      <c r="X37" s="1554"/>
      <c r="Y37" s="3402"/>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2"/>
      <c r="Q38" s="1559" t="str">
        <f t="shared" si="14"/>
        <v>宗地开发程度</v>
      </c>
      <c r="R38" s="1555" t="s">
        <v>8</v>
      </c>
      <c r="S38" s="1556">
        <f t="shared" si="10"/>
        <v>100</v>
      </c>
      <c r="T38" s="1555" t="s">
        <v>8</v>
      </c>
      <c r="U38" s="1556">
        <f t="shared" si="11"/>
        <v>100</v>
      </c>
      <c r="V38" s="1555" t="s">
        <v>8</v>
      </c>
      <c r="W38" s="1556">
        <f t="shared" si="12"/>
        <v>100</v>
      </c>
      <c r="X38" s="1557"/>
      <c r="Y38" s="340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2" t="s">
        <v>601</v>
      </c>
      <c r="Q39" s="1559" t="str">
        <f t="shared" si="14"/>
        <v>工程地质条件</v>
      </c>
      <c r="R39" s="1560" t="s">
        <v>8</v>
      </c>
      <c r="S39" s="1561">
        <f t="shared" si="10"/>
        <v>100</v>
      </c>
      <c r="T39" s="1560" t="s">
        <v>8</v>
      </c>
      <c r="U39" s="1561">
        <f t="shared" si="11"/>
        <v>100</v>
      </c>
      <c r="V39" s="1560" t="s">
        <v>8</v>
      </c>
      <c r="W39" s="1561">
        <f t="shared" si="12"/>
        <v>100</v>
      </c>
      <c r="X39" s="1554"/>
      <c r="Y39" s="340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2"/>
      <c r="Q40" s="1559">
        <f t="shared" si="14"/>
        <v>111</v>
      </c>
      <c r="R40" s="1560" t="s">
        <v>8</v>
      </c>
      <c r="S40" s="1561">
        <f t="shared" si="10"/>
        <v>100</v>
      </c>
      <c r="T40" s="1560" t="s">
        <v>8</v>
      </c>
      <c r="U40" s="1561">
        <f t="shared" si="11"/>
        <v>100</v>
      </c>
      <c r="V40" s="1560" t="s">
        <v>8</v>
      </c>
      <c r="W40" s="1561">
        <f t="shared" si="12"/>
        <v>100</v>
      </c>
      <c r="X40" s="1554"/>
      <c r="Y40" s="340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2"/>
      <c r="Q41" s="1559">
        <f t="shared" si="14"/>
        <v>111</v>
      </c>
      <c r="R41" s="1560" t="s">
        <v>8</v>
      </c>
      <c r="S41" s="1561">
        <f t="shared" si="10"/>
        <v>100</v>
      </c>
      <c r="T41" s="1560" t="s">
        <v>8</v>
      </c>
      <c r="U41" s="1561">
        <f t="shared" si="11"/>
        <v>100</v>
      </c>
      <c r="V41" s="1560" t="s">
        <v>8</v>
      </c>
      <c r="W41" s="1561">
        <f t="shared" si="12"/>
        <v>100</v>
      </c>
      <c r="X41" s="1554"/>
      <c r="Y41" s="340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2"/>
      <c r="Q42" s="1559">
        <f t="shared" si="14"/>
        <v>111</v>
      </c>
      <c r="R42" s="1564" t="s">
        <v>8</v>
      </c>
      <c r="S42" s="1565">
        <f t="shared" si="10"/>
        <v>100</v>
      </c>
      <c r="T42" s="1564" t="s">
        <v>8</v>
      </c>
      <c r="U42" s="1565">
        <f t="shared" si="11"/>
        <v>100</v>
      </c>
      <c r="V42" s="1564" t="s">
        <v>8</v>
      </c>
      <c r="W42" s="1565">
        <f t="shared" si="12"/>
        <v>100</v>
      </c>
      <c r="X42" s="1566"/>
      <c r="Y42" s="3402"/>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97" t="str">
        <f>A43</f>
        <v>成交单价</v>
      </c>
      <c r="Q43" s="3397"/>
      <c r="R43" s="3411">
        <f>E43</f>
        <v>0</v>
      </c>
      <c r="S43" s="3411"/>
      <c r="T43" s="3411">
        <f>G43</f>
        <v>0</v>
      </c>
      <c r="U43" s="3411"/>
      <c r="V43" s="3411">
        <f>I43</f>
        <v>0</v>
      </c>
      <c r="W43" s="3411"/>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97" t="str">
        <f>A44</f>
        <v>比较价格（元/平方米）</v>
      </c>
      <c r="Q44" s="3397"/>
      <c r="R44" s="3422" t="e">
        <f>ROUND(PRODUCT(R43,AA9:AA42),0)</f>
        <v>#DIV/0!</v>
      </c>
      <c r="S44" s="3422"/>
      <c r="T44" s="3422" t="e">
        <f>ROUND(PRODUCT(T43,AB9:AB42),0)</f>
        <v>#DIV/0!</v>
      </c>
      <c r="U44" s="3422"/>
      <c r="V44" s="3422" t="e">
        <f>ROUND(PRODUCT(V43,AC9:AC42),0)</f>
        <v>#DIV/0!</v>
      </c>
      <c r="W44" s="3422"/>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419" t="str">
        <f>A45</f>
        <v>估价对象XX用房的比较价格（楼面单价，元/平方米）</v>
      </c>
      <c r="Q45" s="3420"/>
      <c r="R45" s="3421" t="e">
        <f>ROUND(AVERAGE(R44:V44),0)</f>
        <v>#DIV/0!</v>
      </c>
      <c r="S45" s="3421"/>
      <c r="T45" s="3421"/>
      <c r="U45" s="3421"/>
      <c r="V45" s="3421"/>
      <c r="W45" s="342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23" t="s">
        <v>2282</v>
      </c>
      <c r="H52" s="3424"/>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99428.59</v>
      </c>
      <c r="F53" s="1936" t="e">
        <f t="shared" ref="F53:F62" si="15">ROUND(B53*E53/10000,0)</f>
        <v>#DIV/0!</v>
      </c>
      <c r="G53" s="3425"/>
      <c r="H53" s="342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7"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7"/>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7"/>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7"/>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26749.200000000001</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15721.96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5"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36"/>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6" t="s">
        <v>2780</v>
      </c>
      <c r="X8" s="3447"/>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36"/>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5"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6"/>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5"/>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6"/>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5"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5"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5"/>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7"/>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45"/>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7"/>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8"/>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5" t="s">
        <v>1838</v>
      </c>
      <c r="B16" s="1424" t="s">
        <v>950</v>
      </c>
      <c r="C16" s="1052" t="e">
        <f>ROUND(IF(F17="与级别开发程度一致",0,(G17-E17)/C17),0)</f>
        <v>#DIV/0!</v>
      </c>
      <c r="D16" s="3453" t="s">
        <v>954</v>
      </c>
      <c r="E16" s="3454"/>
      <c r="F16" s="3453" t="s">
        <v>951</v>
      </c>
      <c r="G16" s="3454"/>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9"/>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2"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0" t="s">
        <v>1633</v>
      </c>
      <c r="B90" s="3440"/>
      <c r="C90" s="3440"/>
      <c r="D90" s="3440"/>
      <c r="E90" s="3440"/>
      <c r="F90" s="3440"/>
      <c r="G90" s="3440"/>
      <c r="H90" s="3440"/>
      <c r="I90" s="3440"/>
      <c r="J90" s="3440"/>
      <c r="K90" s="2415"/>
      <c r="L90" s="2415"/>
      <c r="M90" s="2415"/>
      <c r="N90" s="2415"/>
    </row>
    <row r="91" spans="1:40">
      <c r="A91" s="3441" t="s">
        <v>1443</v>
      </c>
      <c r="B91" s="3441" t="s">
        <v>1634</v>
      </c>
      <c r="C91" s="1136" t="s">
        <v>1635</v>
      </c>
      <c r="D91" s="1137"/>
      <c r="E91" s="1137"/>
      <c r="F91" s="1137"/>
      <c r="G91" s="1137"/>
      <c r="H91" s="1137"/>
      <c r="I91" s="1137"/>
      <c r="J91" s="1138"/>
      <c r="K91" s="1130"/>
      <c r="L91" s="1130"/>
      <c r="M91" s="1130"/>
      <c r="N91" s="1130"/>
    </row>
    <row r="92" spans="1:40">
      <c r="A92" s="3441"/>
      <c r="B92" s="344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8"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8"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9"/>
      <c r="B108" s="345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0"/>
      <c r="B109" s="345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4" t="s">
        <v>1639</v>
      </c>
      <c r="B110" s="3434"/>
      <c r="C110" s="3434"/>
      <c r="D110" s="3434"/>
      <c r="E110" s="3434"/>
      <c r="F110" s="3434"/>
      <c r="G110" s="3434"/>
      <c r="H110" s="3434"/>
      <c r="I110" s="3434"/>
      <c r="J110" s="3434"/>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1" t="s">
        <v>1007</v>
      </c>
      <c r="B18" s="1150" t="s">
        <v>1446</v>
      </c>
      <c r="C18" s="1127" t="s">
        <v>1447</v>
      </c>
      <c r="D18" s="1128"/>
      <c r="E18" s="1150">
        <v>1</v>
      </c>
      <c r="F18" s="1129" t="s">
        <v>1448</v>
      </c>
      <c r="G18" s="1130"/>
      <c r="H18" s="1101"/>
      <c r="I18" s="1101"/>
    </row>
    <row r="19" spans="1:9" s="1585" customFormat="1" ht="19.5" customHeight="1">
      <c r="A19" s="3441"/>
      <c r="B19" s="3441" t="s">
        <v>1449</v>
      </c>
      <c r="C19" s="1127" t="s">
        <v>1450</v>
      </c>
      <c r="D19" s="1128"/>
      <c r="E19" s="1150">
        <v>0.9</v>
      </c>
      <c r="F19" s="1129" t="s">
        <v>1451</v>
      </c>
      <c r="G19" s="1130"/>
      <c r="H19" s="1101"/>
      <c r="I19" s="1101"/>
    </row>
    <row r="20" spans="1:9" s="1585" customFormat="1" ht="19.5" customHeight="1">
      <c r="A20" s="3441"/>
      <c r="B20" s="3441"/>
      <c r="C20" s="1127" t="s">
        <v>1452</v>
      </c>
      <c r="D20" s="1128"/>
      <c r="E20" s="1150">
        <v>1.1000000000000001</v>
      </c>
      <c r="F20" s="1129" t="s">
        <v>1453</v>
      </c>
      <c r="G20" s="1130"/>
      <c r="H20" s="1101"/>
      <c r="I20" s="1101"/>
    </row>
    <row r="21" spans="1:9" s="1585" customFormat="1" ht="19.5" customHeight="1">
      <c r="A21" s="3441"/>
      <c r="B21" s="3441"/>
      <c r="C21" s="1127" t="s">
        <v>1454</v>
      </c>
      <c r="D21" s="1128"/>
      <c r="E21" s="1150">
        <v>0.8</v>
      </c>
      <c r="F21" s="1129" t="s">
        <v>1455</v>
      </c>
      <c r="G21" s="1130"/>
      <c r="H21" s="1101"/>
      <c r="I21" s="1101"/>
    </row>
    <row r="22" spans="1:9" s="1585" customFormat="1" ht="19.5" customHeight="1">
      <c r="A22" s="3441"/>
      <c r="B22" s="3441"/>
      <c r="C22" s="1127" t="s">
        <v>1456</v>
      </c>
      <c r="D22" s="1128"/>
      <c r="E22" s="1150">
        <v>0.5</v>
      </c>
      <c r="F22" s="1129"/>
      <c r="G22" s="1130"/>
      <c r="H22" s="1101"/>
      <c r="I22" s="1101"/>
    </row>
    <row r="23" spans="1:9" s="1585" customFormat="1" ht="19.5" customHeight="1">
      <c r="A23" s="3441" t="s">
        <v>1029</v>
      </c>
      <c r="B23" s="1150" t="s">
        <v>1446</v>
      </c>
      <c r="C23" s="1127" t="s">
        <v>1457</v>
      </c>
      <c r="D23" s="1128"/>
      <c r="E23" s="1150">
        <v>1</v>
      </c>
      <c r="F23" s="1129" t="s">
        <v>1458</v>
      </c>
      <c r="G23" s="1130"/>
      <c r="H23" s="1101"/>
      <c r="I23" s="1101"/>
    </row>
    <row r="24" spans="1:9" s="1585" customFormat="1" ht="19.5" customHeight="1">
      <c r="A24" s="3441"/>
      <c r="B24" s="3441" t="s">
        <v>1449</v>
      </c>
      <c r="C24" s="1127" t="s">
        <v>1459</v>
      </c>
      <c r="D24" s="1128"/>
      <c r="E24" s="1150">
        <v>0.5</v>
      </c>
      <c r="F24" s="1129"/>
      <c r="G24" s="1130"/>
      <c r="H24" s="1101"/>
      <c r="I24" s="1101"/>
    </row>
    <row r="25" spans="1:9" s="1585" customFormat="1" ht="19.5" customHeight="1">
      <c r="A25" s="3441"/>
      <c r="B25" s="3441"/>
      <c r="C25" s="1127" t="s">
        <v>1460</v>
      </c>
      <c r="D25" s="1128"/>
      <c r="E25" s="1150">
        <v>1.1000000000000001</v>
      </c>
      <c r="F25" s="1129"/>
      <c r="G25" s="1130"/>
      <c r="H25" s="1101"/>
      <c r="I25" s="1101"/>
    </row>
    <row r="26" spans="1:9" s="1585" customFormat="1" ht="19.5" customHeight="1">
      <c r="A26" s="3441"/>
      <c r="B26" s="3441"/>
      <c r="C26" s="1127" t="s">
        <v>1461</v>
      </c>
      <c r="D26" s="1128"/>
      <c r="E26" s="1150">
        <v>1.1000000000000001</v>
      </c>
      <c r="F26" s="1129"/>
      <c r="G26" s="1130"/>
      <c r="H26" s="1101"/>
      <c r="I26" s="1101"/>
    </row>
    <row r="27" spans="1:9" s="1585" customFormat="1" ht="19.5" customHeight="1">
      <c r="A27" s="3441"/>
      <c r="B27" s="3441"/>
      <c r="C27" s="1127" t="s">
        <v>1462</v>
      </c>
      <c r="D27" s="1128"/>
      <c r="E27" s="1150">
        <v>0.9</v>
      </c>
      <c r="F27" s="1129" t="s">
        <v>1463</v>
      </c>
      <c r="G27" s="1130"/>
      <c r="H27" s="1101"/>
      <c r="I27" s="1101"/>
    </row>
    <row r="28" spans="1:9" s="1585" customFormat="1" ht="19.5" customHeight="1">
      <c r="A28" s="3441"/>
      <c r="B28" s="3441"/>
      <c r="C28" s="1127" t="s">
        <v>1464</v>
      </c>
      <c r="D28" s="1128"/>
      <c r="E28" s="1150">
        <v>0.9</v>
      </c>
      <c r="F28" s="1129" t="s">
        <v>1465</v>
      </c>
      <c r="G28" s="1130"/>
      <c r="H28" s="1101"/>
      <c r="I28" s="1101"/>
    </row>
    <row r="29" spans="1:9" s="1585" customFormat="1" ht="19.5" customHeight="1">
      <c r="A29" s="3441"/>
      <c r="B29" s="3441"/>
      <c r="C29" s="1127" t="s">
        <v>1466</v>
      </c>
      <c r="D29" s="1128"/>
      <c r="E29" s="1150">
        <v>0.9</v>
      </c>
      <c r="F29" s="1129" t="s">
        <v>1467</v>
      </c>
      <c r="G29" s="1130"/>
      <c r="H29" s="1101"/>
      <c r="I29" s="1101"/>
    </row>
    <row r="30" spans="1:9" s="1585" customFormat="1" ht="19.5" customHeight="1">
      <c r="A30" s="3441"/>
      <c r="B30" s="3441"/>
      <c r="C30" s="1127" t="s">
        <v>1468</v>
      </c>
      <c r="D30" s="1128"/>
      <c r="E30" s="1150">
        <v>0.9</v>
      </c>
      <c r="F30" s="1129" t="s">
        <v>1469</v>
      </c>
      <c r="G30" s="1130"/>
      <c r="H30" s="1101"/>
      <c r="I30" s="1101"/>
    </row>
    <row r="31" spans="1:9" s="1585" customFormat="1" ht="19.5" customHeight="1">
      <c r="A31" s="3441"/>
      <c r="B31" s="3441"/>
      <c r="C31" s="1127" t="s">
        <v>1470</v>
      </c>
      <c r="D31" s="1128"/>
      <c r="E31" s="1150">
        <v>0.8</v>
      </c>
      <c r="F31" s="1129" t="s">
        <v>1471</v>
      </c>
      <c r="G31" s="1130"/>
      <c r="H31" s="1101"/>
      <c r="I31" s="1101"/>
    </row>
    <row r="32" spans="1:9" s="1585" customFormat="1" ht="19.5" customHeight="1">
      <c r="A32" s="3441"/>
      <c r="B32" s="3441"/>
      <c r="C32" s="1127" t="s">
        <v>1472</v>
      </c>
      <c r="D32" s="1128"/>
      <c r="E32" s="1150">
        <v>0.8</v>
      </c>
      <c r="F32" s="1129" t="s">
        <v>1473</v>
      </c>
      <c r="G32" s="1130"/>
      <c r="H32" s="1101"/>
      <c r="I32" s="1101"/>
    </row>
    <row r="33" spans="1:9" s="1585" customFormat="1" ht="19.5" customHeight="1">
      <c r="A33" s="3441" t="s">
        <v>1474</v>
      </c>
      <c r="B33" s="1150" t="s">
        <v>1446</v>
      </c>
      <c r="C33" s="1127" t="s">
        <v>1475</v>
      </c>
      <c r="D33" s="1128"/>
      <c r="E33" s="1150">
        <v>1</v>
      </c>
      <c r="F33" s="1129" t="s">
        <v>1476</v>
      </c>
      <c r="G33" s="1130"/>
      <c r="H33" s="1101"/>
      <c r="I33" s="1101"/>
    </row>
    <row r="34" spans="1:9" s="1585" customFormat="1" ht="19.5" customHeight="1">
      <c r="A34" s="3441"/>
      <c r="B34" s="1150" t="s">
        <v>1449</v>
      </c>
      <c r="C34" s="1127" t="s">
        <v>1477</v>
      </c>
      <c r="D34" s="1128"/>
      <c r="E34" s="1150">
        <v>1.5</v>
      </c>
      <c r="F34" s="1129" t="s">
        <v>1478</v>
      </c>
      <c r="G34" s="1130"/>
      <c r="H34" s="1101"/>
      <c r="I34" s="1101"/>
    </row>
    <row r="35" spans="1:9" s="1585" customFormat="1" ht="19.5" customHeight="1">
      <c r="A35" s="3441" t="s">
        <v>1432</v>
      </c>
      <c r="B35" s="1150" t="s">
        <v>1446</v>
      </c>
      <c r="C35" s="1127" t="s">
        <v>1479</v>
      </c>
      <c r="D35" s="1128"/>
      <c r="E35" s="1150">
        <v>1</v>
      </c>
      <c r="F35" s="1129" t="s">
        <v>1480</v>
      </c>
      <c r="G35" s="1130"/>
      <c r="H35" s="1101"/>
      <c r="I35" s="1101"/>
    </row>
    <row r="36" spans="1:9" s="1585" customFormat="1" ht="19.5" customHeight="1">
      <c r="A36" s="3441"/>
      <c r="B36" s="3441" t="s">
        <v>1449</v>
      </c>
      <c r="C36" s="1127" t="s">
        <v>1481</v>
      </c>
      <c r="D36" s="1128"/>
      <c r="E36" s="1150">
        <v>1</v>
      </c>
      <c r="F36" s="1129" t="s">
        <v>1482</v>
      </c>
      <c r="G36" s="1130"/>
      <c r="H36" s="1101"/>
      <c r="I36" s="1101"/>
    </row>
    <row r="37" spans="1:9" s="1585" customFormat="1" ht="19.5" customHeight="1">
      <c r="A37" s="3441"/>
      <c r="B37" s="3441"/>
      <c r="C37" s="1127" t="s">
        <v>1483</v>
      </c>
      <c r="D37" s="1128"/>
      <c r="E37" s="1150">
        <v>1.5</v>
      </c>
      <c r="F37" s="1129" t="s">
        <v>1484</v>
      </c>
      <c r="G37" s="1130"/>
      <c r="H37" s="1101"/>
      <c r="I37" s="1101"/>
    </row>
    <row r="38" spans="1:9" s="1585" customFormat="1" ht="19.5" customHeight="1">
      <c r="A38" s="3441"/>
      <c r="B38" s="3441"/>
      <c r="C38" s="1127" t="s">
        <v>1485</v>
      </c>
      <c r="D38" s="1128"/>
      <c r="E38" s="1150">
        <v>1</v>
      </c>
      <c r="F38" s="1129" t="s">
        <v>1486</v>
      </c>
      <c r="G38" s="1130"/>
      <c r="H38" s="1101"/>
      <c r="I38" s="1101"/>
    </row>
    <row r="39" spans="1:9" s="1585" customFormat="1" ht="19.5" customHeight="1">
      <c r="A39" s="3441"/>
      <c r="B39" s="344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1" t="s">
        <v>1501</v>
      </c>
      <c r="C61" s="1064" t="s">
        <v>1502</v>
      </c>
      <c r="D61" s="1064" t="s">
        <v>1503</v>
      </c>
      <c r="E61" s="1135">
        <v>0.5</v>
      </c>
      <c r="F61" s="1150">
        <v>80</v>
      </c>
      <c r="H61" s="1101">
        <f>SUMIF(C59:C119,基准地价!C8,E59:E119)</f>
        <v>0</v>
      </c>
    </row>
    <row r="62" spans="1:8" s="1101" customFormat="1" ht="24">
      <c r="A62" s="1150">
        <v>2</v>
      </c>
      <c r="B62" s="3441"/>
      <c r="C62" s="1064" t="s">
        <v>1504</v>
      </c>
      <c r="D62" s="1064" t="s">
        <v>1505</v>
      </c>
      <c r="E62" s="1135">
        <v>0.5</v>
      </c>
      <c r="F62" s="1150">
        <v>80</v>
      </c>
    </row>
    <row r="63" spans="1:8" s="1101" customFormat="1" ht="36">
      <c r="A63" s="1150">
        <v>3</v>
      </c>
      <c r="B63" s="3441"/>
      <c r="C63" s="1064" t="s">
        <v>1506</v>
      </c>
      <c r="D63" s="1064" t="s">
        <v>1507</v>
      </c>
      <c r="E63" s="1135">
        <v>0.5</v>
      </c>
      <c r="F63" s="1150">
        <v>80</v>
      </c>
    </row>
    <row r="64" spans="1:8" s="1101" customFormat="1" ht="36">
      <c r="A64" s="1150">
        <v>4</v>
      </c>
      <c r="B64" s="3441"/>
      <c r="C64" s="1064" t="s">
        <v>1508</v>
      </c>
      <c r="D64" s="1064" t="s">
        <v>1509</v>
      </c>
      <c r="E64" s="1135">
        <v>0.4</v>
      </c>
      <c r="F64" s="1150">
        <v>60</v>
      </c>
    </row>
    <row r="65" spans="1:6" s="1101" customFormat="1" ht="36">
      <c r="A65" s="1150">
        <v>5</v>
      </c>
      <c r="B65" s="3441"/>
      <c r="C65" s="1064" t="s">
        <v>1510</v>
      </c>
      <c r="D65" s="1064" t="s">
        <v>1511</v>
      </c>
      <c r="E65" s="1135">
        <v>0.2</v>
      </c>
      <c r="F65" s="1150">
        <v>30</v>
      </c>
    </row>
    <row r="66" spans="1:6" s="1101" customFormat="1" ht="36">
      <c r="A66" s="1150">
        <v>6</v>
      </c>
      <c r="B66" s="3441"/>
      <c r="C66" s="1064" t="s">
        <v>1512</v>
      </c>
      <c r="D66" s="1064" t="s">
        <v>1513</v>
      </c>
      <c r="E66" s="1135">
        <v>0.3</v>
      </c>
      <c r="F66" s="1150">
        <v>50</v>
      </c>
    </row>
    <row r="67" spans="1:6" s="1101" customFormat="1" ht="36">
      <c r="A67" s="1150">
        <v>7</v>
      </c>
      <c r="B67" s="3441"/>
      <c r="C67" s="1064" t="s">
        <v>1514</v>
      </c>
      <c r="D67" s="1064" t="s">
        <v>1515</v>
      </c>
      <c r="E67" s="1135">
        <v>0.2</v>
      </c>
      <c r="F67" s="1150">
        <v>30</v>
      </c>
    </row>
    <row r="68" spans="1:6" s="1101" customFormat="1" ht="36">
      <c r="A68" s="1150">
        <v>8</v>
      </c>
      <c r="B68" s="3441"/>
      <c r="C68" s="1064" t="s">
        <v>1516</v>
      </c>
      <c r="D68" s="1064" t="s">
        <v>1517</v>
      </c>
      <c r="E68" s="1135">
        <v>0.2</v>
      </c>
      <c r="F68" s="1150">
        <v>30</v>
      </c>
    </row>
    <row r="69" spans="1:6" s="1101" customFormat="1" ht="36">
      <c r="A69" s="1150">
        <v>9</v>
      </c>
      <c r="B69" s="3441"/>
      <c r="C69" s="1064" t="s">
        <v>1518</v>
      </c>
      <c r="D69" s="1064" t="s">
        <v>1519</v>
      </c>
      <c r="E69" s="1135">
        <v>0.2</v>
      </c>
      <c r="F69" s="1150">
        <v>30</v>
      </c>
    </row>
    <row r="70" spans="1:6" s="1101" customFormat="1" ht="48">
      <c r="A70" s="1150">
        <v>10</v>
      </c>
      <c r="B70" s="3441"/>
      <c r="C70" s="1064" t="s">
        <v>1520</v>
      </c>
      <c r="D70" s="1064" t="s">
        <v>1521</v>
      </c>
      <c r="E70" s="1135">
        <v>0.2</v>
      </c>
      <c r="F70" s="1150">
        <v>30</v>
      </c>
    </row>
    <row r="71" spans="1:6" s="1101" customFormat="1" ht="48">
      <c r="A71" s="1150">
        <v>11</v>
      </c>
      <c r="B71" s="3441"/>
      <c r="C71" s="1064" t="s">
        <v>1522</v>
      </c>
      <c r="D71" s="1064" t="s">
        <v>1523</v>
      </c>
      <c r="E71" s="1135">
        <v>0.2</v>
      </c>
      <c r="F71" s="1150">
        <v>30</v>
      </c>
    </row>
    <row r="72" spans="1:6" s="1101" customFormat="1" ht="36">
      <c r="A72" s="1150">
        <v>12</v>
      </c>
      <c r="B72" s="3441"/>
      <c r="C72" s="1064" t="s">
        <v>1524</v>
      </c>
      <c r="D72" s="1064" t="s">
        <v>1525</v>
      </c>
      <c r="E72" s="1135">
        <v>0.5</v>
      </c>
      <c r="F72" s="1150">
        <v>80</v>
      </c>
    </row>
    <row r="73" spans="1:6" s="1101" customFormat="1" ht="24">
      <c r="A73" s="1150">
        <v>13</v>
      </c>
      <c r="B73" s="3441"/>
      <c r="C73" s="1064" t="s">
        <v>1526</v>
      </c>
      <c r="D73" s="1064" t="s">
        <v>1527</v>
      </c>
      <c r="E73" s="1135">
        <v>0.4</v>
      </c>
      <c r="F73" s="1150">
        <v>60</v>
      </c>
    </row>
    <row r="74" spans="1:6" s="1101" customFormat="1" ht="24">
      <c r="A74" s="1150">
        <v>14</v>
      </c>
      <c r="B74" s="3441"/>
      <c r="C74" s="1064" t="s">
        <v>1528</v>
      </c>
      <c r="D74" s="1064" t="s">
        <v>1529</v>
      </c>
      <c r="E74" s="1135">
        <v>0.2</v>
      </c>
      <c r="F74" s="1150">
        <v>30</v>
      </c>
    </row>
    <row r="75" spans="1:6" s="1101" customFormat="1" ht="24">
      <c r="A75" s="1150">
        <v>15</v>
      </c>
      <c r="B75" s="3441"/>
      <c r="C75" s="1064" t="s">
        <v>1530</v>
      </c>
      <c r="D75" s="1064" t="s">
        <v>1531</v>
      </c>
      <c r="E75" s="1135">
        <v>0.2</v>
      </c>
      <c r="F75" s="1150">
        <v>30</v>
      </c>
    </row>
    <row r="76" spans="1:6" s="1101" customFormat="1" ht="24">
      <c r="A76" s="1150">
        <v>16</v>
      </c>
      <c r="B76" s="3441" t="s">
        <v>1532</v>
      </c>
      <c r="C76" s="1064" t="s">
        <v>1533</v>
      </c>
      <c r="D76" s="1064" t="s">
        <v>1534</v>
      </c>
      <c r="E76" s="1135">
        <v>0.5</v>
      </c>
      <c r="F76" s="1150">
        <v>80</v>
      </c>
    </row>
    <row r="77" spans="1:6" s="1101" customFormat="1" ht="24">
      <c r="A77" s="1150">
        <v>17</v>
      </c>
      <c r="B77" s="3441"/>
      <c r="C77" s="1064" t="s">
        <v>1535</v>
      </c>
      <c r="D77" s="1064" t="s">
        <v>1536</v>
      </c>
      <c r="E77" s="1135">
        <v>0.5</v>
      </c>
      <c r="F77" s="1150">
        <v>80</v>
      </c>
    </row>
    <row r="78" spans="1:6" s="1101" customFormat="1" ht="24">
      <c r="A78" s="1150">
        <v>18</v>
      </c>
      <c r="B78" s="3441"/>
      <c r="C78" s="1064" t="s">
        <v>1537</v>
      </c>
      <c r="D78" s="1064" t="s">
        <v>1538</v>
      </c>
      <c r="E78" s="1135">
        <v>0.2</v>
      </c>
      <c r="F78" s="1150">
        <v>30</v>
      </c>
    </row>
    <row r="79" spans="1:6" s="1101" customFormat="1" ht="24">
      <c r="A79" s="1150">
        <v>19</v>
      </c>
      <c r="B79" s="3441"/>
      <c r="C79" s="1064" t="s">
        <v>1539</v>
      </c>
      <c r="D79" s="1064" t="s">
        <v>1540</v>
      </c>
      <c r="E79" s="1135">
        <v>0.5</v>
      </c>
      <c r="F79" s="1150">
        <v>80</v>
      </c>
    </row>
    <row r="80" spans="1:6" s="1101" customFormat="1" ht="36">
      <c r="A80" s="1150">
        <v>20</v>
      </c>
      <c r="B80" s="3441"/>
      <c r="C80" s="1064" t="s">
        <v>1541</v>
      </c>
      <c r="D80" s="1064" t="s">
        <v>1542</v>
      </c>
      <c r="E80" s="1135">
        <v>0.2</v>
      </c>
      <c r="F80" s="1150">
        <v>30</v>
      </c>
    </row>
    <row r="81" spans="1:6" s="1101" customFormat="1" ht="36">
      <c r="A81" s="1150">
        <v>21</v>
      </c>
      <c r="B81" s="3441"/>
      <c r="C81" s="1064" t="s">
        <v>1543</v>
      </c>
      <c r="D81" s="1064" t="s">
        <v>1544</v>
      </c>
      <c r="E81" s="1135">
        <v>0.2</v>
      </c>
      <c r="F81" s="1150">
        <v>30</v>
      </c>
    </row>
    <row r="82" spans="1:6" s="1101" customFormat="1" ht="48">
      <c r="A82" s="1150">
        <v>22</v>
      </c>
      <c r="B82" s="3441"/>
      <c r="C82" s="1064" t="s">
        <v>1545</v>
      </c>
      <c r="D82" s="1064" t="s">
        <v>1546</v>
      </c>
      <c r="E82" s="1135">
        <v>0.2</v>
      </c>
      <c r="F82" s="1150">
        <v>30</v>
      </c>
    </row>
    <row r="83" spans="1:6" s="1101" customFormat="1" ht="48">
      <c r="A83" s="1150">
        <v>23</v>
      </c>
      <c r="B83" s="3441"/>
      <c r="C83" s="1064" t="s">
        <v>1547</v>
      </c>
      <c r="D83" s="1064" t="s">
        <v>1548</v>
      </c>
      <c r="E83" s="1135">
        <v>0.2</v>
      </c>
      <c r="F83" s="1150">
        <v>30</v>
      </c>
    </row>
    <row r="84" spans="1:6" s="1101" customFormat="1" ht="36">
      <c r="A84" s="1150">
        <v>24</v>
      </c>
      <c r="B84" s="3441"/>
      <c r="C84" s="1064" t="s">
        <v>1549</v>
      </c>
      <c r="D84" s="1064" t="s">
        <v>1550</v>
      </c>
      <c r="E84" s="1135">
        <v>0.2</v>
      </c>
      <c r="F84" s="1150">
        <v>30</v>
      </c>
    </row>
    <row r="85" spans="1:6" s="1101" customFormat="1" ht="36">
      <c r="A85" s="1150">
        <v>25</v>
      </c>
      <c r="B85" s="3441"/>
      <c r="C85" s="1064" t="s">
        <v>1551</v>
      </c>
      <c r="D85" s="1064" t="s">
        <v>1552</v>
      </c>
      <c r="E85" s="1135">
        <v>0.5</v>
      </c>
      <c r="F85" s="1150">
        <v>80</v>
      </c>
    </row>
    <row r="86" spans="1:6" s="1101" customFormat="1" ht="36">
      <c r="A86" s="1150">
        <v>26</v>
      </c>
      <c r="B86" s="3441"/>
      <c r="C86" s="1064" t="s">
        <v>1553</v>
      </c>
      <c r="D86" s="1064" t="s">
        <v>1554</v>
      </c>
      <c r="E86" s="1135">
        <v>0.2</v>
      </c>
      <c r="F86" s="1150">
        <v>30</v>
      </c>
    </row>
    <row r="87" spans="1:6" s="1101" customFormat="1" ht="36">
      <c r="A87" s="1150">
        <v>27</v>
      </c>
      <c r="B87" s="3441"/>
      <c r="C87" s="1064" t="s">
        <v>1555</v>
      </c>
      <c r="D87" s="1064" t="s">
        <v>1556</v>
      </c>
      <c r="E87" s="1135">
        <v>0.2</v>
      </c>
      <c r="F87" s="1150">
        <v>30</v>
      </c>
    </row>
    <row r="88" spans="1:6" s="1101" customFormat="1" ht="36">
      <c r="A88" s="1150">
        <v>28</v>
      </c>
      <c r="B88" s="3441"/>
      <c r="C88" s="1064" t="s">
        <v>1557</v>
      </c>
      <c r="D88" s="1064" t="s">
        <v>1558</v>
      </c>
      <c r="E88" s="1135">
        <v>0.2</v>
      </c>
      <c r="F88" s="1150">
        <v>30</v>
      </c>
    </row>
    <row r="89" spans="1:6" s="1101" customFormat="1" ht="24">
      <c r="A89" s="1150">
        <v>29</v>
      </c>
      <c r="B89" s="3441"/>
      <c r="C89" s="1064" t="s">
        <v>1559</v>
      </c>
      <c r="D89" s="1064" t="s">
        <v>1560</v>
      </c>
      <c r="E89" s="1135">
        <v>0.2</v>
      </c>
      <c r="F89" s="1150">
        <v>30</v>
      </c>
    </row>
    <row r="90" spans="1:6" s="1101" customFormat="1" ht="24">
      <c r="A90" s="1150">
        <v>30</v>
      </c>
      <c r="B90" s="3441"/>
      <c r="C90" s="1064" t="s">
        <v>1561</v>
      </c>
      <c r="D90" s="1064" t="s">
        <v>1562</v>
      </c>
      <c r="E90" s="1135">
        <v>0.2</v>
      </c>
      <c r="F90" s="1150">
        <v>30</v>
      </c>
    </row>
    <row r="91" spans="1:6" s="1101" customFormat="1" ht="36">
      <c r="A91" s="1150">
        <v>31</v>
      </c>
      <c r="B91" s="3441"/>
      <c r="C91" s="1064" t="s">
        <v>1563</v>
      </c>
      <c r="D91" s="1064" t="s">
        <v>1564</v>
      </c>
      <c r="E91" s="1135">
        <v>0.2</v>
      </c>
      <c r="F91" s="1150">
        <v>30</v>
      </c>
    </row>
    <row r="92" spans="1:6" s="1101" customFormat="1" ht="24">
      <c r="A92" s="1150">
        <v>32</v>
      </c>
      <c r="B92" s="3441" t="s">
        <v>1565</v>
      </c>
      <c r="C92" s="1150" t="s">
        <v>1566</v>
      </c>
      <c r="D92" s="1064" t="s">
        <v>1567</v>
      </c>
      <c r="E92" s="1135">
        <v>0.2</v>
      </c>
      <c r="F92" s="1150">
        <v>30</v>
      </c>
    </row>
    <row r="93" spans="1:6" s="1101" customFormat="1" ht="36">
      <c r="A93" s="1150">
        <v>33</v>
      </c>
      <c r="B93" s="3441"/>
      <c r="C93" s="1150" t="s">
        <v>1568</v>
      </c>
      <c r="D93" s="1064" t="s">
        <v>1569</v>
      </c>
      <c r="E93" s="1135">
        <v>0.2</v>
      </c>
      <c r="F93" s="1150">
        <v>30</v>
      </c>
    </row>
    <row r="94" spans="1:6" s="1101" customFormat="1" ht="48">
      <c r="A94" s="1150">
        <v>34</v>
      </c>
      <c r="B94" s="3441"/>
      <c r="C94" s="1150" t="s">
        <v>1570</v>
      </c>
      <c r="D94" s="1064" t="s">
        <v>1571</v>
      </c>
      <c r="E94" s="1135">
        <v>0.2</v>
      </c>
      <c r="F94" s="1150">
        <v>30</v>
      </c>
    </row>
    <row r="95" spans="1:6" s="1101" customFormat="1" ht="36">
      <c r="A95" s="1150">
        <v>35</v>
      </c>
      <c r="B95" s="3441"/>
      <c r="C95" s="1150" t="s">
        <v>1572</v>
      </c>
      <c r="D95" s="1064" t="s">
        <v>1573</v>
      </c>
      <c r="E95" s="1135">
        <v>0.2</v>
      </c>
      <c r="F95" s="1150">
        <v>30</v>
      </c>
    </row>
    <row r="96" spans="1:6" s="1101" customFormat="1" ht="48">
      <c r="A96" s="1150">
        <v>36</v>
      </c>
      <c r="B96" s="3441"/>
      <c r="C96" s="1064" t="s">
        <v>1574</v>
      </c>
      <c r="D96" s="1064" t="s">
        <v>1575</v>
      </c>
      <c r="E96" s="1135">
        <v>0.2</v>
      </c>
      <c r="F96" s="1150">
        <v>30</v>
      </c>
    </row>
    <row r="97" spans="1:6" s="1101" customFormat="1" ht="36">
      <c r="A97" s="1150">
        <v>37</v>
      </c>
      <c r="B97" s="3441"/>
      <c r="C97" s="1150" t="s">
        <v>1576</v>
      </c>
      <c r="D97" s="1064" t="s">
        <v>1577</v>
      </c>
      <c r="E97" s="1135">
        <v>0.2</v>
      </c>
      <c r="F97" s="1150">
        <v>30</v>
      </c>
    </row>
    <row r="98" spans="1:6" s="1101" customFormat="1" ht="36">
      <c r="A98" s="1150">
        <v>38</v>
      </c>
      <c r="B98" s="3441"/>
      <c r="C98" s="1150" t="s">
        <v>1578</v>
      </c>
      <c r="D98" s="1064" t="s">
        <v>1579</v>
      </c>
      <c r="E98" s="1135">
        <v>0.2</v>
      </c>
      <c r="F98" s="1150">
        <v>30</v>
      </c>
    </row>
    <row r="99" spans="1:6" s="1101" customFormat="1" ht="36">
      <c r="A99" s="1150">
        <v>39</v>
      </c>
      <c r="B99" s="3441" t="s">
        <v>1580</v>
      </c>
      <c r="C99" s="1150" t="s">
        <v>1581</v>
      </c>
      <c r="D99" s="1064" t="s">
        <v>1582</v>
      </c>
      <c r="E99" s="1135">
        <v>0.3</v>
      </c>
      <c r="F99" s="1150">
        <v>50</v>
      </c>
    </row>
    <row r="100" spans="1:6" s="1101" customFormat="1" ht="24">
      <c r="A100" s="1150">
        <v>40</v>
      </c>
      <c r="B100" s="3441"/>
      <c r="C100" s="1150" t="s">
        <v>1583</v>
      </c>
      <c r="D100" s="1064" t="s">
        <v>1584</v>
      </c>
      <c r="E100" s="1135">
        <v>0.2</v>
      </c>
      <c r="F100" s="1150">
        <v>30</v>
      </c>
    </row>
    <row r="101" spans="1:6" s="1101" customFormat="1" ht="36">
      <c r="A101" s="1150">
        <v>41</v>
      </c>
      <c r="B101" s="344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1" t="s">
        <v>1595</v>
      </c>
      <c r="C105" s="1150" t="s">
        <v>1596</v>
      </c>
      <c r="D105" s="1064" t="s">
        <v>1597</v>
      </c>
      <c r="E105" s="1135">
        <v>0.2</v>
      </c>
      <c r="F105" s="1150">
        <v>30</v>
      </c>
    </row>
    <row r="106" spans="1:6" s="1101" customFormat="1" ht="36">
      <c r="A106" s="1150">
        <v>46</v>
      </c>
      <c r="B106" s="3441"/>
      <c r="C106" s="1150" t="s">
        <v>1598</v>
      </c>
      <c r="D106" s="1064" t="s">
        <v>1599</v>
      </c>
      <c r="E106" s="1135">
        <v>0.2</v>
      </c>
      <c r="F106" s="1150">
        <v>30</v>
      </c>
    </row>
    <row r="107" spans="1:6" s="1101" customFormat="1" ht="36">
      <c r="A107" s="1150">
        <v>47</v>
      </c>
      <c r="B107" s="3441" t="s">
        <v>1600</v>
      </c>
      <c r="C107" s="1150" t="s">
        <v>1601</v>
      </c>
      <c r="D107" s="1064" t="s">
        <v>1602</v>
      </c>
      <c r="E107" s="1135">
        <v>0.3</v>
      </c>
      <c r="F107" s="1150">
        <v>50</v>
      </c>
    </row>
    <row r="108" spans="1:6" s="1101" customFormat="1" ht="36">
      <c r="A108" s="1150">
        <v>48</v>
      </c>
      <c r="B108" s="344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1" t="s">
        <v>1611</v>
      </c>
      <c r="C111" s="1150" t="s">
        <v>1612</v>
      </c>
      <c r="D111" s="1064" t="s">
        <v>1613</v>
      </c>
      <c r="E111" s="1135">
        <v>0.2</v>
      </c>
      <c r="F111" s="1150">
        <v>30</v>
      </c>
    </row>
    <row r="112" spans="1:6" s="1101" customFormat="1" ht="24">
      <c r="A112" s="1150">
        <v>52</v>
      </c>
      <c r="B112" s="3441"/>
      <c r="C112" s="1150" t="s">
        <v>1614</v>
      </c>
      <c r="D112" s="1064" t="s">
        <v>1615</v>
      </c>
      <c r="E112" s="1135">
        <v>0.2</v>
      </c>
      <c r="F112" s="1150">
        <v>30</v>
      </c>
    </row>
    <row r="113" spans="1:14" s="1101" customFormat="1" ht="24">
      <c r="A113" s="1150">
        <v>53</v>
      </c>
      <c r="B113" s="344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1" t="s">
        <v>1624</v>
      </c>
      <c r="C116" s="1150" t="s">
        <v>1625</v>
      </c>
      <c r="D116" s="1064" t="s">
        <v>1626</v>
      </c>
      <c r="E116" s="1135">
        <v>0.2</v>
      </c>
      <c r="F116" s="1150">
        <v>30</v>
      </c>
    </row>
    <row r="117" spans="1:14" ht="36">
      <c r="A117" s="1150">
        <v>57</v>
      </c>
      <c r="B117" s="344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0" t="s">
        <v>1633</v>
      </c>
      <c r="B121" s="3440"/>
      <c r="C121" s="3440"/>
      <c r="D121" s="3440"/>
      <c r="E121" s="3440"/>
      <c r="F121" s="3440"/>
      <c r="G121" s="3440"/>
      <c r="H121" s="3440"/>
      <c r="I121" s="3440"/>
      <c r="J121" s="344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5" t="s">
        <v>1039</v>
      </c>
      <c r="B1" s="3455"/>
      <c r="C1" s="3455"/>
      <c r="D1" s="3455"/>
      <c r="E1" s="3455"/>
      <c r="F1" s="345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6" t="s">
        <v>1052</v>
      </c>
      <c r="B2" s="3456"/>
      <c r="C2" s="3456"/>
      <c r="D2" s="3456"/>
      <c r="E2" s="3456"/>
      <c r="F2" s="345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9" t="s">
        <v>2077</v>
      </c>
      <c r="B1" s="3459"/>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2" t="s">
        <v>2573</v>
      </c>
      <c r="C1" s="3462"/>
      <c r="D1" s="3462"/>
      <c r="E1" s="3462"/>
      <c r="F1" s="3462"/>
      <c r="G1" s="3461" t="s">
        <v>2574</v>
      </c>
      <c r="H1" s="3461"/>
      <c r="I1" s="3461"/>
      <c r="J1" s="3461"/>
      <c r="K1" s="3461"/>
      <c r="L1" s="3461"/>
      <c r="N1" s="3461" t="s">
        <v>2575</v>
      </c>
      <c r="O1" s="3461"/>
      <c r="P1" s="3461"/>
      <c r="Q1" s="3461"/>
      <c r="R1" s="2619"/>
      <c r="S1" s="3461" t="s">
        <v>2576</v>
      </c>
      <c r="T1" s="3461"/>
      <c r="U1" s="3461"/>
      <c r="V1" s="3461"/>
      <c r="X1" s="3460" t="s">
        <v>2636</v>
      </c>
      <c r="Y1" s="3461"/>
      <c r="Z1" s="3461"/>
      <c r="AA1" s="3461"/>
      <c r="AB1" s="3461"/>
      <c r="AD1" s="3460" t="s">
        <v>2640</v>
      </c>
      <c r="AE1" s="3461"/>
      <c r="AF1" s="3461"/>
      <c r="AG1" s="3461"/>
      <c r="AH1" s="3461"/>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64">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64"/>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64"/>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70"/>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69">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64"/>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64"/>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70"/>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69">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64"/>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64"/>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65"/>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63">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64"/>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64"/>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65"/>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63">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64"/>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64"/>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65"/>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6">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7"/>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7"/>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8"/>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63">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64"/>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64"/>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65"/>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63">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64">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64">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65">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63">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64">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64">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65">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63">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64">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64">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65">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63">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64">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64">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65">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63">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64">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64">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65">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63">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64">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64">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65">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63">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64">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64">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65">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63">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64">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64">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65">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63">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64">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64">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65">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63">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64">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64">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65">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-3</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72" t="s">
        <v>2461</v>
      </c>
      <c r="C8" s="1811">
        <f ca="1">ROUND(F8*F10*F9*(1-F11)/10000,0)</f>
        <v>0</v>
      </c>
      <c r="D8" s="1808" t="s">
        <v>2532</v>
      </c>
      <c r="E8" s="61" t="s">
        <v>637</v>
      </c>
      <c r="F8" s="785">
        <f ca="1">INDIRECT("'数据-取费表'!u"&amp;$G$1)</f>
        <v>0</v>
      </c>
      <c r="G8" s="1579"/>
      <c r="H8" s="2469" t="s">
        <v>1824</v>
      </c>
      <c r="I8" s="3472" t="s">
        <v>2461</v>
      </c>
      <c r="J8" s="783">
        <f ca="1">ROUND(M8*M10*M9*(1-M11)/10000,0)</f>
        <v>0</v>
      </c>
      <c r="K8" s="341" t="s">
        <v>2532</v>
      </c>
      <c r="L8" s="784" t="s">
        <v>1738</v>
      </c>
      <c r="M8" s="785">
        <f ca="1">INDIRECT("'数据-取费表'!z"&amp;$G$1)</f>
        <v>0</v>
      </c>
    </row>
    <row r="9" spans="1:25" ht="18" customHeight="1">
      <c r="A9" s="2465"/>
      <c r="B9" s="3473"/>
      <c r="C9" s="1812"/>
      <c r="D9" s="1809"/>
      <c r="E9" s="61" t="s">
        <v>638</v>
      </c>
      <c r="F9" s="785">
        <f ca="1">IF(INDIRECT("'数据-取费表'!ah"&amp;$G$1)="",INDIRECT("'数据-取费表'!k"&amp;$G$1),INDIRECT("'数据-取费表'!ah"&amp;$G$1))</f>
        <v>0</v>
      </c>
      <c r="G9" s="1579"/>
      <c r="H9" s="2454"/>
      <c r="I9" s="3473"/>
      <c r="J9" s="788"/>
      <c r="K9" s="789"/>
      <c r="L9" s="784" t="s">
        <v>1739</v>
      </c>
      <c r="M9" s="785">
        <f ca="1">F9</f>
        <v>0</v>
      </c>
    </row>
    <row r="10" spans="1:25" ht="18" customHeight="1">
      <c r="A10" s="2458"/>
      <c r="B10" s="3474"/>
      <c r="C10" s="1812"/>
      <c r="D10" s="1809"/>
      <c r="E10" s="61" t="s">
        <v>639</v>
      </c>
      <c r="F10" s="785">
        <f ca="1">INDIRECT("'数据-取费表'!ai"&amp;$G$1)</f>
        <v>0</v>
      </c>
      <c r="G10" s="1579"/>
      <c r="H10" s="2454"/>
      <c r="I10" s="3474"/>
      <c r="J10" s="788"/>
      <c r="K10" s="789"/>
      <c r="L10" s="784" t="s">
        <v>1740</v>
      </c>
      <c r="M10" s="785">
        <f ca="1">INDIRECT("'数据-取费表'!ai"&amp;$G$1)</f>
        <v>0</v>
      </c>
    </row>
    <row r="11" spans="1:25" ht="18" customHeight="1">
      <c r="A11" s="786"/>
      <c r="B11" s="3475"/>
      <c r="C11" s="1812"/>
      <c r="D11" s="1809"/>
      <c r="E11" s="61" t="s">
        <v>640</v>
      </c>
      <c r="F11" s="794">
        <f ca="1">INDIRECT("'数据-取费表'!w"&amp;$G$1)</f>
        <v>0</v>
      </c>
      <c r="G11" s="1579"/>
      <c r="H11" s="2470"/>
      <c r="I11" s="3474"/>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71"/>
      <c r="J36" s="2065"/>
      <c r="K36" s="2066"/>
      <c r="L36" s="2065"/>
      <c r="M36" s="2065"/>
    </row>
    <row r="37" spans="1:18" ht="18" customHeight="1">
      <c r="A37" s="815"/>
      <c r="B37" s="793"/>
      <c r="C37" s="69"/>
      <c r="D37" s="816"/>
      <c r="E37" s="784" t="s">
        <v>674</v>
      </c>
      <c r="F37" s="785">
        <f ca="1">INDIRECT("'数据-取费表'!r"&amp;$G$1)</f>
        <v>0</v>
      </c>
      <c r="G37" s="2048"/>
      <c r="H37" s="2051"/>
      <c r="I37" s="3471"/>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-3</v>
      </c>
      <c r="K54" s="3476"/>
      <c r="L54" s="3477"/>
      <c r="O54" s="2366" t="s">
        <v>2386</v>
      </c>
      <c r="P54" s="2364" t="s">
        <v>2387</v>
      </c>
      <c r="Q54" s="2365">
        <f ca="1">J54</f>
        <v>-3</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topLeftCell="A13" workbookViewId="0">
      <selection activeCell="A21" sqref="A21:M36"/>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row r="21" spans="1:12">
      <c r="A21" s="3212" t="s">
        <v>3019</v>
      </c>
      <c r="B21" s="3212" t="s">
        <v>3021</v>
      </c>
      <c r="C21" s="3212" t="s">
        <v>3022</v>
      </c>
      <c r="D21" s="3212" t="s">
        <v>3023</v>
      </c>
      <c r="E21" s="3212" t="s">
        <v>2030</v>
      </c>
      <c r="F21" s="3212" t="s">
        <v>3024</v>
      </c>
      <c r="G21" s="3212" t="s">
        <v>3025</v>
      </c>
      <c r="H21" s="3212" t="s">
        <v>3026</v>
      </c>
      <c r="I21" s="3212" t="s">
        <v>3027</v>
      </c>
      <c r="J21" s="3212" t="s">
        <v>3028</v>
      </c>
      <c r="K21" s="3212" t="s">
        <v>3029</v>
      </c>
      <c r="L21" s="3212" t="s">
        <v>3030</v>
      </c>
    </row>
    <row r="22" spans="1:12">
      <c r="A22" s="3212" t="s">
        <v>3093</v>
      </c>
      <c r="B22" s="3212" t="s">
        <v>3032</v>
      </c>
      <c r="C22" s="3212">
        <v>138746.29999999999</v>
      </c>
      <c r="D22" s="3212">
        <v>486596</v>
      </c>
      <c r="E22" s="3212">
        <v>3.51</v>
      </c>
      <c r="F22" s="3212" t="s">
        <v>3033</v>
      </c>
      <c r="G22" s="3212" t="s">
        <v>3094</v>
      </c>
      <c r="H22" s="3212">
        <v>866300</v>
      </c>
      <c r="I22" s="3212">
        <v>866300</v>
      </c>
      <c r="J22" s="3212">
        <v>17803.27</v>
      </c>
      <c r="K22" s="3212">
        <v>0</v>
      </c>
      <c r="L22" s="3212" t="s">
        <v>3095</v>
      </c>
    </row>
    <row r="23" spans="1:12">
      <c r="A23" s="3212" t="s">
        <v>3031</v>
      </c>
      <c r="B23" s="3212" t="s">
        <v>3032</v>
      </c>
      <c r="C23" s="3212">
        <v>35230.230000000003</v>
      </c>
      <c r="D23" s="3212">
        <v>88076</v>
      </c>
      <c r="E23" s="3212">
        <v>2.5</v>
      </c>
      <c r="F23" s="3212" t="s">
        <v>3033</v>
      </c>
      <c r="G23" s="3212" t="s">
        <v>3034</v>
      </c>
      <c r="H23" s="3212">
        <v>62000</v>
      </c>
      <c r="I23" s="3212">
        <v>62000</v>
      </c>
      <c r="J23" s="3212">
        <v>7039.38</v>
      </c>
      <c r="K23" s="3212">
        <v>0</v>
      </c>
      <c r="L23" s="3212" t="s">
        <v>3035</v>
      </c>
    </row>
    <row r="24" spans="1:12">
      <c r="A24" s="3213" t="s">
        <v>3096</v>
      </c>
      <c r="B24" s="3213" t="s">
        <v>3032</v>
      </c>
      <c r="C24" s="3213">
        <v>39744.120000000003</v>
      </c>
      <c r="D24" s="3213">
        <v>119232</v>
      </c>
      <c r="E24" s="3213">
        <v>3</v>
      </c>
      <c r="F24" s="3213" t="s">
        <v>3033</v>
      </c>
      <c r="G24" s="3213" t="s">
        <v>3097</v>
      </c>
      <c r="H24" s="3213">
        <v>227000</v>
      </c>
      <c r="I24" s="3213">
        <v>292000</v>
      </c>
      <c r="J24" s="3213">
        <v>24490.06</v>
      </c>
      <c r="K24" s="3213">
        <v>28.63</v>
      </c>
      <c r="L24" s="3213" t="s">
        <v>3098</v>
      </c>
    </row>
    <row r="25" spans="1:12">
      <c r="A25" s="3212" t="s">
        <v>3099</v>
      </c>
      <c r="B25" s="3212" t="s">
        <v>3032</v>
      </c>
      <c r="C25" s="3212">
        <v>92055.95</v>
      </c>
      <c r="D25" s="3212">
        <v>92056</v>
      </c>
      <c r="E25" s="3212">
        <v>1</v>
      </c>
      <c r="F25" s="3212" t="s">
        <v>3043</v>
      </c>
      <c r="G25" s="3212" t="s">
        <v>3100</v>
      </c>
      <c r="H25" s="3212" t="s">
        <v>2815</v>
      </c>
      <c r="I25" s="3212">
        <v>285373.59000000003</v>
      </c>
      <c r="J25" s="3212">
        <v>31000</v>
      </c>
      <c r="K25" s="3212" t="s">
        <v>2815</v>
      </c>
      <c r="L25" s="3212" t="s">
        <v>3101</v>
      </c>
    </row>
    <row r="26" spans="1:12">
      <c r="A26" s="3213" t="s">
        <v>3102</v>
      </c>
      <c r="B26" s="3213" t="s">
        <v>3032</v>
      </c>
      <c r="C26" s="3213">
        <v>46165.91</v>
      </c>
      <c r="D26" s="3213">
        <v>92332</v>
      </c>
      <c r="E26" s="3213">
        <v>2</v>
      </c>
      <c r="F26" s="3213" t="s">
        <v>3033</v>
      </c>
      <c r="G26" s="3213" t="s">
        <v>3103</v>
      </c>
      <c r="H26" s="3213">
        <v>176000</v>
      </c>
      <c r="I26" s="3213">
        <v>225000</v>
      </c>
      <c r="J26" s="3213">
        <v>24368.58</v>
      </c>
      <c r="K26" s="3213">
        <v>27.84</v>
      </c>
      <c r="L26" s="3213" t="s">
        <v>3104</v>
      </c>
    </row>
    <row r="27" spans="1:12">
      <c r="A27" s="3213" t="s">
        <v>3105</v>
      </c>
      <c r="B27" s="3213" t="s">
        <v>3032</v>
      </c>
      <c r="C27" s="3213">
        <v>38100</v>
      </c>
      <c r="D27" s="3213">
        <v>76200</v>
      </c>
      <c r="E27" s="3213">
        <v>2</v>
      </c>
      <c r="F27" s="3213" t="s">
        <v>3033</v>
      </c>
      <c r="G27" s="3213" t="s">
        <v>3103</v>
      </c>
      <c r="H27" s="3213">
        <v>145000</v>
      </c>
      <c r="I27" s="3213">
        <v>204000</v>
      </c>
      <c r="J27" s="3213">
        <v>26771.65</v>
      </c>
      <c r="K27" s="3213">
        <v>40.69</v>
      </c>
      <c r="L27" s="3213" t="s">
        <v>3106</v>
      </c>
    </row>
    <row r="28" spans="1:12">
      <c r="A28" s="3212" t="s">
        <v>3036</v>
      </c>
      <c r="B28" s="3212" t="s">
        <v>3032</v>
      </c>
      <c r="C28" s="3212">
        <v>2070793</v>
      </c>
      <c r="D28" s="3212">
        <v>1642730</v>
      </c>
      <c r="E28" s="3212">
        <v>0.79</v>
      </c>
      <c r="F28" s="3212" t="s">
        <v>3033</v>
      </c>
      <c r="G28" s="3212" t="s">
        <v>3037</v>
      </c>
      <c r="H28" s="3212">
        <v>870000</v>
      </c>
      <c r="I28" s="3212">
        <v>870000</v>
      </c>
      <c r="J28" s="3212">
        <v>5296.06</v>
      </c>
      <c r="K28" s="3212">
        <v>0</v>
      </c>
      <c r="L28" s="3212" t="s">
        <v>3038</v>
      </c>
    </row>
    <row r="29" spans="1:12">
      <c r="A29" s="3212" t="s">
        <v>3107</v>
      </c>
      <c r="B29" s="3212" t="s">
        <v>3032</v>
      </c>
      <c r="C29" s="3212">
        <v>18313.7</v>
      </c>
      <c r="D29" s="3212">
        <v>119400</v>
      </c>
      <c r="E29" s="3212">
        <v>6.52</v>
      </c>
      <c r="F29" s="3212" t="s">
        <v>3043</v>
      </c>
      <c r="G29" s="3212" t="s">
        <v>3108</v>
      </c>
      <c r="H29" s="3212" t="s">
        <v>2815</v>
      </c>
      <c r="I29" s="3212">
        <v>415000</v>
      </c>
      <c r="J29" s="3212">
        <v>34757.120000000003</v>
      </c>
      <c r="K29" s="3212" t="s">
        <v>2815</v>
      </c>
      <c r="L29" s="3212" t="s">
        <v>3109</v>
      </c>
    </row>
    <row r="30" spans="1:12">
      <c r="A30" s="3212" t="s">
        <v>3110</v>
      </c>
      <c r="B30" s="3212" t="s">
        <v>3032</v>
      </c>
      <c r="C30" s="3212">
        <v>166012.29999999999</v>
      </c>
      <c r="D30" s="3212">
        <v>332025</v>
      </c>
      <c r="E30" s="3212">
        <v>2</v>
      </c>
      <c r="F30" s="3212" t="s">
        <v>3033</v>
      </c>
      <c r="G30" s="3212" t="s">
        <v>3111</v>
      </c>
      <c r="H30" s="3212">
        <v>240045</v>
      </c>
      <c r="I30" s="3212">
        <v>240045</v>
      </c>
      <c r="J30" s="3212">
        <v>7229.72</v>
      </c>
      <c r="K30" s="3212">
        <v>0</v>
      </c>
      <c r="L30" s="3212" t="s">
        <v>3112</v>
      </c>
    </row>
    <row r="31" spans="1:12">
      <c r="A31" s="3212" t="s">
        <v>3039</v>
      </c>
      <c r="B31" s="3212" t="s">
        <v>3032</v>
      </c>
      <c r="C31" s="3212">
        <v>65873.39</v>
      </c>
      <c r="D31" s="3212">
        <v>164683</v>
      </c>
      <c r="E31" s="3212">
        <v>2.5</v>
      </c>
      <c r="F31" s="3212" t="s">
        <v>3033</v>
      </c>
      <c r="G31" s="3212" t="s">
        <v>3040</v>
      </c>
      <c r="H31" s="3212">
        <v>78000</v>
      </c>
      <c r="I31" s="3212">
        <v>108000</v>
      </c>
      <c r="J31" s="3212">
        <v>6558.05</v>
      </c>
      <c r="K31" s="3212">
        <v>38.46</v>
      </c>
      <c r="L31" s="3212" t="s">
        <v>3041</v>
      </c>
    </row>
    <row r="32" spans="1:12">
      <c r="A32" s="3212" t="s">
        <v>3113</v>
      </c>
      <c r="B32" s="3212" t="s">
        <v>3032</v>
      </c>
      <c r="C32" s="3212">
        <v>9542.5300000000007</v>
      </c>
      <c r="D32" s="3212">
        <v>36580</v>
      </c>
      <c r="E32" s="3212">
        <v>3.83</v>
      </c>
      <c r="F32" s="3212" t="s">
        <v>3033</v>
      </c>
      <c r="G32" s="3212" t="s">
        <v>3114</v>
      </c>
      <c r="H32" s="3212">
        <v>120000</v>
      </c>
      <c r="I32" s="3212">
        <v>169500</v>
      </c>
      <c r="J32" s="3212">
        <v>46336.800000000003</v>
      </c>
      <c r="K32" s="3212">
        <v>41.25</v>
      </c>
      <c r="L32" s="3212" t="s">
        <v>3115</v>
      </c>
    </row>
    <row r="33" spans="1:12">
      <c r="A33" s="3212" t="s">
        <v>3042</v>
      </c>
      <c r="B33" s="3212" t="s">
        <v>3032</v>
      </c>
      <c r="C33" s="3212">
        <v>47100</v>
      </c>
      <c r="D33" s="3212">
        <v>450000</v>
      </c>
      <c r="E33" s="3212">
        <v>9.5500000000000007</v>
      </c>
      <c r="F33" s="3212" t="s">
        <v>3043</v>
      </c>
      <c r="G33" s="3212" t="s">
        <v>3044</v>
      </c>
      <c r="H33" s="3212" t="s">
        <v>2815</v>
      </c>
      <c r="I33" s="3212">
        <v>503990</v>
      </c>
      <c r="J33" s="3212">
        <v>11199.78</v>
      </c>
      <c r="K33" s="3212" t="s">
        <v>2815</v>
      </c>
      <c r="L33" s="3212" t="s">
        <v>3045</v>
      </c>
    </row>
    <row r="34" spans="1:12">
      <c r="A34" s="3212" t="s">
        <v>3046</v>
      </c>
      <c r="B34" s="3212" t="s">
        <v>3032</v>
      </c>
      <c r="C34" s="3212">
        <v>37656</v>
      </c>
      <c r="D34" s="3212">
        <v>131600</v>
      </c>
      <c r="E34" s="3212">
        <v>3.49</v>
      </c>
      <c r="F34" s="3212" t="s">
        <v>3043</v>
      </c>
      <c r="G34" s="3212" t="s">
        <v>3047</v>
      </c>
      <c r="H34" s="3212" t="s">
        <v>2815</v>
      </c>
      <c r="I34" s="3212">
        <v>151603.20000000001</v>
      </c>
      <c r="J34" s="3212">
        <v>11520</v>
      </c>
      <c r="K34" s="3212" t="s">
        <v>2815</v>
      </c>
      <c r="L34" s="3212" t="s">
        <v>3048</v>
      </c>
    </row>
    <row r="35" spans="1:12">
      <c r="A35" s="3212" t="s">
        <v>3049</v>
      </c>
      <c r="B35" s="3212" t="s">
        <v>3032</v>
      </c>
      <c r="C35" s="3212">
        <v>14124.26</v>
      </c>
      <c r="D35" s="3212">
        <v>119961</v>
      </c>
      <c r="E35" s="3212">
        <v>8.49</v>
      </c>
      <c r="F35" s="3212" t="s">
        <v>3043</v>
      </c>
      <c r="G35" s="3212" t="s">
        <v>3047</v>
      </c>
      <c r="H35" s="3212" t="s">
        <v>2815</v>
      </c>
      <c r="I35" s="3212">
        <v>135700</v>
      </c>
      <c r="J35" s="3212">
        <v>11312.01</v>
      </c>
      <c r="K35" s="3212" t="s">
        <v>2815</v>
      </c>
      <c r="L35" s="3212" t="s">
        <v>3050</v>
      </c>
    </row>
    <row r="36" spans="1:12">
      <c r="A36" s="3212" t="s">
        <v>3051</v>
      </c>
      <c r="B36" s="3212" t="s">
        <v>3032</v>
      </c>
      <c r="C36" s="3212">
        <v>39645</v>
      </c>
      <c r="D36" s="3212">
        <v>189500</v>
      </c>
      <c r="E36" s="3212">
        <v>4.78</v>
      </c>
      <c r="F36" s="3212" t="s">
        <v>3043</v>
      </c>
      <c r="G36" s="3212" t="s">
        <v>3047</v>
      </c>
      <c r="H36" s="3212" t="s">
        <v>2815</v>
      </c>
      <c r="I36" s="3212">
        <v>218304</v>
      </c>
      <c r="J36" s="3212">
        <v>11520</v>
      </c>
      <c r="K36" s="3212" t="s">
        <v>2815</v>
      </c>
      <c r="L36" s="3212" t="s">
        <v>3052</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B28" sqref="B2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127645</v>
      </c>
      <c r="C2" s="2090"/>
      <c r="D2" s="2090"/>
      <c r="E2" s="2090"/>
      <c r="F2" s="2090"/>
      <c r="G2" s="2090"/>
      <c r="H2" s="2090"/>
      <c r="I2" s="2090"/>
      <c r="J2" s="2090"/>
      <c r="K2" s="2090"/>
    </row>
    <row r="3" spans="1:31" s="2027" customFormat="1" ht="18" customHeight="1">
      <c r="A3" s="2092" t="s">
        <v>1684</v>
      </c>
      <c r="B3" s="2093">
        <f ca="1">ROUND(B2*10000/IF(B1="",'数据-汇总表'!E3,INDIRECT("'数据-取费表'!K"&amp;$K$1)),0)</f>
        <v>8635</v>
      </c>
      <c r="C3" s="2090"/>
      <c r="D3" s="2090"/>
      <c r="E3" s="2090"/>
      <c r="F3" s="2090"/>
      <c r="G3" s="2090"/>
      <c r="H3" s="2090"/>
      <c r="I3" s="2090"/>
      <c r="J3" s="2090"/>
      <c r="K3" s="2090"/>
    </row>
    <row r="4" spans="1:31" s="2027" customFormat="1" ht="18" customHeight="1">
      <c r="A4" s="426" t="s">
        <v>468</v>
      </c>
      <c r="B4" s="427">
        <f ca="1">ROUND(B2*10000/IF(B1="",'数据-汇总表'!D3,INDIRECT("'数据-取费表'!R"&amp;$K$1)),0)</f>
        <v>81189</v>
      </c>
      <c r="C4" s="428"/>
      <c r="D4" s="422"/>
      <c r="E4" s="422"/>
      <c r="F4" s="422"/>
      <c r="G4" s="422"/>
      <c r="H4" s="422"/>
      <c r="I4" s="422"/>
      <c r="J4" s="422"/>
      <c r="K4" s="422"/>
    </row>
    <row r="5" spans="1:31" s="2027" customFormat="1" ht="18" customHeight="1" thickBot="1">
      <c r="A5" s="429"/>
      <c r="B5" s="430">
        <f ca="1">ROUND(B2/(IF(B1="",'数据-汇总表'!D3,INDIRECT("'数据-取费表'!R"&amp;$K$1))/666.67),0)</f>
        <v>5413</v>
      </c>
      <c r="C5" s="431" t="s">
        <v>469</v>
      </c>
      <c r="D5" s="422"/>
      <c r="E5" s="422"/>
      <c r="F5" s="422"/>
      <c r="G5" s="422"/>
      <c r="H5" s="422"/>
      <c r="I5" s="422"/>
      <c r="J5" s="422"/>
      <c r="K5" s="422"/>
    </row>
    <row r="6" spans="1:31" s="2097" customFormat="1" ht="16.5" customHeight="1">
      <c r="A6" s="2784" t="s">
        <v>1842</v>
      </c>
      <c r="B6" s="2785"/>
      <c r="C6" s="2786">
        <f ca="1">SUM(C10:K10)</f>
        <v>266723</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22349</v>
      </c>
      <c r="D8" s="2790">
        <f ca="1">'不动产收益法-商业'!B3</f>
        <v>22891</v>
      </c>
      <c r="E8" s="2790">
        <f ca="1">'不动产收益法-车库'!B3</f>
        <v>1108</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50449.86</v>
      </c>
      <c r="D9" s="441">
        <f>SUMIF('数据-汇总表'!$C19:$C33,'剩余法-待开发'!D7,'数据-汇总表'!$E19:$E33)</f>
        <v>65968.61</v>
      </c>
      <c r="E9" s="441">
        <f>SUMIF('数据-汇总表'!$C19:$C33,'剩余法-待开发'!E7,'数据-汇总表'!$E19:$E33)</f>
        <v>26749.200000000001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112751</v>
      </c>
      <c r="D10" s="2982">
        <f ca="1">'不动产收益法-商业'!B2</f>
        <v>151008</v>
      </c>
      <c r="E10" s="2982">
        <f ca="1">'不动产收益法-车库'!B2</f>
        <v>2964</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58277</v>
      </c>
      <c r="D13" s="2800"/>
      <c r="E13" s="2801"/>
      <c r="F13" s="2802"/>
      <c r="G13" s="2768"/>
      <c r="H13" s="2769"/>
      <c r="I13" s="2769"/>
      <c r="J13" s="2769"/>
      <c r="K13" s="2770"/>
    </row>
    <row r="14" spans="1:31" s="2102" customFormat="1" ht="13.5" customHeight="1">
      <c r="A14" s="2798" t="s">
        <v>1849</v>
      </c>
      <c r="B14" s="2799" t="s">
        <v>480</v>
      </c>
      <c r="C14" s="53">
        <f ca="1">ROUND(C13*F14,0)</f>
        <v>1748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2956</v>
      </c>
      <c r="D16" s="2800">
        <f ca="1">IF(B1="",'数据-汇总表'!E3,INDIRECT("'数据-取费表'!K"&amp;$K$1)+INDIRECT("'数据-取费表'!S"&amp;$K$1))</f>
        <v>147819.42000000001</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874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63855</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147819.42000000001</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t="s">
        <v>3092</v>
      </c>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2956</v>
      </c>
      <c r="D22" s="2800">
        <f ca="1">IF(B1="",'数据-汇总表'!E6,IF(INDIRECT("'数据-取费表'!c"&amp;$K$1)="住宅",INDIRECT("'数据-取费表'!s"&amp;$K$1),INDIRECT("'数据-取费表'!k"&amp;$K$1)+INDIRECT("'数据-取费表'!s"&amp;$K$1)))</f>
        <v>147819.42000000001</v>
      </c>
      <c r="E22" s="53">
        <f>'数据-取费表'!B28</f>
        <v>200</v>
      </c>
      <c r="F22" s="2803"/>
      <c r="G22" s="26"/>
      <c r="H22" s="51"/>
      <c r="I22" s="51"/>
      <c r="J22" s="51"/>
      <c r="K22" s="2775"/>
    </row>
    <row r="23" spans="1:14" s="2102" customFormat="1" ht="13.5" customHeight="1">
      <c r="A23" s="2806" t="s">
        <v>1858</v>
      </c>
      <c r="B23" s="2988" t="s">
        <v>2831</v>
      </c>
      <c r="C23" s="2808">
        <f ca="1">ROUND((C18+C19+C20)*F23,0)</f>
        <v>1277</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5334</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5080</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5080</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13971</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89517</v>
      </c>
      <c r="D30" s="477">
        <f ca="1">C32</f>
        <v>0.1827</v>
      </c>
      <c r="E30" s="469" t="s">
        <v>495</v>
      </c>
      <c r="F30" s="471"/>
      <c r="G30" s="2776" t="s">
        <v>2970</v>
      </c>
      <c r="H30" s="2769"/>
      <c r="I30" s="2769"/>
      <c r="J30" s="2769"/>
      <c r="K30" s="2770"/>
    </row>
    <row r="31" spans="1:14" s="2106" customFormat="1" ht="13.5" customHeight="1">
      <c r="A31" s="803" t="s">
        <v>1856</v>
      </c>
      <c r="B31" s="2814"/>
      <c r="C31" s="450">
        <f ca="1">C18+C19+C20+C23+C24+C26+C29</f>
        <v>89517</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2830</v>
      </c>
      <c r="B33" s="2985" t="s">
        <v>2828</v>
      </c>
      <c r="C33" s="478">
        <f ca="1">C35</f>
        <v>9161</v>
      </c>
      <c r="D33" s="467">
        <f ca="1">C34</f>
        <v>0.1338</v>
      </c>
      <c r="E33" s="469" t="s">
        <v>495</v>
      </c>
      <c r="F33" s="479">
        <f ca="1">IF(B1="",'数据-取费表'!Q16,INDIRECT("'数据-取费表'!q"&amp;$K$1))</f>
        <v>0.13</v>
      </c>
      <c r="G33" s="2772"/>
      <c r="H33" s="2773"/>
      <c r="I33" s="2773"/>
      <c r="J33" s="2773"/>
      <c r="K33" s="2774"/>
    </row>
    <row r="34" spans="1:11" s="2109" customFormat="1" ht="13.5" customHeight="1">
      <c r="A34" s="375" t="s">
        <v>1856</v>
      </c>
      <c r="B34" s="2819" t="s">
        <v>501</v>
      </c>
      <c r="C34" s="472">
        <f ca="1">ROUND((1+C25)*F33,4)</f>
        <v>0.1338</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9161</v>
      </c>
      <c r="D35" s="1615"/>
      <c r="E35" s="2820"/>
      <c r="F35" s="1616"/>
      <c r="G35" s="2778"/>
      <c r="H35" s="2779"/>
      <c r="I35" s="2779"/>
      <c r="J35" s="2779"/>
      <c r="K35" s="2780"/>
    </row>
    <row r="36" spans="1:11" s="2071" customFormat="1" ht="13.5" customHeight="1" thickBot="1">
      <c r="A36" s="284" t="s">
        <v>1844</v>
      </c>
      <c r="B36" s="2782"/>
      <c r="C36" s="2821">
        <f ca="1">ROUND((C6-C30-C33)/(1+D30+D33),0)</f>
        <v>127645</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22" zoomScale="80" zoomScaleNormal="80" workbookViewId="0">
      <selection activeCell="F9" sqref="F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3084</v>
      </c>
      <c r="E1" s="2352" t="s">
        <v>2372</v>
      </c>
      <c r="F1" s="2353">
        <f ca="1">J53</f>
        <v>39.83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112751</v>
      </c>
      <c r="C2" s="2043"/>
      <c r="D2" s="2041"/>
      <c r="E2" s="2042"/>
      <c r="F2" s="2042"/>
      <c r="G2" s="1577"/>
      <c r="H2" s="2043"/>
      <c r="I2" s="2043"/>
      <c r="J2" s="2043"/>
      <c r="K2" s="2044"/>
      <c r="L2" s="2043"/>
      <c r="M2" s="2043"/>
    </row>
    <row r="3" spans="1:33" ht="18" customHeight="1" thickBot="1">
      <c r="A3" s="833" t="s">
        <v>1727</v>
      </c>
      <c r="B3" s="834">
        <f ca="1">IF(ISERROR(B2*10000/F43),0,ROUND(B2*10000/F43,0))</f>
        <v>22349</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8296</v>
      </c>
      <c r="D5" s="2461" t="s">
        <v>2459</v>
      </c>
      <c r="E5" s="2455"/>
      <c r="F5" s="2456"/>
      <c r="G5" s="1579"/>
      <c r="H5" s="781">
        <v>1</v>
      </c>
      <c r="I5" s="782" t="s">
        <v>2456</v>
      </c>
      <c r="J5" s="55">
        <f ca="1">J6+J10+J12</f>
        <v>0</v>
      </c>
      <c r="K5" s="2461" t="s">
        <v>2459</v>
      </c>
      <c r="L5" s="2455"/>
      <c r="M5" s="2456"/>
    </row>
    <row r="6" spans="1:33" ht="18" customHeight="1">
      <c r="A6" s="1816" t="s">
        <v>1824</v>
      </c>
      <c r="B6" s="3472" t="s">
        <v>2461</v>
      </c>
      <c r="C6" s="783">
        <f ca="1">ROUND(F6*F8*F7*(1-F9)/10000,0)</f>
        <v>8286</v>
      </c>
      <c r="D6" s="2462" t="s">
        <v>2460</v>
      </c>
      <c r="E6" s="784" t="s">
        <v>1738</v>
      </c>
      <c r="F6" s="785">
        <f ca="1">INDIRECT("'数据-取费表'!u"&amp;$G$1)</f>
        <v>5</v>
      </c>
      <c r="G6" s="1579"/>
      <c r="H6" s="2469" t="s">
        <v>2466</v>
      </c>
      <c r="I6" s="3472" t="s">
        <v>2461</v>
      </c>
      <c r="J6" s="783">
        <f ca="1">ROUND(M6*M8*M7*(1-M9)/10000,0)</f>
        <v>0</v>
      </c>
      <c r="K6" s="341" t="s">
        <v>1737</v>
      </c>
      <c r="L6" s="784" t="s">
        <v>1738</v>
      </c>
      <c r="M6" s="785">
        <f ca="1">INDIRECT("'数据-取费表'!z"&amp;$G$1)</f>
        <v>0</v>
      </c>
    </row>
    <row r="7" spans="1:33" ht="18" customHeight="1">
      <c r="A7" s="2465"/>
      <c r="B7" s="3473"/>
      <c r="C7" s="788"/>
      <c r="D7" s="789"/>
      <c r="E7" s="784" t="s">
        <v>1739</v>
      </c>
      <c r="F7" s="785">
        <f ca="1">IF(INDIRECT("'数据-取费表'!ah"&amp;$G$1)="",INDIRECT("'数据-取费表'!k"&amp;$G$1),INDIRECT("'数据-取费表'!ah"&amp;$G$1))</f>
        <v>50449.86</v>
      </c>
      <c r="G7" s="1579"/>
      <c r="H7" s="2454"/>
      <c r="I7" s="3473"/>
      <c r="J7" s="788"/>
      <c r="K7" s="789"/>
      <c r="L7" s="784" t="s">
        <v>1739</v>
      </c>
      <c r="M7" s="785">
        <f ca="1">F7</f>
        <v>50449.86</v>
      </c>
    </row>
    <row r="8" spans="1:33" ht="18" customHeight="1">
      <c r="A8" s="2458"/>
      <c r="B8" s="3474"/>
      <c r="C8" s="788"/>
      <c r="D8" s="789"/>
      <c r="E8" s="784" t="s">
        <v>1740</v>
      </c>
      <c r="F8" s="785">
        <f ca="1">INDIRECT("'数据-取费表'!ai"&amp;$G$1)</f>
        <v>365</v>
      </c>
      <c r="G8" s="1579"/>
      <c r="H8" s="2454"/>
      <c r="I8" s="3474"/>
      <c r="J8" s="788"/>
      <c r="K8" s="789"/>
      <c r="L8" s="784" t="s">
        <v>1740</v>
      </c>
      <c r="M8" s="785">
        <f ca="1">INDIRECT("'数据-取费表'!ai"&amp;$G$1)</f>
        <v>365</v>
      </c>
    </row>
    <row r="9" spans="1:33" ht="18" customHeight="1">
      <c r="A9" s="786"/>
      <c r="B9" s="3475"/>
      <c r="C9" s="788"/>
      <c r="D9" s="789"/>
      <c r="E9" s="784" t="s">
        <v>1741</v>
      </c>
      <c r="F9" s="794">
        <f ca="1">INDIRECT("'数据-取费表'!w"&amp;$G$1)</f>
        <v>0.1</v>
      </c>
      <c r="G9" s="1579"/>
      <c r="H9" s="2470"/>
      <c r="I9" s="3474"/>
      <c r="J9" s="788"/>
      <c r="K9" s="789"/>
      <c r="L9" s="795" t="s">
        <v>1741</v>
      </c>
      <c r="M9" s="796">
        <f ca="1">INDIRECT("'数据-取费表'!ab"&amp;$G$1)</f>
        <v>0</v>
      </c>
    </row>
    <row r="10" spans="1:33" ht="18" customHeight="1">
      <c r="A10" s="1816" t="s">
        <v>2464</v>
      </c>
      <c r="B10" s="2459" t="s">
        <v>2457</v>
      </c>
      <c r="C10" s="799">
        <f ca="1">ROUND(IF(F10="押一",C6/12*F11,IF(F10="押二",C6/12*2*F11,IF(F10="押三",C6/12*3*F11,C11*F11))),0)</f>
        <v>10</v>
      </c>
      <c r="D10" s="2466" t="s">
        <v>2972</v>
      </c>
      <c r="E10" s="2463" t="s">
        <v>2462</v>
      </c>
      <c r="F10" s="2586" t="s">
        <v>3085</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34019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23112</v>
      </c>
      <c r="D14" s="1965" t="s">
        <v>1745</v>
      </c>
      <c r="E14" s="1966"/>
      <c r="F14" s="805"/>
      <c r="G14" s="1579"/>
      <c r="H14" s="1635" t="s">
        <v>1830</v>
      </c>
      <c r="I14" s="2217" t="s">
        <v>2823</v>
      </c>
      <c r="J14" s="53">
        <f ca="1">C29</f>
        <v>34019</v>
      </c>
      <c r="K14" s="26"/>
      <c r="L14" s="801"/>
      <c r="M14" s="802"/>
    </row>
    <row r="15" spans="1:33" s="2050" customFormat="1" ht="18" customHeight="1" thickBot="1">
      <c r="A15" s="1634" t="s">
        <v>1885</v>
      </c>
      <c r="B15" s="784" t="s">
        <v>647</v>
      </c>
      <c r="C15" s="53">
        <f ca="1">ROUND(C14*F15,0)</f>
        <v>693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3369</v>
      </c>
      <c r="K16" s="1807" t="s">
        <v>1750</v>
      </c>
      <c r="L16" s="2451"/>
      <c r="M16" s="2456"/>
    </row>
    <row r="17" spans="1:33" s="2050" customFormat="1" ht="18" customHeight="1">
      <c r="A17" s="1634" t="s">
        <v>1887</v>
      </c>
      <c r="B17" s="784" t="s">
        <v>653</v>
      </c>
      <c r="C17" s="53">
        <f ca="1">ROUND(F17*(F43+INDIRECT("'数据-取费表'!S"&amp;$G$1))/10000,0)</f>
        <v>1042</v>
      </c>
      <c r="D17" s="784" t="s">
        <v>1751</v>
      </c>
      <c r="E17" s="784" t="s">
        <v>1752</v>
      </c>
      <c r="F17" s="56">
        <f>'数据-取费表'!B35</f>
        <v>200</v>
      </c>
      <c r="G17" s="1580"/>
      <c r="H17" s="1635" t="s">
        <v>1830</v>
      </c>
      <c r="I17" s="784" t="s">
        <v>656</v>
      </c>
      <c r="J17" s="53">
        <f ca="1">ROUND(IF(项目基本情况!B11="自然人",J6*M17/(1+'数据-取费表'!C42),J18+J19+J20),0)</f>
        <v>2859</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347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25194</v>
      </c>
      <c r="D19" s="261" t="s">
        <v>1757</v>
      </c>
      <c r="E19" s="1968"/>
      <c r="F19" s="56"/>
      <c r="G19" s="1579"/>
      <c r="H19" s="1634" t="s">
        <v>1885</v>
      </c>
      <c r="I19" s="784" t="s">
        <v>1758</v>
      </c>
      <c r="J19" s="53">
        <f ca="1">IF(K19="按租金收入计税",ROUND(J6*M19/(1+'数据-取费表'!C42),1),ROUND(C29*F33*0.7,1))</f>
        <v>2857.6</v>
      </c>
      <c r="K19" s="811" t="s">
        <v>665</v>
      </c>
      <c r="L19" s="784" t="s">
        <v>1747</v>
      </c>
      <c r="M19" s="809">
        <f>IF(K19="按租金收入计税",'数据-取费表'!B51,'数据-取费表'!B50)</f>
        <v>1.2E-2</v>
      </c>
    </row>
    <row r="20" spans="1:33" s="2050" customFormat="1" ht="18" customHeight="1">
      <c r="A20" s="1635" t="s">
        <v>1889</v>
      </c>
      <c r="B20" s="784" t="s">
        <v>666</v>
      </c>
      <c r="C20" s="53">
        <f ca="1">ROUND(C19*F20,0)</f>
        <v>504</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5540.1500000000005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510</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1853</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-3369</v>
      </c>
      <c r="K25" s="2513" t="s">
        <v>1777</v>
      </c>
      <c r="L25" s="2514"/>
      <c r="M25" s="2515"/>
    </row>
    <row r="26" spans="1:33" ht="18" customHeight="1">
      <c r="A26" s="1634" t="s">
        <v>1831</v>
      </c>
      <c r="B26" s="784" t="s">
        <v>2436</v>
      </c>
      <c r="C26" s="53">
        <f ca="1">ROUND((C19+C20)*F26,0)</f>
        <v>3855</v>
      </c>
      <c r="D26" s="812" t="s">
        <v>1778</v>
      </c>
      <c r="E26" s="795" t="s">
        <v>1779</v>
      </c>
      <c r="F26" s="794">
        <f ca="1">INDIRECT("'数据-取费表'!q"&amp;$G$1)</f>
        <v>0.15</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34019</v>
      </c>
      <c r="D29" s="2510"/>
      <c r="E29" s="2511"/>
      <c r="F29" s="2512"/>
      <c r="G29" s="1580"/>
      <c r="H29" s="823" t="s">
        <v>1787</v>
      </c>
      <c r="I29" s="824" t="s">
        <v>1788</v>
      </c>
      <c r="J29" s="825">
        <f ca="1">ROUND(J26/(1+F40)^F41,0)</f>
        <v>0</v>
      </c>
      <c r="K29" s="826" t="s">
        <v>1789</v>
      </c>
      <c r="L29" s="827"/>
      <c r="M29" s="828">
        <f ca="1">INDIRECT("'数据-取费表'!k"&amp;$G$1)</f>
        <v>50449.86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2126</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1381.8</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434</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947</v>
      </c>
      <c r="D33" s="811" t="s">
        <v>3086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0.8</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5540.1500000000005</v>
      </c>
      <c r="G35" s="2048"/>
      <c r="H35" s="2051"/>
      <c r="I35" s="837" t="s">
        <v>1814</v>
      </c>
      <c r="J35" s="838">
        <f ca="1">ROUND(C13*J36,0)</f>
        <v>2892</v>
      </c>
      <c r="K35" s="2064"/>
      <c r="L35" s="2063"/>
      <c r="M35" s="2063"/>
    </row>
    <row r="36" spans="1:18" ht="18" customHeight="1">
      <c r="A36" s="1635" t="s">
        <v>1889</v>
      </c>
      <c r="B36" s="784" t="s">
        <v>1802</v>
      </c>
      <c r="C36" s="53">
        <f ca="1">ROUND(C29*F36,1)</f>
        <v>510.3</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68</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165.9</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6170</v>
      </c>
      <c r="D39" s="2513" t="s">
        <v>1806</v>
      </c>
      <c r="E39" s="2514"/>
      <c r="F39" s="2515"/>
      <c r="G39" s="2048"/>
      <c r="H39" s="2063"/>
      <c r="I39" s="837" t="s">
        <v>1818</v>
      </c>
      <c r="J39" s="845">
        <f ca="1">ROUND(J35/C39,3)</f>
        <v>0.46899999999999997</v>
      </c>
      <c r="K39" s="2069"/>
      <c r="L39" s="2063"/>
      <c r="M39" s="2063"/>
    </row>
    <row r="40" spans="1:18" ht="18" customHeight="1">
      <c r="A40" s="781" t="s">
        <v>1895</v>
      </c>
      <c r="B40" s="2218" t="s">
        <v>2299</v>
      </c>
      <c r="C40" s="783">
        <f ca="1">ROUND(C39*(1-((1+F42)/(1+F40))^F41)/(F40-F42),0)</f>
        <v>112751</v>
      </c>
      <c r="D40" s="814" t="s">
        <v>1807</v>
      </c>
      <c r="E40" s="784" t="s">
        <v>2417</v>
      </c>
      <c r="F40" s="794">
        <f ca="1">INDIRECT("'数据-取费表'!I"&amp;$G$1)</f>
        <v>0.06</v>
      </c>
      <c r="G40" s="2048"/>
      <c r="H40" s="2048"/>
      <c r="I40" s="837" t="s">
        <v>1819</v>
      </c>
      <c r="J40" s="845">
        <f ca="1">1-J39</f>
        <v>0.53100000000000003</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39.83</v>
      </c>
      <c r="G41" s="2048"/>
      <c r="H41" s="1974"/>
      <c r="I41" s="843" t="s">
        <v>1820</v>
      </c>
      <c r="J41" s="846"/>
      <c r="K41" s="2068"/>
      <c r="L41" s="1974"/>
      <c r="M41" s="1974"/>
    </row>
    <row r="42" spans="1:18" ht="18" customHeight="1">
      <c r="A42" s="790"/>
      <c r="B42" s="791"/>
      <c r="C42" s="792"/>
      <c r="D42" s="816"/>
      <c r="E42" s="784" t="s">
        <v>1809</v>
      </c>
      <c r="F42" s="794">
        <f ca="1">INDIRECT("'数据-取费表'!v"&amp;$G$1)</f>
        <v>1.4999999999999999E-2</v>
      </c>
      <c r="G42" s="2048"/>
      <c r="H42" s="1974"/>
      <c r="I42" s="847" t="s">
        <v>1821</v>
      </c>
      <c r="J42" s="845">
        <f ca="1">ROUND(C13/C40,3)</f>
        <v>0.30199999999999999</v>
      </c>
      <c r="K42" s="2068"/>
      <c r="L42" s="1974"/>
      <c r="M42" s="1974"/>
    </row>
    <row r="43" spans="1:18" ht="18" customHeight="1" thickBot="1">
      <c r="A43" s="823" t="s">
        <v>1787</v>
      </c>
      <c r="B43" s="824" t="s">
        <v>1810</v>
      </c>
      <c r="C43" s="825">
        <f ca="1">ROUND(C40*10000/F43,0)</f>
        <v>22349</v>
      </c>
      <c r="D43" s="826" t="s">
        <v>1811</v>
      </c>
      <c r="E43" s="827" t="s">
        <v>1812</v>
      </c>
      <c r="F43" s="828">
        <f ca="1">INDIRECT("'数据-取费表'!k"&amp;$G$1)</f>
        <v>50449.86</v>
      </c>
      <c r="G43" s="2048"/>
      <c r="H43" s="1974"/>
      <c r="I43" s="847" t="s">
        <v>1822</v>
      </c>
      <c r="J43" s="848">
        <f ca="1">1-J42</f>
        <v>0.69799999999999995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-121453</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3087</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112751</v>
      </c>
      <c r="R48" s="2364" t="s">
        <v>2378</v>
      </c>
    </row>
    <row r="49" spans="1:18" s="2045" customFormat="1" ht="18" customHeight="1" thickBot="1">
      <c r="A49" s="786"/>
      <c r="B49" s="787"/>
      <c r="C49" s="788"/>
      <c r="D49" s="789"/>
      <c r="E49" s="784" t="s">
        <v>1739</v>
      </c>
      <c r="F49" s="785">
        <f ca="1">F7</f>
        <v>50449.86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34019</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57455</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39.83</v>
      </c>
      <c r="K53" s="3478" t="s">
        <v>2964</v>
      </c>
      <c r="L53" s="3479"/>
      <c r="O53" s="2366" t="s">
        <v>2386</v>
      </c>
      <c r="P53" s="2364" t="s">
        <v>2387</v>
      </c>
      <c r="Q53" s="2365">
        <f ca="1">J53</f>
        <v>39.83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112751</v>
      </c>
      <c r="R54" s="2368" t="s">
        <v>2390</v>
      </c>
    </row>
    <row r="55" spans="1:18" s="2045" customFormat="1" ht="18" customHeight="1" thickTop="1" thickBot="1">
      <c r="A55" s="797">
        <v>2</v>
      </c>
      <c r="B55" s="798" t="s">
        <v>644</v>
      </c>
      <c r="C55" s="799">
        <f ca="1">C13</f>
        <v>34019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34019</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579</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112751</v>
      </c>
      <c r="R57" s="2364" t="s">
        <v>2378</v>
      </c>
    </row>
    <row r="58" spans="1:18" s="2045" customFormat="1" ht="28.5" customHeight="1" thickBot="1">
      <c r="A58" s="1635" t="s">
        <v>1824</v>
      </c>
      <c r="B58" s="784" t="s">
        <v>656</v>
      </c>
      <c r="C58" s="53">
        <f ca="1">ROUND(IF(项目基本情况!B11="自然人",C47*F58,C59+C60+C61),1)</f>
        <v>0.8</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0.8</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5540.1500000000005</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510.3</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112751</v>
      </c>
      <c r="R63" s="2368" t="s">
        <v>2390</v>
      </c>
    </row>
    <row r="64" spans="1:18" s="2045" customFormat="1" ht="16.5" thickBot="1">
      <c r="A64" s="1635" t="s">
        <v>1890</v>
      </c>
      <c r="B64" s="784" t="s">
        <v>679</v>
      </c>
      <c r="C64" s="53">
        <f ca="1">ROUND(C55*F64,1)</f>
        <v>68</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-579</v>
      </c>
      <c r="D66" s="2603" t="s">
        <v>700</v>
      </c>
      <c r="E66" s="2602"/>
      <c r="F66" s="820"/>
      <c r="K66" s="2072"/>
      <c r="O66" s="2363" t="s">
        <v>2377</v>
      </c>
      <c r="P66" s="2364" t="s">
        <v>2407</v>
      </c>
      <c r="Q66" s="2365">
        <f ca="1">C40+J29</f>
        <v>112751</v>
      </c>
      <c r="R66" s="2364" t="s">
        <v>2378</v>
      </c>
    </row>
    <row r="67" spans="1:18" s="2045" customFormat="1" ht="20.25" thickBot="1">
      <c r="A67" s="781" t="s">
        <v>1780</v>
      </c>
      <c r="B67" s="2218" t="s">
        <v>2299</v>
      </c>
      <c r="C67" s="783">
        <f ca="1">ROUND(C66*(1-((1+F69)/(1+F67))^F68)/(F67-F69),0)</f>
        <v>-8702</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39.83</v>
      </c>
      <c r="O68" s="2366" t="s">
        <v>2381</v>
      </c>
      <c r="P68" s="2364" t="s">
        <v>2411</v>
      </c>
      <c r="Q68" s="2370">
        <f ca="1">L51</f>
        <v>57455</v>
      </c>
      <c r="R68" s="2371" t="s">
        <v>2414</v>
      </c>
    </row>
    <row r="69" spans="1:18" ht="20.25" thickBot="1">
      <c r="A69" s="790"/>
      <c r="B69" s="791"/>
      <c r="C69" s="792"/>
      <c r="D69" s="816"/>
      <c r="E69" s="784" t="s">
        <v>710</v>
      </c>
      <c r="F69" s="2336"/>
      <c r="O69" s="2366" t="s">
        <v>2382</v>
      </c>
      <c r="P69" s="2372" t="s">
        <v>2396</v>
      </c>
      <c r="Q69" s="2365">
        <f ca="1">ROUND(Q70-Q71*Q72,0)</f>
        <v>3278</v>
      </c>
      <c r="R69" s="2368"/>
    </row>
    <row r="70" spans="1:18" ht="15.75" thickBot="1">
      <c r="A70" s="823" t="s">
        <v>1787</v>
      </c>
      <c r="B70" s="824" t="s">
        <v>1810</v>
      </c>
      <c r="C70" s="825">
        <f ca="1">ROUND(C67*10000/F70,0)</f>
        <v>-1725</v>
      </c>
      <c r="D70" s="826" t="s">
        <v>1811</v>
      </c>
      <c r="E70" s="827" t="s">
        <v>1812</v>
      </c>
      <c r="F70" s="828">
        <f ca="1">F43</f>
        <v>50449.86</v>
      </c>
      <c r="O70" s="2366" t="s">
        <v>2397</v>
      </c>
      <c r="P70" s="2372" t="s">
        <v>2398</v>
      </c>
      <c r="Q70" s="2365">
        <f ca="1">C39</f>
        <v>6170</v>
      </c>
      <c r="R70" s="2364" t="s">
        <v>2378</v>
      </c>
    </row>
    <row r="71" spans="1:18" ht="15.75" thickBot="1">
      <c r="O71" s="2366" t="s">
        <v>2399</v>
      </c>
      <c r="P71" s="2372" t="s">
        <v>2400</v>
      </c>
      <c r="Q71" s="2365">
        <f ca="1">C13</f>
        <v>34019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112751</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3" zoomScale="80" zoomScaleNormal="80" workbookViewId="0">
      <selection activeCell="I57" sqref="I57"/>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3084</v>
      </c>
      <c r="E1" s="2352" t="s">
        <v>2372</v>
      </c>
      <c r="F1" s="2353">
        <f ca="1">J53</f>
        <v>29.83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151008</v>
      </c>
      <c r="C2" s="2043"/>
      <c r="D2" s="2041"/>
      <c r="E2" s="2042"/>
      <c r="F2" s="2042"/>
      <c r="G2" s="1577"/>
      <c r="H2" s="2043"/>
      <c r="I2" s="2043"/>
      <c r="J2" s="2043"/>
      <c r="K2" s="2044"/>
      <c r="L2" s="2043"/>
      <c r="M2" s="2043"/>
    </row>
    <row r="3" spans="1:33" ht="18" customHeight="1" thickBot="1">
      <c r="A3" s="833" t="s">
        <v>519</v>
      </c>
      <c r="B3" s="834">
        <f ca="1">IF(ISERROR(B2*10000/F43),0,ROUND(B2*10000/F43,0))</f>
        <v>22891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13018</v>
      </c>
      <c r="D5" s="2461" t="s">
        <v>2459</v>
      </c>
      <c r="E5" s="2455"/>
      <c r="F5" s="2456"/>
      <c r="G5" s="1579"/>
      <c r="H5" s="781">
        <v>1</v>
      </c>
      <c r="I5" s="782" t="s">
        <v>2456</v>
      </c>
      <c r="J5" s="55">
        <f ca="1">J6+J10+J12</f>
        <v>0</v>
      </c>
      <c r="K5" s="2461" t="s">
        <v>2459</v>
      </c>
      <c r="L5" s="2455"/>
      <c r="M5" s="2456"/>
    </row>
    <row r="6" spans="1:33" ht="18" customHeight="1">
      <c r="A6" s="1816" t="s">
        <v>1824</v>
      </c>
      <c r="B6" s="3472" t="s">
        <v>2461</v>
      </c>
      <c r="C6" s="783">
        <f ca="1">ROUND(F6*F8*F7*(1-F9)/10000,0)</f>
        <v>13002</v>
      </c>
      <c r="D6" s="2462" t="s">
        <v>2460</v>
      </c>
      <c r="E6" s="784" t="s">
        <v>1738</v>
      </c>
      <c r="F6" s="785">
        <f ca="1">INDIRECT("'数据-取费表'!u"&amp;$G$1)</f>
        <v>6</v>
      </c>
      <c r="G6" s="1579"/>
      <c r="H6" s="2469" t="s">
        <v>1824</v>
      </c>
      <c r="I6" s="3472" t="s">
        <v>2461</v>
      </c>
      <c r="J6" s="783">
        <f ca="1">ROUND(M6*M8*M7*(1-M9)/10000,0)</f>
        <v>0</v>
      </c>
      <c r="K6" s="341" t="s">
        <v>1737</v>
      </c>
      <c r="L6" s="784" t="s">
        <v>1738</v>
      </c>
      <c r="M6" s="785">
        <f ca="1">INDIRECT("'数据-取费表'!z"&amp;$G$1)</f>
        <v>0</v>
      </c>
    </row>
    <row r="7" spans="1:33" ht="18" customHeight="1">
      <c r="A7" s="2465"/>
      <c r="B7" s="3473"/>
      <c r="C7" s="788"/>
      <c r="D7" s="789"/>
      <c r="E7" s="784" t="s">
        <v>1739</v>
      </c>
      <c r="F7" s="785">
        <f ca="1">IF(INDIRECT("'数据-取费表'!ah"&amp;$G$1)="",INDIRECT("'数据-取费表'!k"&amp;$G$1),INDIRECT("'数据-取费表'!ah"&amp;$G$1))</f>
        <v>65968.61</v>
      </c>
      <c r="G7" s="1579"/>
      <c r="H7" s="2454"/>
      <c r="I7" s="3473"/>
      <c r="J7" s="788"/>
      <c r="K7" s="789"/>
      <c r="L7" s="784" t="s">
        <v>1739</v>
      </c>
      <c r="M7" s="785">
        <f ca="1">F7</f>
        <v>65968.61</v>
      </c>
    </row>
    <row r="8" spans="1:33" ht="18" customHeight="1">
      <c r="A8" s="2458"/>
      <c r="B8" s="3474"/>
      <c r="C8" s="788"/>
      <c r="D8" s="789"/>
      <c r="E8" s="784" t="s">
        <v>1740</v>
      </c>
      <c r="F8" s="785">
        <f ca="1">INDIRECT("'数据-取费表'!ai"&amp;$G$1)</f>
        <v>365</v>
      </c>
      <c r="G8" s="1579"/>
      <c r="H8" s="2454"/>
      <c r="I8" s="3474"/>
      <c r="J8" s="788"/>
      <c r="K8" s="789"/>
      <c r="L8" s="784" t="s">
        <v>1740</v>
      </c>
      <c r="M8" s="785">
        <f ca="1">INDIRECT("'数据-取费表'!ai"&amp;$G$1)</f>
        <v>365</v>
      </c>
    </row>
    <row r="9" spans="1:33" ht="18" customHeight="1">
      <c r="A9" s="786"/>
      <c r="B9" s="3475"/>
      <c r="C9" s="788"/>
      <c r="D9" s="789"/>
      <c r="E9" s="784" t="s">
        <v>1741</v>
      </c>
      <c r="F9" s="794">
        <f ca="1">INDIRECT("'数据-取费表'!w"&amp;$G$1)</f>
        <v>0.1</v>
      </c>
      <c r="G9" s="1579"/>
      <c r="H9" s="2470"/>
      <c r="I9" s="3474"/>
      <c r="J9" s="788"/>
      <c r="K9" s="789"/>
      <c r="L9" s="795" t="s">
        <v>1741</v>
      </c>
      <c r="M9" s="796">
        <f ca="1">INDIRECT("'数据-取费表'!ab"&amp;$G$1)</f>
        <v>0</v>
      </c>
    </row>
    <row r="10" spans="1:33" ht="18" customHeight="1">
      <c r="A10" s="1816" t="s">
        <v>2068</v>
      </c>
      <c r="B10" s="2459" t="s">
        <v>2457</v>
      </c>
      <c r="C10" s="799">
        <f ca="1">ROUND(IF(F10="押一",C6/12*F11,IF(F10="押二",C6/12*2*F11,IF(F10="押三",C6/12*3*F11,C11*F11))),0)</f>
        <v>16</v>
      </c>
      <c r="D10" s="2466" t="s">
        <v>2972</v>
      </c>
      <c r="E10" s="2463" t="s">
        <v>2462</v>
      </c>
      <c r="F10" s="2586" t="s">
        <v>3085</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39828</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26923</v>
      </c>
      <c r="D14" s="3184" t="s">
        <v>1745</v>
      </c>
      <c r="E14" s="3185"/>
      <c r="F14" s="805"/>
      <c r="G14" s="1579"/>
      <c r="H14" s="1635" t="s">
        <v>1824</v>
      </c>
      <c r="I14" s="2217" t="s">
        <v>2822</v>
      </c>
      <c r="J14" s="53">
        <f ca="1">C29</f>
        <v>39828</v>
      </c>
      <c r="K14" s="26"/>
      <c r="L14" s="801"/>
      <c r="M14" s="802"/>
    </row>
    <row r="15" spans="1:33" s="2050" customFormat="1" ht="18" customHeight="1" thickBot="1">
      <c r="A15" s="1634" t="s">
        <v>1832</v>
      </c>
      <c r="B15" s="784" t="s">
        <v>647</v>
      </c>
      <c r="C15" s="53">
        <f ca="1">ROUND(C14*F15,0)</f>
        <v>808</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3944</v>
      </c>
      <c r="K16" s="1807" t="s">
        <v>1750</v>
      </c>
      <c r="L16" s="3186"/>
      <c r="M16" s="2456"/>
    </row>
    <row r="17" spans="1:33" s="2050" customFormat="1" ht="18" customHeight="1">
      <c r="A17" s="1634" t="s">
        <v>1887</v>
      </c>
      <c r="B17" s="784" t="s">
        <v>653</v>
      </c>
      <c r="C17" s="53">
        <f ca="1">ROUND(F17*(F43+INDIRECT("'数据-取费表'!S"&amp;$G$1))/10000,0)</f>
        <v>1362</v>
      </c>
      <c r="D17" s="784" t="s">
        <v>1751</v>
      </c>
      <c r="E17" s="784" t="s">
        <v>1752</v>
      </c>
      <c r="F17" s="56">
        <f>'数据-取费表'!B35</f>
        <v>200</v>
      </c>
      <c r="G17" s="1580"/>
      <c r="H17" s="1635" t="s">
        <v>1824</v>
      </c>
      <c r="I17" s="784" t="s">
        <v>656</v>
      </c>
      <c r="J17" s="53">
        <f ca="1">ROUND(IF(项目基本情况!B11="自然人",J6*M17/(1+'数据-取费表'!C42),J18+J19+J20),0)</f>
        <v>3347</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404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29497</v>
      </c>
      <c r="D19" s="261" t="s">
        <v>1757</v>
      </c>
      <c r="E19" s="3188"/>
      <c r="F19" s="56"/>
      <c r="G19" s="1579"/>
      <c r="H19" s="1634" t="s">
        <v>1832</v>
      </c>
      <c r="I19" s="784" t="s">
        <v>1758</v>
      </c>
      <c r="J19" s="53">
        <f ca="1">IF(K19="按租金收入计税",ROUND(J6*M19/(1+'数据-取费表'!C42),1),ROUND(C29*F33*0.7,1))</f>
        <v>3345.6</v>
      </c>
      <c r="K19" s="811" t="s">
        <v>665</v>
      </c>
      <c r="L19" s="784" t="s">
        <v>1747</v>
      </c>
      <c r="M19" s="809">
        <f>IF(K19="按租金收入计税",'数据-取费表'!B51,'数据-取费表'!B50)</f>
        <v>1.2E-2</v>
      </c>
    </row>
    <row r="20" spans="1:33" s="2050" customFormat="1" ht="18" customHeight="1">
      <c r="A20" s="1635" t="s">
        <v>1889</v>
      </c>
      <c r="B20" s="784" t="s">
        <v>666</v>
      </c>
      <c r="C20" s="53">
        <f ca="1">ROUND(C19*F20,0)</f>
        <v>590</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7244.34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597</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2169</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-3944</v>
      </c>
      <c r="K25" s="2513" t="s">
        <v>1777</v>
      </c>
      <c r="L25" s="2514"/>
      <c r="M25" s="2515"/>
    </row>
    <row r="26" spans="1:33" ht="18" customHeight="1">
      <c r="A26" s="1634" t="s">
        <v>1831</v>
      </c>
      <c r="B26" s="784" t="s">
        <v>2436</v>
      </c>
      <c r="C26" s="53">
        <f ca="1">ROUND((C19+C20)*F26,0)</f>
        <v>4513</v>
      </c>
      <c r="D26" s="812" t="s">
        <v>1778</v>
      </c>
      <c r="E26" s="795" t="s">
        <v>1779</v>
      </c>
      <c r="F26" s="794">
        <f ca="1">INDIRECT("'数据-取费表'!q"&amp;$G$1)</f>
        <v>0.15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39828</v>
      </c>
      <c r="D29" s="2510"/>
      <c r="E29" s="2511"/>
      <c r="F29" s="2512"/>
      <c r="G29" s="1580"/>
      <c r="H29" s="823" t="s">
        <v>1787</v>
      </c>
      <c r="I29" s="824" t="s">
        <v>1788</v>
      </c>
      <c r="J29" s="825">
        <f ca="1">ROUND(J26/(1+F40)^F41,0)</f>
        <v>0</v>
      </c>
      <c r="K29" s="826" t="s">
        <v>1789</v>
      </c>
      <c r="L29" s="827"/>
      <c r="M29" s="828">
        <f ca="1">INDIRECT("'数据-取费表'!k"&amp;$G$1)</f>
        <v>65968.61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3106</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2168.1</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681.1</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1485.9</v>
      </c>
      <c r="D33" s="811" t="s">
        <v>3086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1.1000000000000001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7244.34</v>
      </c>
      <c r="G35" s="2048"/>
      <c r="H35" s="2051"/>
      <c r="I35" s="837" t="s">
        <v>1814</v>
      </c>
      <c r="J35" s="838">
        <f ca="1">ROUND(C13*J36,0)</f>
        <v>3385</v>
      </c>
      <c r="K35" s="2064"/>
      <c r="L35" s="2063"/>
      <c r="M35" s="2063"/>
    </row>
    <row r="36" spans="1:18" ht="18" customHeight="1">
      <c r="A36" s="1635" t="s">
        <v>1889</v>
      </c>
      <c r="B36" s="784" t="s">
        <v>1802</v>
      </c>
      <c r="C36" s="53">
        <f ca="1">ROUND(C29*F36,1)</f>
        <v>597.4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79.7</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260.39999999999998</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9912</v>
      </c>
      <c r="D39" s="2513" t="s">
        <v>1806</v>
      </c>
      <c r="E39" s="2514"/>
      <c r="F39" s="2515"/>
      <c r="G39" s="2048"/>
      <c r="H39" s="2063"/>
      <c r="I39" s="837" t="s">
        <v>1818</v>
      </c>
      <c r="J39" s="845">
        <f ca="1">ROUND(J35/C39,3)</f>
        <v>0.34200000000000003</v>
      </c>
      <c r="K39" s="2069"/>
      <c r="L39" s="2063"/>
      <c r="M39" s="2063"/>
    </row>
    <row r="40" spans="1:18" ht="18" customHeight="1">
      <c r="A40" s="781" t="s">
        <v>1780</v>
      </c>
      <c r="B40" s="2218" t="s">
        <v>2299</v>
      </c>
      <c r="C40" s="783">
        <f ca="1">ROUND(C39*(1-((1+F42)/(1+F40))^F41)/(F40-F42),0)</f>
        <v>151008</v>
      </c>
      <c r="D40" s="814" t="s">
        <v>1781</v>
      </c>
      <c r="E40" s="784" t="s">
        <v>2417</v>
      </c>
      <c r="F40" s="794">
        <f ca="1">INDIRECT("'数据-取费表'!I"&amp;$G$1)</f>
        <v>6.5000000000000002E-2</v>
      </c>
      <c r="G40" s="2048"/>
      <c r="H40" s="2048"/>
      <c r="I40" s="837" t="s">
        <v>1819</v>
      </c>
      <c r="J40" s="845">
        <f ca="1">1-J39</f>
        <v>0.65799999999999992</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29.83</v>
      </c>
      <c r="G41" s="2048"/>
      <c r="H41" s="1974"/>
      <c r="I41" s="843" t="s">
        <v>1820</v>
      </c>
      <c r="J41" s="846"/>
      <c r="K41" s="2068"/>
      <c r="L41" s="1974"/>
      <c r="M41" s="1974"/>
    </row>
    <row r="42" spans="1:18" ht="18" customHeight="1">
      <c r="A42" s="790"/>
      <c r="B42" s="791"/>
      <c r="C42" s="792"/>
      <c r="D42" s="816"/>
      <c r="E42" s="784" t="s">
        <v>1809</v>
      </c>
      <c r="F42" s="794">
        <f ca="1">INDIRECT("'数据-取费表'!v"&amp;$G$1)</f>
        <v>1.4999999999999999E-2</v>
      </c>
      <c r="G42" s="2048"/>
      <c r="H42" s="1974"/>
      <c r="I42" s="847" t="s">
        <v>1821</v>
      </c>
      <c r="J42" s="845">
        <f ca="1">ROUND(C13/C40,3)</f>
        <v>0.26400000000000001</v>
      </c>
      <c r="K42" s="2068"/>
      <c r="L42" s="1974"/>
      <c r="M42" s="1974"/>
    </row>
    <row r="43" spans="1:18" ht="18" customHeight="1" thickBot="1">
      <c r="A43" s="823" t="s">
        <v>1787</v>
      </c>
      <c r="B43" s="824" t="s">
        <v>1810</v>
      </c>
      <c r="C43" s="825">
        <f ca="1">ROUND(C40*10000/F43,0)</f>
        <v>22891</v>
      </c>
      <c r="D43" s="826" t="s">
        <v>1811</v>
      </c>
      <c r="E43" s="827" t="s">
        <v>1812</v>
      </c>
      <c r="F43" s="828">
        <f ca="1">INDIRECT("'数据-取费表'!k"&amp;$G$1)</f>
        <v>65968.61</v>
      </c>
      <c r="G43" s="2048"/>
      <c r="H43" s="1974"/>
      <c r="I43" s="847" t="s">
        <v>1822</v>
      </c>
      <c r="J43" s="848">
        <f ca="1">1-J42</f>
        <v>0.73599999999999999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-159845</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3087</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151008</v>
      </c>
      <c r="R48" s="2364" t="s">
        <v>2378</v>
      </c>
    </row>
    <row r="49" spans="1:18" s="2045" customFormat="1" ht="18" customHeight="1" thickBot="1">
      <c r="A49" s="786"/>
      <c r="B49" s="787"/>
      <c r="C49" s="788"/>
      <c r="D49" s="789"/>
      <c r="E49" s="784" t="s">
        <v>1739</v>
      </c>
      <c r="F49" s="785">
        <f ca="1">F7</f>
        <v>65968.61</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39828</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98204</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29.83</v>
      </c>
      <c r="K53" s="3478" t="s">
        <v>2964</v>
      </c>
      <c r="L53" s="3479"/>
      <c r="O53" s="2366" t="s">
        <v>2386</v>
      </c>
      <c r="P53" s="2364" t="s">
        <v>2387</v>
      </c>
      <c r="Q53" s="2365">
        <f ca="1">J53</f>
        <v>29.83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151008</v>
      </c>
      <c r="R54" s="2368" t="s">
        <v>2390</v>
      </c>
    </row>
    <row r="55" spans="1:18" s="2045" customFormat="1" ht="18" customHeight="1" thickTop="1" thickBot="1">
      <c r="A55" s="797">
        <v>2</v>
      </c>
      <c r="B55" s="798" t="s">
        <v>644</v>
      </c>
      <c r="C55" s="799">
        <f ca="1">C13</f>
        <v>39828</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39828</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678</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151008</v>
      </c>
      <c r="R57" s="2364" t="s">
        <v>2378</v>
      </c>
    </row>
    <row r="58" spans="1:18" s="2045" customFormat="1" ht="28.5" customHeight="1" thickBot="1">
      <c r="A58" s="1635" t="s">
        <v>1824</v>
      </c>
      <c r="B58" s="784" t="s">
        <v>656</v>
      </c>
      <c r="C58" s="53">
        <f ca="1">ROUND(IF(项目基本情况!B11="自然人",C47*F58,C59+C60+C61),1)</f>
        <v>1.1000000000000001</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1.1000000000000001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7244.34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597.4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151008</v>
      </c>
      <c r="R63" s="2368" t="s">
        <v>2390</v>
      </c>
    </row>
    <row r="64" spans="1:18" s="2045" customFormat="1" ht="16.5" thickBot="1">
      <c r="A64" s="1635" t="s">
        <v>1890</v>
      </c>
      <c r="B64" s="784" t="s">
        <v>679</v>
      </c>
      <c r="C64" s="53">
        <f ca="1">ROUND(C55*F64,1)</f>
        <v>79.7</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-678</v>
      </c>
      <c r="D66" s="3184" t="s">
        <v>700</v>
      </c>
      <c r="E66" s="3187"/>
      <c r="F66" s="820"/>
      <c r="K66" s="2072"/>
      <c r="O66" s="2363" t="s">
        <v>2377</v>
      </c>
      <c r="P66" s="2364" t="s">
        <v>2403</v>
      </c>
      <c r="Q66" s="2365">
        <f ca="1">C40+J29</f>
        <v>151008</v>
      </c>
      <c r="R66" s="2364" t="s">
        <v>2378</v>
      </c>
    </row>
    <row r="67" spans="1:18" s="2045" customFormat="1" ht="20.25" thickBot="1">
      <c r="A67" s="781" t="s">
        <v>1780</v>
      </c>
      <c r="B67" s="2218" t="s">
        <v>2299</v>
      </c>
      <c r="C67" s="783">
        <f ca="1">ROUND(C66*(1-((1+F69)/(1+F67))^F68)/(F67-F69),0)</f>
        <v>-8837</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29.83</v>
      </c>
      <c r="O68" s="2366" t="s">
        <v>2381</v>
      </c>
      <c r="P68" s="2364" t="s">
        <v>2411</v>
      </c>
      <c r="Q68" s="2370">
        <f ca="1">L51</f>
        <v>98204</v>
      </c>
      <c r="R68" s="2371" t="s">
        <v>2414</v>
      </c>
    </row>
    <row r="69" spans="1:18" ht="20.25" thickBot="1">
      <c r="A69" s="790"/>
      <c r="B69" s="791"/>
      <c r="C69" s="792"/>
      <c r="D69" s="816"/>
      <c r="E69" s="784" t="s">
        <v>710</v>
      </c>
      <c r="F69" s="2336"/>
      <c r="O69" s="2366" t="s">
        <v>2382</v>
      </c>
      <c r="P69" s="2372" t="s">
        <v>2396</v>
      </c>
      <c r="Q69" s="2365">
        <f ca="1">ROUND(Q70-Q71*Q72,0)</f>
        <v>6527</v>
      </c>
      <c r="R69" s="2368"/>
    </row>
    <row r="70" spans="1:18" ht="15.75" thickBot="1">
      <c r="A70" s="823" t="s">
        <v>1787</v>
      </c>
      <c r="B70" s="824" t="s">
        <v>1810</v>
      </c>
      <c r="C70" s="825">
        <f ca="1">ROUND(C67*10000/F70,0)</f>
        <v>-1340</v>
      </c>
      <c r="D70" s="826" t="s">
        <v>1811</v>
      </c>
      <c r="E70" s="827" t="s">
        <v>1812</v>
      </c>
      <c r="F70" s="828">
        <f ca="1">F43</f>
        <v>65968.61</v>
      </c>
      <c r="O70" s="2366" t="s">
        <v>2397</v>
      </c>
      <c r="P70" s="2372" t="s">
        <v>2398</v>
      </c>
      <c r="Q70" s="2365">
        <f ca="1">C39</f>
        <v>9912</v>
      </c>
      <c r="R70" s="2364" t="s">
        <v>2378</v>
      </c>
    </row>
    <row r="71" spans="1:18" ht="15.75" thickBot="1">
      <c r="O71" s="2366" t="s">
        <v>2399</v>
      </c>
      <c r="P71" s="2372" t="s">
        <v>2400</v>
      </c>
      <c r="Q71" s="2365">
        <f ca="1">C13</f>
        <v>39828</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151008</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22" zoomScale="80" zoomScaleNormal="80" workbookViewId="0">
      <selection activeCell="C24" sqref="C2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3084</v>
      </c>
      <c r="E1" s="2352" t="s">
        <v>2372</v>
      </c>
      <c r="F1" s="2353">
        <f ca="1">J53</f>
        <v>39.83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2964</v>
      </c>
      <c r="C2" s="2043"/>
      <c r="D2" s="2041"/>
      <c r="E2" s="2042"/>
      <c r="F2" s="2042"/>
      <c r="G2" s="1577"/>
      <c r="H2" s="2043"/>
      <c r="I2" s="2043"/>
      <c r="J2" s="2043"/>
      <c r="K2" s="2044"/>
      <c r="L2" s="2043"/>
      <c r="M2" s="2043"/>
    </row>
    <row r="3" spans="1:33" ht="18" customHeight="1" thickBot="1">
      <c r="A3" s="833" t="s">
        <v>519</v>
      </c>
      <c r="B3" s="834">
        <f ca="1">IF(ISERROR(B2*10000/F43),0,ROUND(B2*10000/F43,0))</f>
        <v>1108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440</v>
      </c>
      <c r="D5" s="2461" t="s">
        <v>2459</v>
      </c>
      <c r="E5" s="2455"/>
      <c r="F5" s="2456"/>
      <c r="G5" s="1579"/>
      <c r="H5" s="781">
        <v>1</v>
      </c>
      <c r="I5" s="782" t="s">
        <v>2456</v>
      </c>
      <c r="J5" s="55">
        <f ca="1">J6+J10+J12</f>
        <v>0</v>
      </c>
      <c r="K5" s="2461" t="s">
        <v>2459</v>
      </c>
      <c r="L5" s="2455"/>
      <c r="M5" s="2456"/>
    </row>
    <row r="6" spans="1:33" ht="18" customHeight="1">
      <c r="A6" s="1816" t="s">
        <v>1824</v>
      </c>
      <c r="B6" s="3472" t="s">
        <v>2461</v>
      </c>
      <c r="C6" s="783">
        <f ca="1">ROUND(F6*F8*F7*(1-F9)/10000,0)</f>
        <v>440</v>
      </c>
      <c r="D6" s="2462" t="s">
        <v>2460</v>
      </c>
      <c r="E6" s="784" t="s">
        <v>1738</v>
      </c>
      <c r="F6" s="785">
        <f ca="1">INDIRECT("'数据-取费表'!u"&amp;$G$1)</f>
        <v>600</v>
      </c>
      <c r="G6" s="1579"/>
      <c r="H6" s="2469" t="s">
        <v>1824</v>
      </c>
      <c r="I6" s="3472" t="s">
        <v>2461</v>
      </c>
      <c r="J6" s="783">
        <f ca="1">ROUND(M6*M8*M7*(1-M9)/10000,0)</f>
        <v>0</v>
      </c>
      <c r="K6" s="341" t="s">
        <v>1737</v>
      </c>
      <c r="L6" s="784" t="s">
        <v>1738</v>
      </c>
      <c r="M6" s="785">
        <f ca="1">INDIRECT("'数据-取费表'!z"&amp;$G$1)</f>
        <v>0</v>
      </c>
    </row>
    <row r="7" spans="1:33" ht="18" customHeight="1">
      <c r="A7" s="2465"/>
      <c r="B7" s="3473"/>
      <c r="C7" s="788"/>
      <c r="D7" s="789"/>
      <c r="E7" s="784" t="s">
        <v>1739</v>
      </c>
      <c r="F7" s="785">
        <f ca="1">IF(INDIRECT("'数据-取费表'!ah"&amp;$G$1)="",INDIRECT("'数据-取费表'!k"&amp;$G$1),INDIRECT("'数据-取费表'!ah"&amp;$G$1))</f>
        <v>764</v>
      </c>
      <c r="G7" s="1579"/>
      <c r="H7" s="2454"/>
      <c r="I7" s="3473"/>
      <c r="J7" s="788"/>
      <c r="K7" s="789"/>
      <c r="L7" s="784" t="s">
        <v>1739</v>
      </c>
      <c r="M7" s="785">
        <f ca="1">F7</f>
        <v>764</v>
      </c>
    </row>
    <row r="8" spans="1:33" ht="18" customHeight="1">
      <c r="A8" s="2458"/>
      <c r="B8" s="3474"/>
      <c r="C8" s="788"/>
      <c r="D8" s="789"/>
      <c r="E8" s="784" t="s">
        <v>1740</v>
      </c>
      <c r="F8" s="785">
        <f ca="1">INDIRECT("'数据-取费表'!ai"&amp;$G$1)</f>
        <v>12</v>
      </c>
      <c r="G8" s="1579"/>
      <c r="H8" s="2454"/>
      <c r="I8" s="3474"/>
      <c r="J8" s="788"/>
      <c r="K8" s="789"/>
      <c r="L8" s="784" t="s">
        <v>1740</v>
      </c>
      <c r="M8" s="785">
        <f ca="1">INDIRECT("'数据-取费表'!ai"&amp;$G$1)</f>
        <v>12</v>
      </c>
    </row>
    <row r="9" spans="1:33" ht="18" customHeight="1">
      <c r="A9" s="786"/>
      <c r="B9" s="3475"/>
      <c r="C9" s="788"/>
      <c r="D9" s="789"/>
      <c r="E9" s="784" t="s">
        <v>1741</v>
      </c>
      <c r="F9" s="794">
        <f ca="1">INDIRECT("'数据-取费表'!w"&amp;$G$1)</f>
        <v>0.2</v>
      </c>
      <c r="G9" s="1579"/>
      <c r="H9" s="2470"/>
      <c r="I9" s="3474"/>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3088</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11337</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8242</v>
      </c>
      <c r="D14" s="3184" t="s">
        <v>1745</v>
      </c>
      <c r="E14" s="3185"/>
      <c r="F14" s="805"/>
      <c r="G14" s="1579"/>
      <c r="H14" s="1635" t="s">
        <v>1824</v>
      </c>
      <c r="I14" s="2217" t="s">
        <v>2822</v>
      </c>
      <c r="J14" s="53">
        <f ca="1">C29</f>
        <v>11337</v>
      </c>
      <c r="K14" s="26"/>
      <c r="L14" s="801"/>
      <c r="M14" s="802"/>
    </row>
    <row r="15" spans="1:33" s="2050" customFormat="1" ht="18" customHeight="1" thickBot="1">
      <c r="A15" s="1634" t="s">
        <v>1832</v>
      </c>
      <c r="B15" s="784" t="s">
        <v>647</v>
      </c>
      <c r="C15" s="53">
        <f ca="1">ROUND(C14*F15,0)</f>
        <v>247</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1122</v>
      </c>
      <c r="K16" s="1807" t="s">
        <v>1750</v>
      </c>
      <c r="L16" s="3186"/>
      <c r="M16" s="2456"/>
    </row>
    <row r="17" spans="1:33" s="2050" customFormat="1" ht="18" customHeight="1">
      <c r="A17" s="1634" t="s">
        <v>1887</v>
      </c>
      <c r="B17" s="784" t="s">
        <v>653</v>
      </c>
      <c r="C17" s="53">
        <f ca="1">ROUND(F17*(F43+INDIRECT("'数据-取费表'!S"&amp;$G$1))/10000,0)</f>
        <v>552</v>
      </c>
      <c r="D17" s="784" t="s">
        <v>1751</v>
      </c>
      <c r="E17" s="784" t="s">
        <v>1752</v>
      </c>
      <c r="F17" s="56">
        <f>'数据-取费表'!B35</f>
        <v>200</v>
      </c>
      <c r="G17" s="1580"/>
      <c r="H17" s="1635" t="s">
        <v>1824</v>
      </c>
      <c r="I17" s="784" t="s">
        <v>656</v>
      </c>
      <c r="J17" s="53">
        <f ca="1">ROUND(IF(项目基本情况!B11="自然人",J6*M17/(1+'数据-取费表'!C42),J18+J19+J20),0)</f>
        <v>952</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124</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9165</v>
      </c>
      <c r="D19" s="261" t="s">
        <v>1757</v>
      </c>
      <c r="E19" s="3188"/>
      <c r="F19" s="56"/>
      <c r="G19" s="1579"/>
      <c r="H19" s="1634" t="s">
        <v>1832</v>
      </c>
      <c r="I19" s="784" t="s">
        <v>1758</v>
      </c>
      <c r="J19" s="53">
        <f ca="1">IF(K19="按租金收入计税",ROUND(J6*M19/(1+'数据-取费表'!C42),1),ROUND(C29*F33*0.7,1))</f>
        <v>952.3</v>
      </c>
      <c r="K19" s="811" t="s">
        <v>665</v>
      </c>
      <c r="L19" s="784" t="s">
        <v>1747</v>
      </c>
      <c r="M19" s="809">
        <f>IF(K19="按租金收入计税",'数据-取费表'!B51,'数据-取费表'!B50)</f>
        <v>1.2E-2</v>
      </c>
    </row>
    <row r="20" spans="1:33" s="2050" customFormat="1" ht="18" customHeight="1">
      <c r="A20" s="1635" t="s">
        <v>1889</v>
      </c>
      <c r="B20" s="784" t="s">
        <v>666</v>
      </c>
      <c r="C20" s="53">
        <f ca="1">ROUND(C19*F20,0)</f>
        <v>183</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2937.46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170</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674</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-1122</v>
      </c>
      <c r="K25" s="2513" t="s">
        <v>1777</v>
      </c>
      <c r="L25" s="2514"/>
      <c r="M25" s="2515"/>
    </row>
    <row r="26" spans="1:33" ht="18" customHeight="1">
      <c r="A26" s="1634" t="s">
        <v>1831</v>
      </c>
      <c r="B26" s="784" t="s">
        <v>2436</v>
      </c>
      <c r="C26" s="53">
        <f ca="1">ROUND((C19+C20)*F26,0)</f>
        <v>467</v>
      </c>
      <c r="D26" s="812" t="s">
        <v>1778</v>
      </c>
      <c r="E26" s="795" t="s">
        <v>1779</v>
      </c>
      <c r="F26" s="794">
        <f ca="1">INDIRECT("'数据-取费表'!q"&amp;$G$1)</f>
        <v>0.05</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11337</v>
      </c>
      <c r="D29" s="2510"/>
      <c r="E29" s="2511"/>
      <c r="F29" s="2512"/>
      <c r="G29" s="1580"/>
      <c r="H29" s="823" t="s">
        <v>1787</v>
      </c>
      <c r="I29" s="824" t="s">
        <v>1788</v>
      </c>
      <c r="J29" s="825">
        <f ca="1">ROUND(J26/(1+F40)^F41,0)</f>
        <v>0</v>
      </c>
      <c r="K29" s="826" t="s">
        <v>1789</v>
      </c>
      <c r="L29" s="827"/>
      <c r="M29" s="828">
        <f ca="1">INDIRECT("'数据-取费表'!k"&amp;$G$1)</f>
        <v>26749.200000000001</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267</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73.7</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23</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50.3</v>
      </c>
      <c r="D33" s="811" t="s">
        <v>3086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2937.46</v>
      </c>
      <c r="G35" s="2048"/>
      <c r="H35" s="2051"/>
      <c r="I35" s="837" t="s">
        <v>1814</v>
      </c>
      <c r="J35" s="838">
        <f ca="1">ROUND(C13*J36,0)</f>
        <v>964</v>
      </c>
      <c r="K35" s="2064"/>
      <c r="L35" s="2063"/>
      <c r="M35" s="2063"/>
    </row>
    <row r="36" spans="1:18" ht="18" customHeight="1">
      <c r="A36" s="1635" t="s">
        <v>1889</v>
      </c>
      <c r="B36" s="784" t="s">
        <v>1802</v>
      </c>
      <c r="C36" s="53">
        <f ca="1">ROUND(C29*F36,1)</f>
        <v>170.1</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17</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6.6</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173</v>
      </c>
      <c r="D39" s="2513" t="s">
        <v>1806</v>
      </c>
      <c r="E39" s="2514"/>
      <c r="F39" s="2515"/>
      <c r="G39" s="2048"/>
      <c r="H39" s="2063"/>
      <c r="I39" s="837" t="s">
        <v>1818</v>
      </c>
      <c r="J39" s="845">
        <f ca="1">ROUND(J35/C39,3)</f>
        <v>5.5720000000000001</v>
      </c>
      <c r="K39" s="2069"/>
      <c r="L39" s="2063"/>
      <c r="M39" s="2063"/>
    </row>
    <row r="40" spans="1:18" ht="18" customHeight="1">
      <c r="A40" s="781" t="s">
        <v>1780</v>
      </c>
      <c r="B40" s="2218" t="s">
        <v>2299</v>
      </c>
      <c r="C40" s="783">
        <f ca="1">ROUND(C39*(1-((1+F42)/(1+F40))^F41)/(F40-F42),0)</f>
        <v>2964</v>
      </c>
      <c r="D40" s="814" t="s">
        <v>1781</v>
      </c>
      <c r="E40" s="784" t="s">
        <v>2417</v>
      </c>
      <c r="F40" s="794">
        <f ca="1">INDIRECT("'数据-取费表'!I"&amp;$G$1)</f>
        <v>0.05</v>
      </c>
      <c r="G40" s="2048"/>
      <c r="H40" s="2048"/>
      <c r="I40" s="837" t="s">
        <v>1819</v>
      </c>
      <c r="J40" s="845">
        <f ca="1">1-J39</f>
        <v>-4.5720000000000001</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39.83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3.8250000000000002</v>
      </c>
      <c r="K42" s="2068"/>
      <c r="L42" s="1974"/>
      <c r="M42" s="1974"/>
    </row>
    <row r="43" spans="1:18" ht="18" customHeight="1" thickBot="1">
      <c r="A43" s="823" t="s">
        <v>1787</v>
      </c>
      <c r="B43" s="824" t="s">
        <v>1810</v>
      </c>
      <c r="C43" s="825">
        <f ca="1">ROUND(C40*10000/F43,0)</f>
        <v>1108</v>
      </c>
      <c r="D43" s="826" t="s">
        <v>1811</v>
      </c>
      <c r="E43" s="827" t="s">
        <v>1812</v>
      </c>
      <c r="F43" s="828">
        <f ca="1">INDIRECT("'数据-取费表'!k"&amp;$G$1)</f>
        <v>26749.200000000001</v>
      </c>
      <c r="G43" s="2048"/>
      <c r="H43" s="1974"/>
      <c r="I43" s="847" t="s">
        <v>1822</v>
      </c>
      <c r="J43" s="848">
        <f ca="1">1-J42</f>
        <v>-2.8250000000000002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-6185</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3087</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2964</v>
      </c>
      <c r="R48" s="2364" t="s">
        <v>2378</v>
      </c>
    </row>
    <row r="49" spans="1:18" s="2045" customFormat="1" ht="18" customHeight="1" thickBot="1">
      <c r="A49" s="786"/>
      <c r="B49" s="787"/>
      <c r="C49" s="788"/>
      <c r="D49" s="789"/>
      <c r="E49" s="784" t="s">
        <v>1739</v>
      </c>
      <c r="F49" s="785">
        <f ca="1">F7</f>
        <v>764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11337</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-14903</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39.83</v>
      </c>
      <c r="K53" s="3478" t="s">
        <v>2964</v>
      </c>
      <c r="L53" s="3479"/>
      <c r="O53" s="2366" t="s">
        <v>2386</v>
      </c>
      <c r="P53" s="2364" t="s">
        <v>2387</v>
      </c>
      <c r="Q53" s="2365">
        <f ca="1">J53</f>
        <v>39.83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2964</v>
      </c>
      <c r="R54" s="2368" t="s">
        <v>2390</v>
      </c>
    </row>
    <row r="55" spans="1:18" s="2045" customFormat="1" ht="18" customHeight="1" thickTop="1" thickBot="1">
      <c r="A55" s="797">
        <v>2</v>
      </c>
      <c r="B55" s="798" t="s">
        <v>644</v>
      </c>
      <c r="C55" s="799">
        <f ca="1">C13</f>
        <v>11337</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11337</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188</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2964</v>
      </c>
      <c r="R57" s="2364" t="s">
        <v>2378</v>
      </c>
    </row>
    <row r="58" spans="1:18" s="2045" customFormat="1" ht="28.5" customHeight="1" thickBot="1">
      <c r="A58" s="1635" t="s">
        <v>1824</v>
      </c>
      <c r="B58" s="784" t="s">
        <v>656</v>
      </c>
      <c r="C58" s="53">
        <f ca="1">ROUND(IF(项目基本情况!B11="自然人",C47*F58,C59+C60+C61),1)</f>
        <v>0.4</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2937.46</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170.1</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2964</v>
      </c>
      <c r="R63" s="2368" t="s">
        <v>2390</v>
      </c>
    </row>
    <row r="64" spans="1:18" s="2045" customFormat="1" ht="16.5" thickBot="1">
      <c r="A64" s="1635" t="s">
        <v>1890</v>
      </c>
      <c r="B64" s="784" t="s">
        <v>679</v>
      </c>
      <c r="C64" s="53">
        <f ca="1">ROUND(C55*F64,1)</f>
        <v>17</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-188</v>
      </c>
      <c r="D66" s="3184" t="s">
        <v>700</v>
      </c>
      <c r="E66" s="3187"/>
      <c r="F66" s="820"/>
      <c r="K66" s="2072"/>
      <c r="O66" s="2363" t="s">
        <v>2377</v>
      </c>
      <c r="P66" s="2364" t="s">
        <v>2403</v>
      </c>
      <c r="Q66" s="2365">
        <f ca="1">C40+J29</f>
        <v>2964</v>
      </c>
      <c r="R66" s="2364" t="s">
        <v>2378</v>
      </c>
    </row>
    <row r="67" spans="1:18" s="2045" customFormat="1" ht="20.25" thickBot="1">
      <c r="A67" s="781" t="s">
        <v>1780</v>
      </c>
      <c r="B67" s="2218" t="s">
        <v>2299</v>
      </c>
      <c r="C67" s="783">
        <f ca="1">ROUND(C66*(1-((1+F69)/(1+F67))^F68)/(F67-F69),0)</f>
        <v>-3221</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39.83</v>
      </c>
      <c r="O68" s="2366" t="s">
        <v>2381</v>
      </c>
      <c r="P68" s="2364" t="s">
        <v>2411</v>
      </c>
      <c r="Q68" s="2370">
        <f ca="1">L51</f>
        <v>-14903</v>
      </c>
      <c r="R68" s="2371" t="s">
        <v>2414</v>
      </c>
    </row>
    <row r="69" spans="1:18" ht="20.25" thickBot="1">
      <c r="A69" s="790"/>
      <c r="B69" s="791"/>
      <c r="C69" s="792"/>
      <c r="D69" s="816"/>
      <c r="E69" s="784" t="s">
        <v>710</v>
      </c>
      <c r="F69" s="2336"/>
      <c r="O69" s="2366" t="s">
        <v>2382</v>
      </c>
      <c r="P69" s="2372" t="s">
        <v>2396</v>
      </c>
      <c r="Q69" s="2365">
        <f ca="1">ROUND(Q70-Q71*Q72,0)</f>
        <v>-791</v>
      </c>
      <c r="R69" s="2368"/>
    </row>
    <row r="70" spans="1:18" ht="15.75" thickBot="1">
      <c r="A70" s="823" t="s">
        <v>1787</v>
      </c>
      <c r="B70" s="824" t="s">
        <v>1810</v>
      </c>
      <c r="C70" s="825">
        <f ca="1">ROUND(C67*10000/F70,0)</f>
        <v>-1204</v>
      </c>
      <c r="D70" s="826" t="s">
        <v>1811</v>
      </c>
      <c r="E70" s="827" t="s">
        <v>1812</v>
      </c>
      <c r="F70" s="828">
        <f ca="1">F43</f>
        <v>26749.200000000001</v>
      </c>
      <c r="O70" s="2366" t="s">
        <v>2397</v>
      </c>
      <c r="P70" s="2372" t="s">
        <v>2398</v>
      </c>
      <c r="Q70" s="2365">
        <f ca="1">C39</f>
        <v>173</v>
      </c>
      <c r="R70" s="2364" t="s">
        <v>2378</v>
      </c>
    </row>
    <row r="71" spans="1:18" ht="15.75" thickBot="1">
      <c r="O71" s="2366" t="s">
        <v>2399</v>
      </c>
      <c r="P71" s="2372" t="s">
        <v>2400</v>
      </c>
      <c r="Q71" s="2365">
        <f ca="1">C13</f>
        <v>11337</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2964</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2469</v>
      </c>
      <c r="B1" s="3497"/>
      <c r="C1" s="3498"/>
      <c r="D1" s="3499">
        <f>SUM(I10,I15,I20,I21,I23)</f>
        <v>0</v>
      </c>
      <c r="E1" s="3499"/>
      <c r="F1" s="3499"/>
      <c r="G1" s="3499"/>
      <c r="H1" s="3499"/>
      <c r="I1" s="3500"/>
    </row>
    <row r="2" spans="1:9">
      <c r="A2" s="3486" t="s">
        <v>2470</v>
      </c>
      <c r="B2" s="3487" t="s">
        <v>2471</v>
      </c>
      <c r="C2" s="3487"/>
      <c r="D2" s="2472" t="s">
        <v>2472</v>
      </c>
      <c r="E2" s="2472" t="s">
        <v>2473</v>
      </c>
      <c r="F2" s="2472" t="s">
        <v>2474</v>
      </c>
      <c r="G2" s="2472" t="s">
        <v>2475</v>
      </c>
      <c r="H2" s="2472" t="s">
        <v>2476</v>
      </c>
      <c r="I2" s="2473" t="s">
        <v>2477</v>
      </c>
    </row>
    <row r="3" spans="1:9">
      <c r="A3" s="3486"/>
      <c r="B3" s="3487" t="s">
        <v>2478</v>
      </c>
      <c r="C3" s="3487"/>
      <c r="D3" s="2474"/>
      <c r="E3" s="2472"/>
      <c r="F3" s="2475"/>
      <c r="G3" s="2475"/>
      <c r="H3" s="2476"/>
      <c r="I3" s="2477">
        <f>ROUND(D3*E3*F3*G3*H3/10000,0)</f>
        <v>0</v>
      </c>
    </row>
    <row r="4" spans="1:9">
      <c r="A4" s="3486"/>
      <c r="B4" s="3487" t="s">
        <v>2479</v>
      </c>
      <c r="C4" s="3487"/>
      <c r="D4" s="2474"/>
      <c r="E4" s="2472"/>
      <c r="F4" s="2475"/>
      <c r="G4" s="2475"/>
      <c r="H4" s="2476"/>
      <c r="I4" s="2477">
        <f t="shared" ref="I4:I9" si="0">ROUND(D4*E4*F4*G4*H4/10000,0)</f>
        <v>0</v>
      </c>
    </row>
    <row r="5" spans="1:9">
      <c r="A5" s="3486"/>
      <c r="B5" s="3487" t="s">
        <v>2480</v>
      </c>
      <c r="C5" s="3487"/>
      <c r="D5" s="2474"/>
      <c r="E5" s="2472"/>
      <c r="F5" s="2475"/>
      <c r="G5" s="2475"/>
      <c r="H5" s="2476"/>
      <c r="I5" s="2477">
        <f t="shared" si="0"/>
        <v>0</v>
      </c>
    </row>
    <row r="6" spans="1:9">
      <c r="A6" s="3486"/>
      <c r="B6" s="3487" t="s">
        <v>2481</v>
      </c>
      <c r="C6" s="3487"/>
      <c r="D6" s="2474"/>
      <c r="E6" s="2472"/>
      <c r="F6" s="2475"/>
      <c r="G6" s="2475"/>
      <c r="H6" s="2476"/>
      <c r="I6" s="2477">
        <f t="shared" si="0"/>
        <v>0</v>
      </c>
    </row>
    <row r="7" spans="1:9">
      <c r="A7" s="3486"/>
      <c r="B7" s="3487" t="s">
        <v>2482</v>
      </c>
      <c r="C7" s="3487"/>
      <c r="D7" s="2474"/>
      <c r="E7" s="2472"/>
      <c r="F7" s="2475"/>
      <c r="G7" s="2475"/>
      <c r="H7" s="2476"/>
      <c r="I7" s="2477">
        <f t="shared" si="0"/>
        <v>0</v>
      </c>
    </row>
    <row r="8" spans="1:9">
      <c r="A8" s="3486"/>
      <c r="B8" s="3487" t="s">
        <v>2483</v>
      </c>
      <c r="C8" s="3487"/>
      <c r="D8" s="2474"/>
      <c r="E8" s="2472"/>
      <c r="F8" s="2475"/>
      <c r="G8" s="2475"/>
      <c r="H8" s="2476"/>
      <c r="I8" s="2477">
        <f t="shared" si="0"/>
        <v>0</v>
      </c>
    </row>
    <row r="9" spans="1:9">
      <c r="A9" s="3486"/>
      <c r="B9" s="3487" t="s">
        <v>2484</v>
      </c>
      <c r="C9" s="3487"/>
      <c r="D9" s="2474"/>
      <c r="E9" s="2472"/>
      <c r="F9" s="2475"/>
      <c r="G9" s="2475"/>
      <c r="H9" s="2476"/>
      <c r="I9" s="2477">
        <f t="shared" si="0"/>
        <v>0</v>
      </c>
    </row>
    <row r="10" spans="1:9">
      <c r="A10" s="3486"/>
      <c r="B10" s="3488" t="s">
        <v>2485</v>
      </c>
      <c r="C10" s="3488"/>
      <c r="D10" s="2478">
        <v>527</v>
      </c>
      <c r="E10" s="2478" t="e">
        <f>ROUND(D1*10000/D10/H9,0)</f>
        <v>#DIV/0!</v>
      </c>
      <c r="F10" s="2479"/>
      <c r="G10" s="2479"/>
      <c r="H10" s="2480"/>
      <c r="I10" s="2481">
        <f>SUM(I3:I9)</f>
        <v>0</v>
      </c>
    </row>
    <row r="11" spans="1:9" ht="14.25">
      <c r="A11" s="3486" t="s">
        <v>2486</v>
      </c>
      <c r="B11" s="3487" t="s">
        <v>2487</v>
      </c>
      <c r="C11" s="3487"/>
      <c r="D11" s="2474" t="s">
        <v>2488</v>
      </c>
      <c r="E11" s="2474" t="s">
        <v>2489</v>
      </c>
      <c r="F11" s="2475" t="s">
        <v>2490</v>
      </c>
      <c r="G11" s="2475" t="s">
        <v>2491</v>
      </c>
      <c r="H11" s="2482" t="s">
        <v>2492</v>
      </c>
      <c r="I11" s="2473" t="s">
        <v>2493</v>
      </c>
    </row>
    <row r="12" spans="1:9">
      <c r="A12" s="3486"/>
      <c r="B12" s="3487" t="s">
        <v>2494</v>
      </c>
      <c r="C12" s="3487"/>
      <c r="D12" s="2474"/>
      <c r="E12" s="2474"/>
      <c r="F12" s="2475"/>
      <c r="G12" s="2476"/>
      <c r="H12" s="2483"/>
      <c r="I12" s="2473">
        <f>ROUND(D12*E12*F12*G12/10000,0)</f>
        <v>0</v>
      </c>
    </row>
    <row r="13" spans="1:9">
      <c r="A13" s="3486"/>
      <c r="B13" s="3487" t="s">
        <v>2495</v>
      </c>
      <c r="C13" s="3487"/>
      <c r="D13" s="2474"/>
      <c r="E13" s="2474"/>
      <c r="F13" s="2475"/>
      <c r="G13" s="2476"/>
      <c r="H13" s="2483"/>
      <c r="I13" s="2473">
        <f>ROUND(D13*E13*F13*G13/10000,0)</f>
        <v>0</v>
      </c>
    </row>
    <row r="14" spans="1:9">
      <c r="A14" s="3486"/>
      <c r="B14" s="3487" t="s">
        <v>2496</v>
      </c>
      <c r="C14" s="3487"/>
      <c r="D14" s="2474"/>
      <c r="E14" s="2474"/>
      <c r="F14" s="2475"/>
      <c r="G14" s="2476"/>
      <c r="H14" s="2483"/>
      <c r="I14" s="2473">
        <f>ROUND(D14*E14*F14*G14/10000,0)</f>
        <v>0</v>
      </c>
    </row>
    <row r="15" spans="1:9">
      <c r="A15" s="3486"/>
      <c r="B15" s="3488" t="s">
        <v>2485</v>
      </c>
      <c r="C15" s="3488"/>
      <c r="D15" s="2478"/>
      <c r="E15" s="2478">
        <f>SUM(E12:E14)</f>
        <v>0</v>
      </c>
      <c r="F15" s="2479"/>
      <c r="G15" s="2476"/>
      <c r="H15" s="2483"/>
      <c r="I15" s="2484">
        <f>SUM(I12:I14)</f>
        <v>0</v>
      </c>
    </row>
    <row r="16" spans="1:9" ht="24">
      <c r="A16" s="3486" t="s">
        <v>2497</v>
      </c>
      <c r="B16" s="3487" t="s">
        <v>2498</v>
      </c>
      <c r="C16" s="3487"/>
      <c r="D16" s="2474" t="s">
        <v>2499</v>
      </c>
      <c r="E16" s="2485" t="s">
        <v>2500</v>
      </c>
      <c r="F16" s="2475" t="s">
        <v>2501</v>
      </c>
      <c r="G16" s="2476" t="s">
        <v>2491</v>
      </c>
      <c r="H16" s="2482" t="s">
        <v>2492</v>
      </c>
      <c r="I16" s="2473" t="s">
        <v>2493</v>
      </c>
    </row>
    <row r="17" spans="1:9" ht="14.25">
      <c r="A17" s="3486"/>
      <c r="B17" s="3487" t="s">
        <v>2502</v>
      </c>
      <c r="C17" s="3487"/>
      <c r="D17" s="2474"/>
      <c r="E17" s="2474"/>
      <c r="F17" s="2475"/>
      <c r="G17" s="2476"/>
      <c r="H17" s="2486"/>
      <c r="I17" s="2487">
        <f>ROUND(D17*E17*F17*G17/10000,0)</f>
        <v>0</v>
      </c>
    </row>
    <row r="18" spans="1:9" ht="14.25">
      <c r="A18" s="3486"/>
      <c r="B18" s="3487" t="s">
        <v>2503</v>
      </c>
      <c r="C18" s="3487"/>
      <c r="D18" s="2474"/>
      <c r="E18" s="2474"/>
      <c r="F18" s="2475"/>
      <c r="G18" s="2476"/>
      <c r="H18" s="2486"/>
      <c r="I18" s="2487">
        <f>ROUND(D18*E18*F18*G18/10000,0)</f>
        <v>0</v>
      </c>
    </row>
    <row r="19" spans="1:9" ht="14.25">
      <c r="A19" s="3486"/>
      <c r="B19" s="3487" t="s">
        <v>2504</v>
      </c>
      <c r="C19" s="3487"/>
      <c r="D19" s="2474"/>
      <c r="E19" s="2474"/>
      <c r="F19" s="2475"/>
      <c r="G19" s="2476"/>
      <c r="H19" s="2486"/>
      <c r="I19" s="2487">
        <f>ROUND(D19*E19*F19*G19/10000,0)</f>
        <v>0</v>
      </c>
    </row>
    <row r="20" spans="1:9">
      <c r="A20" s="3486"/>
      <c r="B20" s="3488" t="s">
        <v>2485</v>
      </c>
      <c r="C20" s="3488"/>
      <c r="D20" s="2478">
        <f>SUM(D17:D19)</f>
        <v>0</v>
      </c>
      <c r="E20" s="2478"/>
      <c r="F20" s="2479"/>
      <c r="G20" s="2476"/>
      <c r="H20" s="2483"/>
      <c r="I20" s="2484">
        <f>SUM(I17:I19)</f>
        <v>0</v>
      </c>
    </row>
    <row r="21" spans="1:9">
      <c r="A21" s="3486" t="s">
        <v>2505</v>
      </c>
      <c r="B21" s="3489"/>
      <c r="C21" s="3489"/>
      <c r="D21" s="3489"/>
      <c r="E21" s="3489"/>
      <c r="F21" s="3489"/>
      <c r="G21" s="3489"/>
      <c r="H21" s="2488">
        <v>0.1</v>
      </c>
      <c r="I21" s="2481">
        <f>ROUND(I10*H21,0)</f>
        <v>0</v>
      </c>
    </row>
    <row r="22" spans="1:9" ht="14.25">
      <c r="A22" s="3490" t="s">
        <v>2506</v>
      </c>
      <c r="B22" s="3491"/>
      <c r="C22" s="3492"/>
      <c r="D22" s="2489" t="s">
        <v>2507</v>
      </c>
      <c r="E22" s="2489" t="s">
        <v>2508</v>
      </c>
      <c r="F22" s="2490" t="s">
        <v>2509</v>
      </c>
      <c r="G22" s="2490" t="s">
        <v>2510</v>
      </c>
      <c r="H22" s="2482" t="s">
        <v>2511</v>
      </c>
      <c r="I22" s="2473" t="s">
        <v>2512</v>
      </c>
    </row>
    <row r="23" spans="1:9" ht="14.25" thickBot="1">
      <c r="A23" s="3493"/>
      <c r="B23" s="3494"/>
      <c r="C23" s="3495"/>
      <c r="D23" s="2491"/>
      <c r="E23" s="2491"/>
      <c r="F23" s="2491"/>
      <c r="G23" s="2492"/>
      <c r="H23" s="2493"/>
      <c r="I23" s="2494">
        <f>ROUND(E23*D23*F23*(1-G23)/10000,0)</f>
        <v>0</v>
      </c>
    </row>
    <row r="26" spans="1:9">
      <c r="A26" s="2495" t="s">
        <v>2513</v>
      </c>
      <c r="B26" s="2495"/>
      <c r="C26" s="2495"/>
      <c r="D26" s="2495"/>
      <c r="E26" s="3483">
        <f>C27-C30-C31-C32</f>
        <v>0</v>
      </c>
      <c r="F26" s="3483"/>
      <c r="G26" s="3483"/>
      <c r="H26" s="2996" t="s">
        <v>2840</v>
      </c>
    </row>
    <row r="27" spans="1:9">
      <c r="A27" s="2496">
        <v>1</v>
      </c>
      <c r="B27" s="2497" t="s">
        <v>2514</v>
      </c>
      <c r="C27" s="2497"/>
      <c r="D27" s="2497"/>
      <c r="E27" s="3484"/>
      <c r="F27" s="3484"/>
      <c r="G27" s="3484"/>
    </row>
    <row r="28" spans="1:9">
      <c r="A28" s="2498" t="s">
        <v>2515</v>
      </c>
      <c r="B28" s="2497" t="s">
        <v>2516</v>
      </c>
      <c r="C28" s="2497"/>
      <c r="D28" s="2497"/>
      <c r="E28" s="3484"/>
      <c r="F28" s="3484"/>
      <c r="G28" s="3484"/>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85"/>
      <c r="F32" s="3485"/>
      <c r="G32" s="3485"/>
    </row>
    <row r="33" spans="1:7" hidden="1">
      <c r="A33" s="3480" t="s">
        <v>2524</v>
      </c>
      <c r="B33" s="3481"/>
      <c r="C33" s="3481"/>
      <c r="D33" s="3482"/>
      <c r="E33" s="3483"/>
      <c r="F33" s="3483"/>
      <c r="G33" s="3483"/>
    </row>
    <row r="34" spans="1:7" hidden="1">
      <c r="A34" s="2500">
        <v>1</v>
      </c>
      <c r="B34" s="2497" t="s">
        <v>2525</v>
      </c>
      <c r="C34" s="2497"/>
      <c r="D34" s="2497"/>
      <c r="E34" s="3484"/>
      <c r="F34" s="3484"/>
      <c r="G34" s="3484"/>
    </row>
    <row r="35" spans="1:7" hidden="1">
      <c r="A35" s="2500">
        <v>2</v>
      </c>
      <c r="B35" s="2497" t="s">
        <v>2526</v>
      </c>
      <c r="C35" s="2497"/>
      <c r="D35" s="2497"/>
      <c r="E35" s="3484"/>
      <c r="F35" s="3484"/>
      <c r="G35" s="3484"/>
    </row>
    <row r="36" spans="1:7" hidden="1">
      <c r="A36" s="2500">
        <v>3</v>
      </c>
      <c r="B36" s="2497" t="s">
        <v>2527</v>
      </c>
      <c r="C36" s="2497"/>
      <c r="D36" s="2497"/>
      <c r="E36" s="3484"/>
      <c r="F36" s="3484"/>
      <c r="G36" s="3484"/>
    </row>
    <row r="37" spans="1:7" hidden="1">
      <c r="A37" s="2500">
        <v>4</v>
      </c>
      <c r="B37" s="2497" t="s">
        <v>2528</v>
      </c>
      <c r="C37" s="2497"/>
      <c r="D37" s="2497"/>
      <c r="E37" s="3484"/>
      <c r="F37" s="3484"/>
      <c r="G37" s="3484"/>
    </row>
    <row r="38" spans="1:7" hidden="1">
      <c r="A38" s="3480" t="s">
        <v>2529</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2836</v>
      </c>
      <c r="C2" s="2094"/>
      <c r="D2" s="2094"/>
      <c r="E2" s="2094"/>
      <c r="F2" s="2094"/>
      <c r="G2" s="2094"/>
    </row>
    <row r="3" spans="1:25" s="2045" customFormat="1" ht="18" customHeight="1">
      <c r="A3" s="1376" t="s">
        <v>1685</v>
      </c>
      <c r="B3" s="425">
        <f ca="1">ROUND(B2*10000/'数据-汇总表'!E3,0)</f>
        <v>192</v>
      </c>
      <c r="C3" s="2094"/>
      <c r="D3" s="2094"/>
      <c r="E3" s="2094"/>
      <c r="F3" s="2094"/>
      <c r="G3" s="2094"/>
    </row>
    <row r="4" spans="1:25" s="2045" customFormat="1" ht="18" customHeight="1">
      <c r="A4" s="426" t="s">
        <v>468</v>
      </c>
      <c r="B4" s="427">
        <f ca="1">ROUND(B2*10000/'数据-汇总表'!D3,0)</f>
        <v>1804</v>
      </c>
      <c r="C4" s="2047"/>
      <c r="D4" s="2094"/>
      <c r="E4" s="2094"/>
      <c r="F4" s="2094"/>
      <c r="G4" s="2094"/>
    </row>
    <row r="5" spans="1:25" s="2045" customFormat="1" ht="18" customHeight="1" thickBot="1">
      <c r="A5" s="429"/>
      <c r="B5" s="430">
        <f ca="1">ROUND(B2/('数据-汇总表'!D3/666.67),0)</f>
        <v>120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 ca="1">C11+C14+C15</f>
        <v>2956</v>
      </c>
      <c r="D10" s="760">
        <f>'数据-汇总表'!E3</f>
        <v>147819.42000000001</v>
      </c>
      <c r="E10" s="749">
        <f>'数据-取费表'!B31</f>
        <v>200</v>
      </c>
      <c r="F10" s="761"/>
      <c r="G10" s="759" t="s">
        <v>614</v>
      </c>
    </row>
    <row r="11" spans="1:25" s="2169" customFormat="1" ht="13.5" customHeight="1">
      <c r="A11" s="2434" t="s">
        <v>2438</v>
      </c>
      <c r="B11" s="752" t="s">
        <v>610</v>
      </c>
      <c r="C11" s="753">
        <f ca="1">'数据-取费表'!B29</f>
        <v>2956</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2956</v>
      </c>
      <c r="D13" s="758">
        <f>'数据-汇总表'!E6</f>
        <v>147819.42000000001</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 ca="1">ROUND((C7+C10+C16)*F18,0)</f>
        <v>384</v>
      </c>
      <c r="D18" s="762"/>
      <c r="E18" s="763"/>
      <c r="F18" s="761">
        <f>'数据-取费表'!Q16</f>
        <v>0.13</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3340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3340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2836</v>
      </c>
      <c r="D22" s="760"/>
      <c r="E22" s="749"/>
      <c r="F22" s="766">
        <f>'数据-取费表'!AP16</f>
        <v>0.84899999999999998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2836</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3" t="s">
        <v>522</v>
      </c>
      <c r="D4" s="3404"/>
      <c r="E4" s="3428" t="s">
        <v>523</v>
      </c>
      <c r="F4" s="3429"/>
      <c r="G4" s="3403" t="s">
        <v>524</v>
      </c>
      <c r="H4" s="3404"/>
      <c r="I4" s="3403" t="s">
        <v>525</v>
      </c>
      <c r="J4" s="3404"/>
      <c r="K4" s="853" t="s">
        <v>526</v>
      </c>
      <c r="L4" s="2119"/>
      <c r="M4" s="2120"/>
      <c r="N4" s="2120"/>
      <c r="O4" s="2120"/>
      <c r="P4" s="3405" t="s">
        <v>527</v>
      </c>
      <c r="Q4" s="3406"/>
      <c r="R4" s="3391" t="s">
        <v>523</v>
      </c>
      <c r="S4" s="3392"/>
      <c r="T4" s="3391" t="s">
        <v>524</v>
      </c>
      <c r="U4" s="3392"/>
      <c r="V4" s="3411" t="s">
        <v>525</v>
      </c>
      <c r="W4" s="3411"/>
      <c r="X4" s="1554"/>
      <c r="Y4" s="3391" t="s">
        <v>527</v>
      </c>
      <c r="Z4" s="3392"/>
      <c r="AA4" s="3386" t="s">
        <v>523</v>
      </c>
      <c r="AB4" s="3386" t="s">
        <v>524</v>
      </c>
      <c r="AC4" s="3386" t="s">
        <v>525</v>
      </c>
    </row>
    <row r="5" spans="1:29" ht="15">
      <c r="A5" s="515"/>
      <c r="B5" s="516"/>
      <c r="C5" s="3414" t="s">
        <v>2928</v>
      </c>
      <c r="D5" s="3415"/>
      <c r="E5" s="3430" t="s">
        <v>2929</v>
      </c>
      <c r="F5" s="3431"/>
      <c r="G5" s="3414" t="s">
        <v>2930</v>
      </c>
      <c r="H5" s="3415"/>
      <c r="I5" s="3414" t="s">
        <v>2931</v>
      </c>
      <c r="J5" s="3415"/>
      <c r="K5" s="854"/>
      <c r="L5" s="2119"/>
      <c r="M5" s="2120"/>
      <c r="N5" s="2120"/>
      <c r="O5" s="2120"/>
      <c r="P5" s="3407"/>
      <c r="Q5" s="3408"/>
      <c r="R5" s="3393"/>
      <c r="S5" s="3394"/>
      <c r="T5" s="3393"/>
      <c r="U5" s="3394"/>
      <c r="V5" s="3411"/>
      <c r="W5" s="3411"/>
      <c r="X5" s="1554"/>
      <c r="Y5" s="3393"/>
      <c r="Z5" s="3394"/>
      <c r="AA5" s="3387"/>
      <c r="AB5" s="3387"/>
      <c r="AC5" s="3387"/>
    </row>
    <row r="6" spans="1:29" ht="15.75" thickBot="1">
      <c r="A6" s="517"/>
      <c r="B6" s="518"/>
      <c r="C6" s="3412" t="s">
        <v>2932</v>
      </c>
      <c r="D6" s="3413"/>
      <c r="E6" s="3432" t="s">
        <v>2932</v>
      </c>
      <c r="F6" s="3433"/>
      <c r="G6" s="3412" t="s">
        <v>2932</v>
      </c>
      <c r="H6" s="3413"/>
      <c r="I6" s="3412" t="s">
        <v>2932</v>
      </c>
      <c r="J6" s="3413"/>
      <c r="K6" s="854" t="s">
        <v>528</v>
      </c>
      <c r="L6" s="2119"/>
      <c r="M6" s="2120"/>
      <c r="N6" s="2120"/>
      <c r="O6" s="2120"/>
      <c r="P6" s="3409"/>
      <c r="Q6" s="3410"/>
      <c r="R6" s="3393"/>
      <c r="S6" s="3394"/>
      <c r="T6" s="3395"/>
      <c r="U6" s="3396"/>
      <c r="V6" s="3411"/>
      <c r="W6" s="3411"/>
      <c r="X6" s="1554"/>
      <c r="Y6" s="3395"/>
      <c r="Z6" s="3396"/>
      <c r="AA6" s="3388"/>
      <c r="AB6" s="3388"/>
      <c r="AC6" s="3388"/>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9" t="s">
        <v>530</v>
      </c>
      <c r="Q7" s="3398"/>
      <c r="R7" s="1555" t="s">
        <v>13</v>
      </c>
      <c r="S7" s="1556">
        <f t="shared" ref="S7:S15" si="0">F7</f>
        <v>0</v>
      </c>
      <c r="T7" s="1555" t="s">
        <v>13</v>
      </c>
      <c r="U7" s="1556">
        <f t="shared" ref="U7:U15" si="1">H7</f>
        <v>0</v>
      </c>
      <c r="V7" s="1555" t="s">
        <v>13</v>
      </c>
      <c r="W7" s="1556">
        <f t="shared" ref="W7:W15" si="2">J7</f>
        <v>0</v>
      </c>
      <c r="X7" s="1557"/>
      <c r="Y7" s="3389" t="s">
        <v>530</v>
      </c>
      <c r="Z7" s="3390"/>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9" t="s">
        <v>533</v>
      </c>
      <c r="Q8" s="3390"/>
      <c r="R8" s="1555" t="s">
        <v>13</v>
      </c>
      <c r="S8" s="1556">
        <f t="shared" si="0"/>
        <v>0</v>
      </c>
      <c r="T8" s="1555" t="s">
        <v>13</v>
      </c>
      <c r="U8" s="1556">
        <f t="shared" si="1"/>
        <v>0</v>
      </c>
      <c r="V8" s="1555" t="s">
        <v>13</v>
      </c>
      <c r="W8" s="1556">
        <f t="shared" si="2"/>
        <v>0</v>
      </c>
      <c r="X8" s="1557"/>
      <c r="Y8" s="3389" t="s">
        <v>533</v>
      </c>
      <c r="Z8" s="3390"/>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7" t="s">
        <v>535</v>
      </c>
      <c r="Q9" s="1147" t="str">
        <f t="shared" ref="Q9:Q15" si="6">B9</f>
        <v>用途</v>
      </c>
      <c r="R9" s="1555" t="s">
        <v>8</v>
      </c>
      <c r="S9" s="1556">
        <f t="shared" si="0"/>
        <v>100</v>
      </c>
      <c r="T9" s="1555" t="s">
        <v>8</v>
      </c>
      <c r="U9" s="1556">
        <f t="shared" si="1"/>
        <v>100</v>
      </c>
      <c r="V9" s="1555" t="s">
        <v>8</v>
      </c>
      <c r="W9" s="1556">
        <f t="shared" si="2"/>
        <v>100</v>
      </c>
      <c r="X9" s="1557"/>
      <c r="Y9" s="3354"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7"/>
      <c r="Q10" s="1147" t="str">
        <f t="shared" si="6"/>
        <v>土地使用年限（年）</v>
      </c>
      <c r="R10" s="1555" t="s">
        <v>8</v>
      </c>
      <c r="S10" s="1556">
        <f t="shared" si="0"/>
        <v>100</v>
      </c>
      <c r="T10" s="1555" t="s">
        <v>8</v>
      </c>
      <c r="U10" s="1556">
        <f t="shared" si="1"/>
        <v>100</v>
      </c>
      <c r="V10" s="1555" t="s">
        <v>8</v>
      </c>
      <c r="W10" s="1556">
        <f t="shared" si="2"/>
        <v>100</v>
      </c>
      <c r="X10" s="1557"/>
      <c r="Y10" s="3354"/>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7"/>
      <c r="Q11" s="1147" t="str">
        <f t="shared" si="6"/>
        <v>容积率</v>
      </c>
      <c r="R11" s="1555" t="s">
        <v>11</v>
      </c>
      <c r="S11" s="1556" t="e">
        <f t="shared" si="0"/>
        <v>#N/A</v>
      </c>
      <c r="T11" s="1555" t="s">
        <v>11</v>
      </c>
      <c r="U11" s="1556" t="e">
        <f t="shared" si="1"/>
        <v>#N/A</v>
      </c>
      <c r="V11" s="1555" t="s">
        <v>11</v>
      </c>
      <c r="W11" s="1556" t="e">
        <f t="shared" si="2"/>
        <v>#N/A</v>
      </c>
      <c r="X11" s="1557"/>
      <c r="Y11" s="335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7"/>
      <c r="Q12" s="1147">
        <f t="shared" si="6"/>
        <v>111</v>
      </c>
      <c r="R12" s="1555" t="s">
        <v>11</v>
      </c>
      <c r="S12" s="1556">
        <f t="shared" si="0"/>
        <v>100</v>
      </c>
      <c r="T12" s="1555" t="s">
        <v>11</v>
      </c>
      <c r="U12" s="1556">
        <f t="shared" si="1"/>
        <v>100</v>
      </c>
      <c r="V12" s="1555" t="s">
        <v>11</v>
      </c>
      <c r="W12" s="1556">
        <f t="shared" si="2"/>
        <v>100</v>
      </c>
      <c r="X12" s="1557"/>
      <c r="Y12" s="3354"/>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7"/>
      <c r="Q13" s="1147">
        <f t="shared" si="6"/>
        <v>111</v>
      </c>
      <c r="R13" s="1555" t="s">
        <v>11</v>
      </c>
      <c r="S13" s="1556">
        <f t="shared" si="0"/>
        <v>100</v>
      </c>
      <c r="T13" s="1555" t="s">
        <v>11</v>
      </c>
      <c r="U13" s="1556">
        <f t="shared" si="1"/>
        <v>100</v>
      </c>
      <c r="V13" s="1555" t="s">
        <v>11</v>
      </c>
      <c r="W13" s="1556">
        <f t="shared" si="2"/>
        <v>100</v>
      </c>
      <c r="X13" s="1557"/>
      <c r="Y13" s="3354"/>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7"/>
      <c r="Q14" s="1147">
        <f t="shared" si="6"/>
        <v>111</v>
      </c>
      <c r="R14" s="1555" t="s">
        <v>11</v>
      </c>
      <c r="S14" s="1556">
        <f t="shared" si="0"/>
        <v>100</v>
      </c>
      <c r="T14" s="1555" t="s">
        <v>11</v>
      </c>
      <c r="U14" s="1556">
        <f t="shared" si="1"/>
        <v>100</v>
      </c>
      <c r="V14" s="1555" t="s">
        <v>11</v>
      </c>
      <c r="W14" s="1556">
        <f t="shared" si="2"/>
        <v>100</v>
      </c>
      <c r="X14" s="1557"/>
      <c r="Y14" s="3354"/>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9" t="s">
        <v>540</v>
      </c>
      <c r="Q15" s="1559" t="str">
        <f t="shared" si="6"/>
        <v>居住社区成熟度</v>
      </c>
      <c r="R15" s="1560" t="s">
        <v>11</v>
      </c>
      <c r="S15" s="1561">
        <f t="shared" si="0"/>
        <v>100</v>
      </c>
      <c r="T15" s="1560" t="s">
        <v>11</v>
      </c>
      <c r="U15" s="1561">
        <f t="shared" si="1"/>
        <v>100</v>
      </c>
      <c r="V15" s="1560" t="s">
        <v>11</v>
      </c>
      <c r="W15" s="1561">
        <f t="shared" si="2"/>
        <v>100</v>
      </c>
      <c r="X15" s="1554"/>
      <c r="Y15" s="339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0"/>
      <c r="Q17" s="1559" t="str">
        <f>B17</f>
        <v>交通便捷度</v>
      </c>
      <c r="R17" s="1560" t="s">
        <v>11</v>
      </c>
      <c r="S17" s="1561">
        <f>F17</f>
        <v>100</v>
      </c>
      <c r="T17" s="1560" t="s">
        <v>11</v>
      </c>
      <c r="U17" s="1561">
        <f>H17</f>
        <v>100</v>
      </c>
      <c r="V17" s="1560" t="s">
        <v>11</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0"/>
      <c r="Q19" s="1559" t="str">
        <f>B19</f>
        <v>公共配套设施</v>
      </c>
      <c r="R19" s="1560" t="s">
        <v>11</v>
      </c>
      <c r="S19" s="1561">
        <f>F19</f>
        <v>100</v>
      </c>
      <c r="T19" s="1560" t="s">
        <v>11</v>
      </c>
      <c r="U19" s="1561">
        <f>H19</f>
        <v>100</v>
      </c>
      <c r="V19" s="1560" t="s">
        <v>11</v>
      </c>
      <c r="W19" s="1561">
        <f>J19</f>
        <v>100</v>
      </c>
      <c r="X19" s="1554"/>
      <c r="Y19" s="340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0"/>
      <c r="Q21" s="2544" t="str">
        <f>B21</f>
        <v>基础设施水平</v>
      </c>
      <c r="R21" s="1560" t="s">
        <v>11</v>
      </c>
      <c r="S21" s="1561">
        <f>F21</f>
        <v>100</v>
      </c>
      <c r="T21" s="1560" t="s">
        <v>11</v>
      </c>
      <c r="U21" s="1561">
        <f>H21</f>
        <v>100</v>
      </c>
      <c r="V21" s="1560" t="s">
        <v>11</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0"/>
      <c r="Q22" s="2544"/>
      <c r="R22" s="1560"/>
      <c r="S22" s="1561"/>
      <c r="T22" s="1560"/>
      <c r="U22" s="1561"/>
      <c r="V22" s="1560"/>
      <c r="W22" s="1561"/>
      <c r="X22" s="2546"/>
      <c r="Y22" s="340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0"/>
      <c r="Q23" s="1559" t="str">
        <f>B23</f>
        <v>自然及人文环境</v>
      </c>
      <c r="R23" s="1560" t="s">
        <v>11</v>
      </c>
      <c r="S23" s="1561">
        <f>F23</f>
        <v>100</v>
      </c>
      <c r="T23" s="1560" t="s">
        <v>11</v>
      </c>
      <c r="U23" s="1561">
        <f>H23</f>
        <v>100</v>
      </c>
      <c r="V23" s="1560" t="s">
        <v>11</v>
      </c>
      <c r="W23" s="1561">
        <f>J23</f>
        <v>100</v>
      </c>
      <c r="X23" s="1554"/>
      <c r="Y23" s="340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0"/>
      <c r="Q25" s="1559" t="str">
        <f t="shared" ref="Q25:Q46" si="11">B25</f>
        <v>楼层-1</v>
      </c>
      <c r="R25" s="1560" t="s">
        <v>11</v>
      </c>
      <c r="S25" s="1561">
        <f>F25</f>
        <v>100</v>
      </c>
      <c r="T25" s="1560" t="s">
        <v>11</v>
      </c>
      <c r="U25" s="1561">
        <f>H25</f>
        <v>100</v>
      </c>
      <c r="V25" s="1560" t="s">
        <v>11</v>
      </c>
      <c r="W25" s="1561">
        <f>J25</f>
        <v>100</v>
      </c>
      <c r="X25" s="1554"/>
      <c r="Y25" s="340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0"/>
      <c r="Q26" s="1559" t="str">
        <f t="shared" si="11"/>
        <v>朝向</v>
      </c>
      <c r="R26" s="1560" t="s">
        <v>11</v>
      </c>
      <c r="S26" s="1561">
        <f>F26</f>
        <v>100</v>
      </c>
      <c r="T26" s="1560" t="s">
        <v>11</v>
      </c>
      <c r="U26" s="1561">
        <f>H26</f>
        <v>100</v>
      </c>
      <c r="V26" s="1560" t="s">
        <v>11</v>
      </c>
      <c r="W26" s="1561">
        <f>J26</f>
        <v>100</v>
      </c>
      <c r="X26" s="1554"/>
      <c r="Y26" s="340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0"/>
      <c r="Q27" s="1147" t="str">
        <f t="shared" si="11"/>
        <v>道路级别</v>
      </c>
      <c r="R27" s="1555" t="s">
        <v>11</v>
      </c>
      <c r="S27" s="1556">
        <f>F27</f>
        <v>100</v>
      </c>
      <c r="T27" s="1555" t="s">
        <v>11</v>
      </c>
      <c r="U27" s="1556">
        <f>H27</f>
        <v>100</v>
      </c>
      <c r="V27" s="1555" t="s">
        <v>11</v>
      </c>
      <c r="W27" s="1556">
        <f>J27</f>
        <v>100</v>
      </c>
      <c r="X27" s="1557"/>
      <c r="Y27" s="340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0"/>
      <c r="Q29" s="1559">
        <f t="shared" si="11"/>
        <v>111</v>
      </c>
      <c r="R29" s="1560" t="s">
        <v>11</v>
      </c>
      <c r="S29" s="1561">
        <f t="shared" si="12"/>
        <v>100</v>
      </c>
      <c r="T29" s="1560" t="s">
        <v>11</v>
      </c>
      <c r="U29" s="1561">
        <f t="shared" si="13"/>
        <v>100</v>
      </c>
      <c r="V29" s="1560" t="s">
        <v>11</v>
      </c>
      <c r="W29" s="1561">
        <f t="shared" si="14"/>
        <v>100</v>
      </c>
      <c r="X29" s="1554"/>
      <c r="Y29" s="340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0"/>
      <c r="Q30" s="1559">
        <f t="shared" si="11"/>
        <v>111</v>
      </c>
      <c r="R30" s="1560" t="s">
        <v>11</v>
      </c>
      <c r="S30" s="1561">
        <f t="shared" si="12"/>
        <v>100</v>
      </c>
      <c r="T30" s="1560" t="s">
        <v>11</v>
      </c>
      <c r="U30" s="1561">
        <f t="shared" si="13"/>
        <v>100</v>
      </c>
      <c r="V30" s="1560" t="s">
        <v>11</v>
      </c>
      <c r="W30" s="1561">
        <f t="shared" si="14"/>
        <v>100</v>
      </c>
      <c r="X30" s="1554"/>
      <c r="Y30" s="340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0"/>
      <c r="Q31" s="1559">
        <f t="shared" si="11"/>
        <v>111</v>
      </c>
      <c r="R31" s="1560" t="s">
        <v>11</v>
      </c>
      <c r="S31" s="1561">
        <f t="shared" si="12"/>
        <v>100</v>
      </c>
      <c r="T31" s="1560" t="s">
        <v>11</v>
      </c>
      <c r="U31" s="1561">
        <f t="shared" si="13"/>
        <v>100</v>
      </c>
      <c r="V31" s="1560" t="s">
        <v>11</v>
      </c>
      <c r="W31" s="1561">
        <f t="shared" si="14"/>
        <v>100</v>
      </c>
      <c r="X31" s="1554"/>
      <c r="Y31" s="3400"/>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1" t="s">
        <v>550</v>
      </c>
      <c r="Q32" s="1559" t="str">
        <f t="shared" si="11"/>
        <v>建筑类型</v>
      </c>
      <c r="R32" s="1560" t="s">
        <v>11</v>
      </c>
      <c r="S32" s="1561">
        <f t="shared" si="12"/>
        <v>100</v>
      </c>
      <c r="T32" s="1560" t="s">
        <v>11</v>
      </c>
      <c r="U32" s="1561">
        <f t="shared" si="13"/>
        <v>100</v>
      </c>
      <c r="V32" s="1560" t="s">
        <v>11</v>
      </c>
      <c r="W32" s="1561">
        <f t="shared" si="14"/>
        <v>100</v>
      </c>
      <c r="X32" s="1554"/>
      <c r="Y32" s="340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2"/>
      <c r="Q33" s="1591" t="str">
        <f t="shared" si="11"/>
        <v>项目建筑规模</v>
      </c>
      <c r="R33" s="1564" t="s">
        <v>11</v>
      </c>
      <c r="S33" s="1565" t="e">
        <f t="shared" si="12"/>
        <v>#N/A</v>
      </c>
      <c r="T33" s="1564" t="s">
        <v>11</v>
      </c>
      <c r="U33" s="1565" t="e">
        <f t="shared" si="13"/>
        <v>#N/A</v>
      </c>
      <c r="V33" s="1564" t="s">
        <v>11</v>
      </c>
      <c r="W33" s="1565" t="e">
        <f t="shared" si="14"/>
        <v>#N/A</v>
      </c>
      <c r="X33" s="1566"/>
      <c r="Y33" s="340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2"/>
      <c r="Q34" s="1559" t="str">
        <f t="shared" si="11"/>
        <v>建筑结构</v>
      </c>
      <c r="R34" s="1560" t="s">
        <v>11</v>
      </c>
      <c r="S34" s="1561">
        <f t="shared" si="12"/>
        <v>100</v>
      </c>
      <c r="T34" s="1560" t="s">
        <v>11</v>
      </c>
      <c r="U34" s="1561">
        <f t="shared" si="13"/>
        <v>100</v>
      </c>
      <c r="V34" s="1560" t="s">
        <v>11</v>
      </c>
      <c r="W34" s="1561">
        <f t="shared" si="14"/>
        <v>100</v>
      </c>
      <c r="X34" s="1554"/>
      <c r="Y34" s="340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2"/>
      <c r="Q35" s="1559" t="str">
        <f t="shared" si="11"/>
        <v>建筑品质</v>
      </c>
      <c r="R35" s="1560" t="s">
        <v>11</v>
      </c>
      <c r="S35" s="1561">
        <f t="shared" si="12"/>
        <v>100</v>
      </c>
      <c r="T35" s="1560" t="s">
        <v>11</v>
      </c>
      <c r="U35" s="1561">
        <f t="shared" si="13"/>
        <v>100</v>
      </c>
      <c r="V35" s="1560" t="s">
        <v>11</v>
      </c>
      <c r="W35" s="1561">
        <f t="shared" si="14"/>
        <v>100</v>
      </c>
      <c r="X35" s="1554"/>
      <c r="Y35" s="340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2"/>
      <c r="Q36" s="1559" t="str">
        <f t="shared" si="11"/>
        <v>公共部分装修</v>
      </c>
      <c r="R36" s="1560" t="s">
        <v>11</v>
      </c>
      <c r="S36" s="1561">
        <f t="shared" si="12"/>
        <v>100</v>
      </c>
      <c r="T36" s="1560" t="s">
        <v>11</v>
      </c>
      <c r="U36" s="1561">
        <f t="shared" si="13"/>
        <v>100</v>
      </c>
      <c r="V36" s="1560" t="s">
        <v>11</v>
      </c>
      <c r="W36" s="1561">
        <f t="shared" si="14"/>
        <v>100</v>
      </c>
      <c r="X36" s="1554"/>
      <c r="Y36" s="340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2"/>
      <c r="Q37" s="1147" t="str">
        <f t="shared" si="11"/>
        <v>成新度</v>
      </c>
      <c r="R37" s="1555" t="s">
        <v>11</v>
      </c>
      <c r="S37" s="1556" t="e">
        <f t="shared" si="12"/>
        <v>#N/A</v>
      </c>
      <c r="T37" s="1555" t="s">
        <v>11</v>
      </c>
      <c r="U37" s="1556" t="e">
        <f t="shared" si="13"/>
        <v>#N/A</v>
      </c>
      <c r="V37" s="1555" t="s">
        <v>11</v>
      </c>
      <c r="W37" s="1556" t="e">
        <f t="shared" si="14"/>
        <v>#N/A</v>
      </c>
      <c r="X37" s="1557"/>
      <c r="Y37" s="340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2" t="s">
        <v>550</v>
      </c>
      <c r="Q38" s="1559" t="str">
        <f t="shared" si="11"/>
        <v>物业管理</v>
      </c>
      <c r="R38" s="1560" t="s">
        <v>11</v>
      </c>
      <c r="S38" s="1561">
        <f t="shared" si="12"/>
        <v>100</v>
      </c>
      <c r="T38" s="1560" t="s">
        <v>11</v>
      </c>
      <c r="U38" s="1561">
        <f t="shared" si="13"/>
        <v>100</v>
      </c>
      <c r="V38" s="1560" t="s">
        <v>11</v>
      </c>
      <c r="W38" s="1561">
        <f t="shared" si="14"/>
        <v>100</v>
      </c>
      <c r="X38" s="1554"/>
      <c r="Y38" s="3402"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2"/>
      <c r="Q39" s="1559" t="str">
        <f t="shared" si="11"/>
        <v>市政基础设施</v>
      </c>
      <c r="R39" s="1560" t="s">
        <v>11</v>
      </c>
      <c r="S39" s="1561">
        <f t="shared" si="12"/>
        <v>100</v>
      </c>
      <c r="T39" s="1560" t="s">
        <v>11</v>
      </c>
      <c r="U39" s="1561">
        <f t="shared" si="13"/>
        <v>100</v>
      </c>
      <c r="V39" s="1560" t="s">
        <v>11</v>
      </c>
      <c r="W39" s="1561">
        <f t="shared" si="14"/>
        <v>100</v>
      </c>
      <c r="X39" s="1554"/>
      <c r="Y39" s="340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2"/>
      <c r="Q40" s="1559" t="str">
        <f t="shared" si="11"/>
        <v>房型</v>
      </c>
      <c r="R40" s="1560" t="s">
        <v>11</v>
      </c>
      <c r="S40" s="1561">
        <f t="shared" si="12"/>
        <v>100</v>
      </c>
      <c r="T40" s="1560" t="s">
        <v>11</v>
      </c>
      <c r="U40" s="1561">
        <f t="shared" si="13"/>
        <v>100</v>
      </c>
      <c r="V40" s="1560" t="s">
        <v>11</v>
      </c>
      <c r="W40" s="1561">
        <f t="shared" si="14"/>
        <v>100</v>
      </c>
      <c r="X40" s="1554"/>
      <c r="Y40" s="340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2"/>
      <c r="Q41" s="1591" t="str">
        <f t="shared" si="11"/>
        <v>单套/主力户型建筑面积</v>
      </c>
      <c r="R41" s="1564" t="s">
        <v>11</v>
      </c>
      <c r="S41" s="1565">
        <f t="shared" si="12"/>
        <v>100</v>
      </c>
      <c r="T41" s="1564" t="s">
        <v>11</v>
      </c>
      <c r="U41" s="1565">
        <f t="shared" si="13"/>
        <v>100</v>
      </c>
      <c r="V41" s="1564" t="s">
        <v>11</v>
      </c>
      <c r="W41" s="1565">
        <f t="shared" si="14"/>
        <v>100</v>
      </c>
      <c r="X41" s="1566"/>
      <c r="Y41" s="340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2"/>
      <c r="Q42" s="1559" t="str">
        <f t="shared" si="11"/>
        <v>内部装修</v>
      </c>
      <c r="R42" s="1560" t="s">
        <v>11</v>
      </c>
      <c r="S42" s="1561">
        <f t="shared" si="12"/>
        <v>100</v>
      </c>
      <c r="T42" s="1560" t="s">
        <v>11</v>
      </c>
      <c r="U42" s="1561">
        <f t="shared" si="13"/>
        <v>100</v>
      </c>
      <c r="V42" s="1560" t="s">
        <v>11</v>
      </c>
      <c r="W42" s="1561">
        <f t="shared" si="14"/>
        <v>100</v>
      </c>
      <c r="X42" s="1554"/>
      <c r="Y42" s="340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2"/>
      <c r="Q43" s="1559" t="str">
        <f t="shared" si="11"/>
        <v>内部装修维护情况</v>
      </c>
      <c r="R43" s="1560" t="s">
        <v>11</v>
      </c>
      <c r="S43" s="1561">
        <f t="shared" si="12"/>
        <v>100</v>
      </c>
      <c r="T43" s="1560" t="s">
        <v>11</v>
      </c>
      <c r="U43" s="1561">
        <f t="shared" si="13"/>
        <v>100</v>
      </c>
      <c r="V43" s="1560" t="s">
        <v>11</v>
      </c>
      <c r="W43" s="1561">
        <f t="shared" si="14"/>
        <v>100</v>
      </c>
      <c r="X43" s="1554"/>
      <c r="Y43" s="340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2"/>
      <c r="Q44" s="1147">
        <f t="shared" si="11"/>
        <v>111</v>
      </c>
      <c r="R44" s="1555" t="s">
        <v>11</v>
      </c>
      <c r="S44" s="1556">
        <f t="shared" si="12"/>
        <v>100</v>
      </c>
      <c r="T44" s="1555" t="s">
        <v>11</v>
      </c>
      <c r="U44" s="1556">
        <f t="shared" si="13"/>
        <v>100</v>
      </c>
      <c r="V44" s="1555" t="s">
        <v>11</v>
      </c>
      <c r="W44" s="1556">
        <f t="shared" si="14"/>
        <v>100</v>
      </c>
      <c r="X44" s="1557"/>
      <c r="Y44" s="340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2"/>
      <c r="Q45" s="1559">
        <f t="shared" si="11"/>
        <v>111</v>
      </c>
      <c r="R45" s="1560" t="s">
        <v>11</v>
      </c>
      <c r="S45" s="1561">
        <f t="shared" si="12"/>
        <v>100</v>
      </c>
      <c r="T45" s="1560" t="s">
        <v>11</v>
      </c>
      <c r="U45" s="1561">
        <f t="shared" si="13"/>
        <v>100</v>
      </c>
      <c r="V45" s="1560" t="s">
        <v>11</v>
      </c>
      <c r="W45" s="1561">
        <f t="shared" si="14"/>
        <v>100</v>
      </c>
      <c r="X45" s="1554"/>
      <c r="Y45" s="340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3"/>
      <c r="Q46" s="1559">
        <f t="shared" si="11"/>
        <v>111</v>
      </c>
      <c r="R46" s="1560" t="s">
        <v>10</v>
      </c>
      <c r="S46" s="1561">
        <f t="shared" si="12"/>
        <v>100</v>
      </c>
      <c r="T46" s="1560" t="s">
        <v>10</v>
      </c>
      <c r="U46" s="1561">
        <f t="shared" si="13"/>
        <v>100</v>
      </c>
      <c r="V46" s="1560" t="s">
        <v>10</v>
      </c>
      <c r="W46" s="1561">
        <f t="shared" si="14"/>
        <v>100</v>
      </c>
      <c r="X46" s="1554"/>
      <c r="Y46" s="3503"/>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7" t="str">
        <f>A47</f>
        <v>成交单价（元/平方米）</v>
      </c>
      <c r="Q47" s="3397"/>
      <c r="R47" s="3502">
        <f>E47</f>
        <v>0</v>
      </c>
      <c r="S47" s="3502"/>
      <c r="T47" s="3502">
        <f>G47</f>
        <v>0</v>
      </c>
      <c r="U47" s="3502"/>
      <c r="V47" s="3502">
        <f>I47</f>
        <v>0</v>
      </c>
      <c r="W47" s="3502"/>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97" t="str">
        <f>A48</f>
        <v>比较价格（元/平方米）</v>
      </c>
      <c r="Q48" s="3397"/>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419" t="str">
        <f>A49</f>
        <v>估价对象XX用房的比较价格（楼面单价，元/平方米）</v>
      </c>
      <c r="Q49" s="3420"/>
      <c r="R49" s="3501" t="e">
        <f>IF(F1="售价",ROUND(AVERAGE(R48:V48),0),ROUND(AVERAGE(R48:V48),1))</f>
        <v>#DIV/0!</v>
      </c>
      <c r="S49" s="3501"/>
      <c r="T49" s="3501"/>
      <c r="U49" s="3501"/>
      <c r="V49" s="3501"/>
      <c r="W49" s="350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3" t="s">
        <v>522</v>
      </c>
      <c r="D4" s="3404"/>
      <c r="E4" s="3428" t="s">
        <v>523</v>
      </c>
      <c r="F4" s="3429"/>
      <c r="G4" s="3403" t="s">
        <v>524</v>
      </c>
      <c r="H4" s="3404"/>
      <c r="I4" s="3403" t="s">
        <v>525</v>
      </c>
      <c r="J4" s="3404"/>
      <c r="K4" s="514" t="s">
        <v>526</v>
      </c>
      <c r="L4" s="2119"/>
      <c r="M4" s="2120"/>
      <c r="N4" s="2120"/>
      <c r="O4" s="2120"/>
      <c r="P4" s="3405" t="s">
        <v>527</v>
      </c>
      <c r="Q4" s="3406"/>
      <c r="R4" s="3391" t="s">
        <v>523</v>
      </c>
      <c r="S4" s="3392"/>
      <c r="T4" s="3391" t="s">
        <v>524</v>
      </c>
      <c r="U4" s="3392"/>
      <c r="V4" s="3411" t="s">
        <v>525</v>
      </c>
      <c r="W4" s="3411"/>
      <c r="X4" s="1554"/>
      <c r="Y4" s="3391" t="s">
        <v>527</v>
      </c>
      <c r="Z4" s="3392"/>
      <c r="AA4" s="3386" t="s">
        <v>523</v>
      </c>
      <c r="AB4" s="3411" t="s">
        <v>524</v>
      </c>
      <c r="AC4" s="3386" t="s">
        <v>525</v>
      </c>
    </row>
    <row r="5" spans="1:29" ht="15">
      <c r="A5" s="515"/>
      <c r="B5" s="516"/>
      <c r="C5" s="3414" t="s">
        <v>2928</v>
      </c>
      <c r="D5" s="3415"/>
      <c r="E5" s="3430" t="s">
        <v>2929</v>
      </c>
      <c r="F5" s="3431"/>
      <c r="G5" s="3414" t="s">
        <v>2930</v>
      </c>
      <c r="H5" s="3415"/>
      <c r="I5" s="3414" t="s">
        <v>2931</v>
      </c>
      <c r="J5" s="3415"/>
      <c r="K5" s="514"/>
      <c r="L5" s="2119"/>
      <c r="M5" s="2120"/>
      <c r="N5" s="2120"/>
      <c r="O5" s="2120"/>
      <c r="P5" s="3407"/>
      <c r="Q5" s="3408"/>
      <c r="R5" s="3393"/>
      <c r="S5" s="3394"/>
      <c r="T5" s="3393"/>
      <c r="U5" s="3394"/>
      <c r="V5" s="3411"/>
      <c r="W5" s="3411"/>
      <c r="X5" s="1554"/>
      <c r="Y5" s="3393"/>
      <c r="Z5" s="3394"/>
      <c r="AA5" s="3387"/>
      <c r="AB5" s="3411"/>
      <c r="AC5" s="3387"/>
    </row>
    <row r="6" spans="1:29" ht="15.75" thickBot="1">
      <c r="A6" s="517"/>
      <c r="B6" s="518"/>
      <c r="C6" s="3412" t="s">
        <v>2932</v>
      </c>
      <c r="D6" s="3413"/>
      <c r="E6" s="3432" t="s">
        <v>2932</v>
      </c>
      <c r="F6" s="3433"/>
      <c r="G6" s="3412" t="s">
        <v>2932</v>
      </c>
      <c r="H6" s="3413"/>
      <c r="I6" s="3412" t="s">
        <v>2932</v>
      </c>
      <c r="J6" s="3413"/>
      <c r="K6" s="514" t="s">
        <v>528</v>
      </c>
      <c r="L6" s="2119"/>
      <c r="M6" s="2120"/>
      <c r="N6" s="2120"/>
      <c r="O6" s="2120"/>
      <c r="P6" s="3409"/>
      <c r="Q6" s="3410"/>
      <c r="R6" s="3393"/>
      <c r="S6" s="3394"/>
      <c r="T6" s="3395"/>
      <c r="U6" s="3396"/>
      <c r="V6" s="3411"/>
      <c r="W6" s="3411"/>
      <c r="X6" s="1554"/>
      <c r="Y6" s="3395"/>
      <c r="Z6" s="3396"/>
      <c r="AA6" s="3388"/>
      <c r="AB6" s="3411"/>
      <c r="AC6" s="3388"/>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9" t="s">
        <v>530</v>
      </c>
      <c r="Q7" s="3398"/>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9" t="s">
        <v>533</v>
      </c>
      <c r="Q8" s="3390"/>
      <c r="R8" s="1555" t="s">
        <v>8</v>
      </c>
      <c r="S8" s="1556">
        <f t="shared" si="0"/>
        <v>0</v>
      </c>
      <c r="T8" s="1555" t="s">
        <v>8</v>
      </c>
      <c r="U8" s="1556">
        <f t="shared" si="1"/>
        <v>0</v>
      </c>
      <c r="V8" s="1555" t="s">
        <v>8</v>
      </c>
      <c r="W8" s="1556">
        <f t="shared" si="2"/>
        <v>0</v>
      </c>
      <c r="X8" s="1557"/>
      <c r="Y8" s="3389" t="s">
        <v>533</v>
      </c>
      <c r="Z8" s="3390"/>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7" t="s">
        <v>535</v>
      </c>
      <c r="Q9" s="1147" t="str">
        <f t="shared" ref="Q9:Q15" si="6">B9</f>
        <v>用途</v>
      </c>
      <c r="R9" s="1555" t="s">
        <v>8</v>
      </c>
      <c r="S9" s="1556">
        <f t="shared" si="0"/>
        <v>100</v>
      </c>
      <c r="T9" s="1555" t="s">
        <v>8</v>
      </c>
      <c r="U9" s="1556">
        <f t="shared" si="1"/>
        <v>100</v>
      </c>
      <c r="V9" s="1555" t="s">
        <v>8</v>
      </c>
      <c r="W9" s="1556">
        <f t="shared" si="2"/>
        <v>100</v>
      </c>
      <c r="X9" s="1557"/>
      <c r="Y9" s="3354"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7"/>
      <c r="Q10" s="1147" t="str">
        <f t="shared" si="6"/>
        <v>土地使用年限（年）</v>
      </c>
      <c r="R10" s="1555" t="s">
        <v>8</v>
      </c>
      <c r="S10" s="1556">
        <f t="shared" si="0"/>
        <v>100</v>
      </c>
      <c r="T10" s="1555" t="s">
        <v>8</v>
      </c>
      <c r="U10" s="1556">
        <f t="shared" si="1"/>
        <v>100</v>
      </c>
      <c r="V10" s="1555" t="s">
        <v>8</v>
      </c>
      <c r="W10" s="1556">
        <f t="shared" si="2"/>
        <v>100</v>
      </c>
      <c r="X10" s="1557"/>
      <c r="Y10" s="3354"/>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7"/>
      <c r="Q11" s="1147" t="str">
        <f t="shared" si="6"/>
        <v>容积率</v>
      </c>
      <c r="R11" s="1555" t="s">
        <v>8</v>
      </c>
      <c r="S11" s="1556" t="e">
        <f t="shared" si="0"/>
        <v>#N/A</v>
      </c>
      <c r="T11" s="1555" t="s">
        <v>8</v>
      </c>
      <c r="U11" s="1556" t="e">
        <f t="shared" si="1"/>
        <v>#N/A</v>
      </c>
      <c r="V11" s="1555" t="s">
        <v>8</v>
      </c>
      <c r="W11" s="1556" t="e">
        <f t="shared" si="2"/>
        <v>#N/A</v>
      </c>
      <c r="X11" s="1557"/>
      <c r="Y11" s="335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7"/>
      <c r="Q12" s="1147">
        <f t="shared" si="6"/>
        <v>111</v>
      </c>
      <c r="R12" s="1555" t="s">
        <v>8</v>
      </c>
      <c r="S12" s="1556">
        <f t="shared" si="0"/>
        <v>100</v>
      </c>
      <c r="T12" s="1555" t="s">
        <v>8</v>
      </c>
      <c r="U12" s="1556">
        <f t="shared" si="1"/>
        <v>100</v>
      </c>
      <c r="V12" s="1555" t="s">
        <v>8</v>
      </c>
      <c r="W12" s="1556">
        <f t="shared" si="2"/>
        <v>100</v>
      </c>
      <c r="X12" s="1557"/>
      <c r="Y12" s="3354"/>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7"/>
      <c r="Q13" s="1147">
        <f t="shared" si="6"/>
        <v>111</v>
      </c>
      <c r="R13" s="1555" t="s">
        <v>8</v>
      </c>
      <c r="S13" s="1556">
        <f t="shared" si="0"/>
        <v>100</v>
      </c>
      <c r="T13" s="1555" t="s">
        <v>8</v>
      </c>
      <c r="U13" s="1556">
        <f t="shared" si="1"/>
        <v>100</v>
      </c>
      <c r="V13" s="1555" t="s">
        <v>8</v>
      </c>
      <c r="W13" s="1556">
        <f t="shared" si="2"/>
        <v>100</v>
      </c>
      <c r="X13" s="1557"/>
      <c r="Y13" s="3354"/>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7"/>
      <c r="Q14" s="1147">
        <f t="shared" si="6"/>
        <v>111</v>
      </c>
      <c r="R14" s="1555" t="s">
        <v>8</v>
      </c>
      <c r="S14" s="1556">
        <f t="shared" si="0"/>
        <v>100</v>
      </c>
      <c r="T14" s="1555" t="s">
        <v>8</v>
      </c>
      <c r="U14" s="1556">
        <f t="shared" si="1"/>
        <v>100</v>
      </c>
      <c r="V14" s="1555" t="s">
        <v>8</v>
      </c>
      <c r="W14" s="1556">
        <f t="shared" si="2"/>
        <v>100</v>
      </c>
      <c r="X14" s="1557"/>
      <c r="Y14" s="3354"/>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9" t="s">
        <v>540</v>
      </c>
      <c r="Q15" s="1559" t="str">
        <f t="shared" si="6"/>
        <v>商业繁华度</v>
      </c>
      <c r="R15" s="1560" t="s">
        <v>8</v>
      </c>
      <c r="S15" s="1561">
        <f t="shared" si="0"/>
        <v>100</v>
      </c>
      <c r="T15" s="1560" t="s">
        <v>8</v>
      </c>
      <c r="U15" s="1561">
        <f t="shared" si="1"/>
        <v>100</v>
      </c>
      <c r="V15" s="1560" t="s">
        <v>8</v>
      </c>
      <c r="W15" s="1561">
        <f t="shared" si="2"/>
        <v>100</v>
      </c>
      <c r="X15" s="1554"/>
      <c r="Y15" s="339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0"/>
      <c r="Q22" s="2544"/>
      <c r="R22" s="1560"/>
      <c r="S22" s="1561"/>
      <c r="T22" s="1560"/>
      <c r="U22" s="1561"/>
      <c r="V22" s="1560"/>
      <c r="W22" s="1561"/>
      <c r="X22" s="2546"/>
      <c r="Y22" s="340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0"/>
      <c r="Q23" s="1559" t="str">
        <f>B23</f>
        <v>自然及人文环境</v>
      </c>
      <c r="R23" s="1560" t="s">
        <v>8</v>
      </c>
      <c r="S23" s="1561">
        <f>F23</f>
        <v>100</v>
      </c>
      <c r="T23" s="1560" t="s">
        <v>8</v>
      </c>
      <c r="U23" s="1561">
        <f>H23</f>
        <v>100</v>
      </c>
      <c r="V23" s="1560" t="s">
        <v>8</v>
      </c>
      <c r="W23" s="1561">
        <f>J23</f>
        <v>100</v>
      </c>
      <c r="X23" s="1554"/>
      <c r="Y23" s="340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0"/>
      <c r="Q25" s="1559" t="str">
        <f t="shared" ref="Q25:Q46" si="11">B25</f>
        <v>临街状况</v>
      </c>
      <c r="R25" s="1560" t="s">
        <v>8</v>
      </c>
      <c r="S25" s="1561">
        <f>F25</f>
        <v>100</v>
      </c>
      <c r="T25" s="1560" t="s">
        <v>8</v>
      </c>
      <c r="U25" s="1561">
        <f>H25</f>
        <v>100</v>
      </c>
      <c r="V25" s="1560" t="s">
        <v>8</v>
      </c>
      <c r="W25" s="1561">
        <f>J25</f>
        <v>100</v>
      </c>
      <c r="X25" s="1554"/>
      <c r="Y25" s="340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0"/>
      <c r="Q26" s="1559" t="str">
        <f t="shared" si="11"/>
        <v>平面位置/可视性</v>
      </c>
      <c r="R26" s="1560" t="s">
        <v>8</v>
      </c>
      <c r="S26" s="1561">
        <f>F26</f>
        <v>100</v>
      </c>
      <c r="T26" s="1560" t="s">
        <v>8</v>
      </c>
      <c r="U26" s="1561">
        <f>H26</f>
        <v>100</v>
      </c>
      <c r="V26" s="1560" t="s">
        <v>8</v>
      </c>
      <c r="W26" s="1561">
        <f>J26</f>
        <v>100</v>
      </c>
      <c r="X26" s="1554"/>
      <c r="Y26" s="340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0"/>
      <c r="Q27" s="1147" t="str">
        <f t="shared" si="11"/>
        <v>人流量</v>
      </c>
      <c r="R27" s="1555" t="s">
        <v>8</v>
      </c>
      <c r="S27" s="1556">
        <f>F27</f>
        <v>100</v>
      </c>
      <c r="T27" s="1555" t="s">
        <v>8</v>
      </c>
      <c r="U27" s="1556">
        <f>H27</f>
        <v>100</v>
      </c>
      <c r="V27" s="1555" t="s">
        <v>8</v>
      </c>
      <c r="W27" s="1556">
        <f>J27</f>
        <v>100</v>
      </c>
      <c r="X27" s="1557"/>
      <c r="Y27" s="340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0"/>
      <c r="Q29" s="1559">
        <f t="shared" si="11"/>
        <v>111</v>
      </c>
      <c r="R29" s="1560" t="s">
        <v>8</v>
      </c>
      <c r="S29" s="1561">
        <f t="shared" si="12"/>
        <v>100</v>
      </c>
      <c r="T29" s="1560" t="s">
        <v>8</v>
      </c>
      <c r="U29" s="1561">
        <f t="shared" si="13"/>
        <v>100</v>
      </c>
      <c r="V29" s="1560" t="s">
        <v>8</v>
      </c>
      <c r="W29" s="1561">
        <f t="shared" si="14"/>
        <v>100</v>
      </c>
      <c r="X29" s="1554"/>
      <c r="Y29" s="340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0"/>
      <c r="Q30" s="1559">
        <f t="shared" si="11"/>
        <v>111</v>
      </c>
      <c r="R30" s="1560" t="s">
        <v>8</v>
      </c>
      <c r="S30" s="1561">
        <f t="shared" si="12"/>
        <v>100</v>
      </c>
      <c r="T30" s="1560" t="s">
        <v>8</v>
      </c>
      <c r="U30" s="1561">
        <f t="shared" si="13"/>
        <v>100</v>
      </c>
      <c r="V30" s="1560" t="s">
        <v>8</v>
      </c>
      <c r="W30" s="1561">
        <f t="shared" si="14"/>
        <v>100</v>
      </c>
      <c r="X30" s="1554"/>
      <c r="Y30" s="340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0"/>
      <c r="Q31" s="1559">
        <f t="shared" si="11"/>
        <v>111</v>
      </c>
      <c r="R31" s="1560" t="s">
        <v>8</v>
      </c>
      <c r="S31" s="1561">
        <f t="shared" si="12"/>
        <v>100</v>
      </c>
      <c r="T31" s="1560" t="s">
        <v>8</v>
      </c>
      <c r="U31" s="1561">
        <f t="shared" si="13"/>
        <v>100</v>
      </c>
      <c r="V31" s="1560" t="s">
        <v>8</v>
      </c>
      <c r="W31" s="1561">
        <f t="shared" si="14"/>
        <v>100</v>
      </c>
      <c r="X31" s="1554"/>
      <c r="Y31" s="3400"/>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1" t="s">
        <v>550</v>
      </c>
      <c r="Q32" s="1559" t="str">
        <f t="shared" si="11"/>
        <v>商业类型</v>
      </c>
      <c r="R32" s="1560" t="s">
        <v>8</v>
      </c>
      <c r="S32" s="1561">
        <f t="shared" si="12"/>
        <v>100</v>
      </c>
      <c r="T32" s="1560" t="s">
        <v>8</v>
      </c>
      <c r="U32" s="1561">
        <f t="shared" si="13"/>
        <v>100</v>
      </c>
      <c r="V32" s="1560" t="s">
        <v>8</v>
      </c>
      <c r="W32" s="1561">
        <f t="shared" si="14"/>
        <v>100</v>
      </c>
      <c r="X32" s="1554"/>
      <c r="Y32" s="340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2"/>
      <c r="Q33" s="1591" t="str">
        <f t="shared" si="11"/>
        <v>项目建筑规模</v>
      </c>
      <c r="R33" s="1564" t="s">
        <v>8</v>
      </c>
      <c r="S33" s="1565" t="e">
        <f t="shared" si="12"/>
        <v>#N/A</v>
      </c>
      <c r="T33" s="1564" t="s">
        <v>8</v>
      </c>
      <c r="U33" s="1565" t="e">
        <f t="shared" si="13"/>
        <v>#N/A</v>
      </c>
      <c r="V33" s="1564" t="s">
        <v>8</v>
      </c>
      <c r="W33" s="1565" t="e">
        <f t="shared" si="14"/>
        <v>#N/A</v>
      </c>
      <c r="X33" s="1566"/>
      <c r="Y33" s="340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2"/>
      <c r="Q34" s="1559" t="str">
        <f t="shared" si="11"/>
        <v>建筑结构</v>
      </c>
      <c r="R34" s="1560" t="s">
        <v>8</v>
      </c>
      <c r="S34" s="1561">
        <f t="shared" si="12"/>
        <v>100</v>
      </c>
      <c r="T34" s="1560" t="s">
        <v>8</v>
      </c>
      <c r="U34" s="1561">
        <f t="shared" si="13"/>
        <v>100</v>
      </c>
      <c r="V34" s="1560" t="s">
        <v>8</v>
      </c>
      <c r="W34" s="1561">
        <f t="shared" si="14"/>
        <v>100</v>
      </c>
      <c r="X34" s="1554"/>
      <c r="Y34" s="340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2"/>
      <c r="Q35" s="1559" t="str">
        <f t="shared" si="11"/>
        <v>公共部分装修</v>
      </c>
      <c r="R35" s="1560" t="s">
        <v>8</v>
      </c>
      <c r="S35" s="1561">
        <f t="shared" si="12"/>
        <v>100</v>
      </c>
      <c r="T35" s="1560" t="s">
        <v>8</v>
      </c>
      <c r="U35" s="1561">
        <f t="shared" si="13"/>
        <v>100</v>
      </c>
      <c r="V35" s="1560" t="s">
        <v>8</v>
      </c>
      <c r="W35" s="1561">
        <f t="shared" si="14"/>
        <v>100</v>
      </c>
      <c r="X35" s="1554"/>
      <c r="Y35" s="340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2"/>
      <c r="Q36" s="1559" t="str">
        <f t="shared" si="11"/>
        <v>成新度</v>
      </c>
      <c r="R36" s="1560" t="s">
        <v>8</v>
      </c>
      <c r="S36" s="1561" t="e">
        <f t="shared" si="12"/>
        <v>#N/A</v>
      </c>
      <c r="T36" s="1560" t="s">
        <v>8</v>
      </c>
      <c r="U36" s="1561" t="e">
        <f t="shared" si="13"/>
        <v>#N/A</v>
      </c>
      <c r="V36" s="1560" t="s">
        <v>8</v>
      </c>
      <c r="W36" s="1561" t="e">
        <f t="shared" si="14"/>
        <v>#N/A</v>
      </c>
      <c r="X36" s="1554"/>
      <c r="Y36" s="3402"/>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2"/>
      <c r="Q37" s="1147" t="str">
        <f t="shared" si="11"/>
        <v>市政基础设施</v>
      </c>
      <c r="R37" s="1555" t="s">
        <v>8</v>
      </c>
      <c r="S37" s="1556">
        <f t="shared" si="12"/>
        <v>100</v>
      </c>
      <c r="T37" s="1555" t="s">
        <v>8</v>
      </c>
      <c r="U37" s="1556">
        <f t="shared" si="13"/>
        <v>100</v>
      </c>
      <c r="V37" s="1555" t="s">
        <v>8</v>
      </c>
      <c r="W37" s="1556">
        <f t="shared" si="14"/>
        <v>100</v>
      </c>
      <c r="X37" s="1557"/>
      <c r="Y37" s="340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2" t="s">
        <v>766</v>
      </c>
      <c r="Q38" s="1559" t="str">
        <f t="shared" si="11"/>
        <v>业态</v>
      </c>
      <c r="R38" s="1560" t="s">
        <v>8</v>
      </c>
      <c r="S38" s="1561">
        <f t="shared" si="12"/>
        <v>100</v>
      </c>
      <c r="T38" s="1560" t="s">
        <v>8</v>
      </c>
      <c r="U38" s="1561">
        <f t="shared" si="13"/>
        <v>100</v>
      </c>
      <c r="V38" s="1560" t="s">
        <v>8</v>
      </c>
      <c r="W38" s="1561">
        <f t="shared" si="14"/>
        <v>100</v>
      </c>
      <c r="X38" s="1554"/>
      <c r="Y38" s="340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2"/>
      <c r="Q39" s="1559" t="str">
        <f t="shared" si="11"/>
        <v>层高</v>
      </c>
      <c r="R39" s="1560" t="s">
        <v>8</v>
      </c>
      <c r="S39" s="1561">
        <f t="shared" si="12"/>
        <v>100</v>
      </c>
      <c r="T39" s="1560" t="s">
        <v>8</v>
      </c>
      <c r="U39" s="1561">
        <f t="shared" si="13"/>
        <v>100</v>
      </c>
      <c r="V39" s="1560" t="s">
        <v>8</v>
      </c>
      <c r="W39" s="1561">
        <f t="shared" si="14"/>
        <v>100</v>
      </c>
      <c r="X39" s="1554"/>
      <c r="Y39" s="340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2"/>
      <c r="Q40" s="1559" t="str">
        <f t="shared" si="11"/>
        <v>单套建筑面积</v>
      </c>
      <c r="R40" s="1560" t="s">
        <v>8</v>
      </c>
      <c r="S40" s="1561">
        <f t="shared" si="12"/>
        <v>100</v>
      </c>
      <c r="T40" s="1560" t="s">
        <v>8</v>
      </c>
      <c r="U40" s="1561">
        <f t="shared" si="13"/>
        <v>100</v>
      </c>
      <c r="V40" s="1560" t="s">
        <v>8</v>
      </c>
      <c r="W40" s="1561">
        <f t="shared" si="14"/>
        <v>100</v>
      </c>
      <c r="X40" s="1554"/>
      <c r="Y40" s="340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2"/>
      <c r="Q41" s="1591" t="str">
        <f t="shared" si="11"/>
        <v>进深比</v>
      </c>
      <c r="R41" s="1564" t="s">
        <v>8</v>
      </c>
      <c r="S41" s="1565">
        <f t="shared" si="12"/>
        <v>100</v>
      </c>
      <c r="T41" s="1564" t="s">
        <v>8</v>
      </c>
      <c r="U41" s="1565">
        <f t="shared" si="13"/>
        <v>100</v>
      </c>
      <c r="V41" s="1564" t="s">
        <v>8</v>
      </c>
      <c r="W41" s="1565">
        <f t="shared" si="14"/>
        <v>100</v>
      </c>
      <c r="X41" s="1566"/>
      <c r="Y41" s="340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2"/>
      <c r="Q42" s="1559" t="str">
        <f t="shared" si="11"/>
        <v>内部装修</v>
      </c>
      <c r="R42" s="1560" t="s">
        <v>8</v>
      </c>
      <c r="S42" s="1561">
        <f t="shared" si="12"/>
        <v>100</v>
      </c>
      <c r="T42" s="1560" t="s">
        <v>8</v>
      </c>
      <c r="U42" s="1561">
        <f t="shared" si="13"/>
        <v>100</v>
      </c>
      <c r="V42" s="1560" t="s">
        <v>8</v>
      </c>
      <c r="W42" s="1561">
        <f t="shared" si="14"/>
        <v>100</v>
      </c>
      <c r="X42" s="1554"/>
      <c r="Y42" s="340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2"/>
      <c r="Q43" s="1559" t="str">
        <f t="shared" si="11"/>
        <v>内部装修维护情况</v>
      </c>
      <c r="R43" s="1560" t="s">
        <v>8</v>
      </c>
      <c r="S43" s="1561">
        <f t="shared" si="12"/>
        <v>100</v>
      </c>
      <c r="T43" s="1560" t="s">
        <v>8</v>
      </c>
      <c r="U43" s="1561">
        <f t="shared" si="13"/>
        <v>100</v>
      </c>
      <c r="V43" s="1560" t="s">
        <v>8</v>
      </c>
      <c r="W43" s="1561">
        <f t="shared" si="14"/>
        <v>100</v>
      </c>
      <c r="X43" s="1554"/>
      <c r="Y43" s="340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2"/>
      <c r="Q44" s="1147">
        <f t="shared" si="11"/>
        <v>111</v>
      </c>
      <c r="R44" s="1555" t="s">
        <v>8</v>
      </c>
      <c r="S44" s="1556">
        <f t="shared" si="12"/>
        <v>100</v>
      </c>
      <c r="T44" s="1555" t="s">
        <v>8</v>
      </c>
      <c r="U44" s="1556">
        <f t="shared" si="13"/>
        <v>100</v>
      </c>
      <c r="V44" s="1555" t="s">
        <v>8</v>
      </c>
      <c r="W44" s="1556">
        <f t="shared" si="14"/>
        <v>100</v>
      </c>
      <c r="X44" s="1557"/>
      <c r="Y44" s="340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2"/>
      <c r="Q45" s="1559">
        <f t="shared" si="11"/>
        <v>111</v>
      </c>
      <c r="R45" s="1560" t="s">
        <v>8</v>
      </c>
      <c r="S45" s="1561">
        <f t="shared" si="12"/>
        <v>100</v>
      </c>
      <c r="T45" s="1560" t="s">
        <v>8</v>
      </c>
      <c r="U45" s="1561">
        <f t="shared" si="13"/>
        <v>100</v>
      </c>
      <c r="V45" s="1560" t="s">
        <v>8</v>
      </c>
      <c r="W45" s="1561">
        <f t="shared" si="14"/>
        <v>100</v>
      </c>
      <c r="X45" s="1554"/>
      <c r="Y45" s="340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3"/>
      <c r="Q46" s="1559">
        <f t="shared" si="11"/>
        <v>111</v>
      </c>
      <c r="R46" s="1560" t="s">
        <v>8</v>
      </c>
      <c r="S46" s="1561">
        <f t="shared" si="12"/>
        <v>100</v>
      </c>
      <c r="T46" s="1560" t="s">
        <v>8</v>
      </c>
      <c r="U46" s="1561">
        <f t="shared" si="13"/>
        <v>100</v>
      </c>
      <c r="V46" s="1560" t="s">
        <v>8</v>
      </c>
      <c r="W46" s="1561">
        <f t="shared" si="14"/>
        <v>100</v>
      </c>
      <c r="X46" s="1554"/>
      <c r="Y46" s="350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7" t="str">
        <f>A47</f>
        <v>成交单价（元/平方米）</v>
      </c>
      <c r="Q47" s="3397"/>
      <c r="R47" s="3502">
        <f>E47</f>
        <v>0</v>
      </c>
      <c r="S47" s="3502"/>
      <c r="T47" s="3502">
        <f>G47</f>
        <v>0</v>
      </c>
      <c r="U47" s="3502"/>
      <c r="V47" s="3502">
        <f>I47</f>
        <v>0</v>
      </c>
      <c r="W47" s="3502"/>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97" t="str">
        <f>A48</f>
        <v>比较价格（元/平方米）</v>
      </c>
      <c r="Q48" s="3397"/>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419" t="str">
        <f>A49</f>
        <v>估价对象XX用房的比较价格（楼面单价，元/平方米）</v>
      </c>
      <c r="Q49" s="3420"/>
      <c r="R49" s="3501" t="e">
        <f>IF(F1="售价",ROUND(AVERAGE(R48:V48),0),ROUND(AVERAGE(R48:V48),1))</f>
        <v>#DIV/0!</v>
      </c>
      <c r="S49" s="3501"/>
      <c r="T49" s="3501"/>
      <c r="U49" s="3501"/>
      <c r="V49" s="3501"/>
      <c r="W49" s="350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3" t="s">
        <v>522</v>
      </c>
      <c r="D4" s="3404"/>
      <c r="E4" s="3428" t="s">
        <v>523</v>
      </c>
      <c r="F4" s="3429"/>
      <c r="G4" s="3403" t="s">
        <v>524</v>
      </c>
      <c r="H4" s="3404"/>
      <c r="I4" s="3403" t="s">
        <v>525</v>
      </c>
      <c r="J4" s="3404"/>
      <c r="K4" s="514" t="s">
        <v>526</v>
      </c>
      <c r="L4" s="2119"/>
      <c r="M4" s="2120"/>
      <c r="N4" s="2120"/>
      <c r="O4" s="2120"/>
      <c r="P4" s="3504" t="s">
        <v>527</v>
      </c>
      <c r="Q4" s="3406"/>
      <c r="R4" s="3391" t="s">
        <v>523</v>
      </c>
      <c r="S4" s="3392"/>
      <c r="T4" s="3391" t="s">
        <v>524</v>
      </c>
      <c r="U4" s="3392"/>
      <c r="V4" s="3411" t="s">
        <v>525</v>
      </c>
      <c r="W4" s="3411"/>
      <c r="X4" s="1554"/>
      <c r="Y4" s="3391" t="s">
        <v>527</v>
      </c>
      <c r="Z4" s="3392"/>
      <c r="AA4" s="3386" t="s">
        <v>523</v>
      </c>
      <c r="AB4" s="3386" t="s">
        <v>524</v>
      </c>
      <c r="AC4" s="3386" t="s">
        <v>525</v>
      </c>
    </row>
    <row r="5" spans="1:29" ht="15">
      <c r="A5" s="515"/>
      <c r="B5" s="516"/>
      <c r="C5" s="3414" t="s">
        <v>2928</v>
      </c>
      <c r="D5" s="3415"/>
      <c r="E5" s="3430" t="s">
        <v>2929</v>
      </c>
      <c r="F5" s="3431"/>
      <c r="G5" s="3414" t="s">
        <v>2930</v>
      </c>
      <c r="H5" s="3415"/>
      <c r="I5" s="3414" t="s">
        <v>2931</v>
      </c>
      <c r="J5" s="3415"/>
      <c r="K5" s="514"/>
      <c r="L5" s="2119"/>
      <c r="M5" s="2120"/>
      <c r="N5" s="2120"/>
      <c r="O5" s="2120"/>
      <c r="P5" s="3505"/>
      <c r="Q5" s="3408"/>
      <c r="R5" s="3393"/>
      <c r="S5" s="3394"/>
      <c r="T5" s="3393"/>
      <c r="U5" s="3394"/>
      <c r="V5" s="3411"/>
      <c r="W5" s="3411"/>
      <c r="X5" s="1554"/>
      <c r="Y5" s="3393"/>
      <c r="Z5" s="3394"/>
      <c r="AA5" s="3387"/>
      <c r="AB5" s="3387"/>
      <c r="AC5" s="3387"/>
    </row>
    <row r="6" spans="1:29" ht="15.75" thickBot="1">
      <c r="A6" s="517"/>
      <c r="B6" s="518"/>
      <c r="C6" s="3412" t="s">
        <v>2932</v>
      </c>
      <c r="D6" s="3413"/>
      <c r="E6" s="3432" t="s">
        <v>2932</v>
      </c>
      <c r="F6" s="3433"/>
      <c r="G6" s="3412" t="s">
        <v>2932</v>
      </c>
      <c r="H6" s="3413"/>
      <c r="I6" s="3412" t="s">
        <v>2932</v>
      </c>
      <c r="J6" s="3413"/>
      <c r="K6" s="514" t="s">
        <v>528</v>
      </c>
      <c r="L6" s="2119"/>
      <c r="M6" s="2120"/>
      <c r="N6" s="2120"/>
      <c r="O6" s="2120"/>
      <c r="P6" s="3506"/>
      <c r="Q6" s="3410"/>
      <c r="R6" s="3393"/>
      <c r="S6" s="3394"/>
      <c r="T6" s="3395"/>
      <c r="U6" s="3396"/>
      <c r="V6" s="3411"/>
      <c r="W6" s="3411"/>
      <c r="X6" s="1554"/>
      <c r="Y6" s="3395"/>
      <c r="Z6" s="3396"/>
      <c r="AA6" s="3388"/>
      <c r="AB6" s="3388"/>
      <c r="AC6" s="3388"/>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8" t="s">
        <v>530</v>
      </c>
      <c r="Q7" s="3398"/>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8" t="s">
        <v>533</v>
      </c>
      <c r="Q8" s="3390"/>
      <c r="R8" s="1555" t="s">
        <v>8</v>
      </c>
      <c r="S8" s="1556">
        <f t="shared" si="0"/>
        <v>0</v>
      </c>
      <c r="T8" s="1555" t="s">
        <v>8</v>
      </c>
      <c r="U8" s="1556">
        <f t="shared" si="1"/>
        <v>0</v>
      </c>
      <c r="V8" s="1555" t="s">
        <v>8</v>
      </c>
      <c r="W8" s="1556">
        <f t="shared" si="2"/>
        <v>0</v>
      </c>
      <c r="X8" s="1557"/>
      <c r="Y8" s="3389" t="s">
        <v>533</v>
      </c>
      <c r="Z8" s="3390"/>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7" t="s">
        <v>535</v>
      </c>
      <c r="Q9" s="1147" t="str">
        <f t="shared" ref="Q9:Q15" si="6">B9</f>
        <v>用途</v>
      </c>
      <c r="R9" s="1555" t="s">
        <v>8</v>
      </c>
      <c r="S9" s="1556">
        <f t="shared" si="0"/>
        <v>100</v>
      </c>
      <c r="T9" s="1555" t="s">
        <v>8</v>
      </c>
      <c r="U9" s="1556">
        <f t="shared" si="1"/>
        <v>100</v>
      </c>
      <c r="V9" s="1555" t="s">
        <v>8</v>
      </c>
      <c r="W9" s="1556">
        <f t="shared" si="2"/>
        <v>100</v>
      </c>
      <c r="X9" s="1557"/>
      <c r="Y9" s="3354"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7"/>
      <c r="Q10" s="1147" t="str">
        <f t="shared" si="6"/>
        <v>土地使用年限（年）</v>
      </c>
      <c r="R10" s="1555" t="s">
        <v>8</v>
      </c>
      <c r="S10" s="1556">
        <f t="shared" si="0"/>
        <v>100</v>
      </c>
      <c r="T10" s="1555" t="s">
        <v>8</v>
      </c>
      <c r="U10" s="1556">
        <f t="shared" si="1"/>
        <v>100</v>
      </c>
      <c r="V10" s="1555" t="s">
        <v>8</v>
      </c>
      <c r="W10" s="1556">
        <f t="shared" si="2"/>
        <v>100</v>
      </c>
      <c r="X10" s="1557"/>
      <c r="Y10" s="3354"/>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7"/>
      <c r="Q11" s="1147" t="str">
        <f t="shared" si="6"/>
        <v>容积率</v>
      </c>
      <c r="R11" s="1555" t="s">
        <v>8</v>
      </c>
      <c r="S11" s="1556" t="e">
        <f t="shared" si="0"/>
        <v>#N/A</v>
      </c>
      <c r="T11" s="1555" t="s">
        <v>8</v>
      </c>
      <c r="U11" s="1556" t="e">
        <f t="shared" si="1"/>
        <v>#N/A</v>
      </c>
      <c r="V11" s="1555" t="s">
        <v>8</v>
      </c>
      <c r="W11" s="1556" t="e">
        <f t="shared" si="2"/>
        <v>#N/A</v>
      </c>
      <c r="X11" s="1557"/>
      <c r="Y11" s="335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7"/>
      <c r="Q12" s="1147">
        <f t="shared" si="6"/>
        <v>111</v>
      </c>
      <c r="R12" s="1555" t="s">
        <v>8</v>
      </c>
      <c r="S12" s="1556">
        <f t="shared" si="0"/>
        <v>100</v>
      </c>
      <c r="T12" s="1555" t="s">
        <v>8</v>
      </c>
      <c r="U12" s="1556">
        <f t="shared" si="1"/>
        <v>100</v>
      </c>
      <c r="V12" s="1555" t="s">
        <v>8</v>
      </c>
      <c r="W12" s="1556">
        <f t="shared" si="2"/>
        <v>100</v>
      </c>
      <c r="X12" s="1557"/>
      <c r="Y12" s="3354"/>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7"/>
      <c r="Q13" s="1147">
        <f t="shared" si="6"/>
        <v>111</v>
      </c>
      <c r="R13" s="1555" t="s">
        <v>8</v>
      </c>
      <c r="S13" s="1556">
        <f t="shared" si="0"/>
        <v>100</v>
      </c>
      <c r="T13" s="1555" t="s">
        <v>8</v>
      </c>
      <c r="U13" s="1556">
        <f t="shared" si="1"/>
        <v>100</v>
      </c>
      <c r="V13" s="1555" t="s">
        <v>8</v>
      </c>
      <c r="W13" s="1556">
        <f t="shared" si="2"/>
        <v>100</v>
      </c>
      <c r="X13" s="1557"/>
      <c r="Y13" s="3354"/>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7"/>
      <c r="Q14" s="1147">
        <f t="shared" si="6"/>
        <v>111</v>
      </c>
      <c r="R14" s="1555" t="s">
        <v>8</v>
      </c>
      <c r="S14" s="1556">
        <f t="shared" si="0"/>
        <v>100</v>
      </c>
      <c r="T14" s="1555" t="s">
        <v>8</v>
      </c>
      <c r="U14" s="1556">
        <f t="shared" si="1"/>
        <v>100</v>
      </c>
      <c r="V14" s="1555" t="s">
        <v>8</v>
      </c>
      <c r="W14" s="1556">
        <f t="shared" si="2"/>
        <v>100</v>
      </c>
      <c r="X14" s="1557"/>
      <c r="Y14" s="3354"/>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9" t="s">
        <v>540</v>
      </c>
      <c r="Q15" s="1559" t="str">
        <f t="shared" si="6"/>
        <v>办公集聚程度</v>
      </c>
      <c r="R15" s="1560" t="s">
        <v>8</v>
      </c>
      <c r="S15" s="1561">
        <f t="shared" si="0"/>
        <v>100</v>
      </c>
      <c r="T15" s="1560" t="s">
        <v>8</v>
      </c>
      <c r="U15" s="1561">
        <f t="shared" si="1"/>
        <v>100</v>
      </c>
      <c r="V15" s="1560" t="s">
        <v>8</v>
      </c>
      <c r="W15" s="1561">
        <f t="shared" si="2"/>
        <v>100</v>
      </c>
      <c r="X15" s="1554"/>
      <c r="Y15" s="339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0"/>
      <c r="Q16" s="1559"/>
      <c r="R16" s="1560"/>
      <c r="S16" s="1561"/>
      <c r="T16" s="1560"/>
      <c r="U16" s="1561"/>
      <c r="V16" s="1560"/>
      <c r="W16" s="1561"/>
      <c r="X16" s="1554"/>
      <c r="Y16" s="340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0"/>
      <c r="Q18" s="1559"/>
      <c r="R18" s="1560"/>
      <c r="S18" s="1561"/>
      <c r="T18" s="1560"/>
      <c r="U18" s="1561"/>
      <c r="V18" s="1560"/>
      <c r="W18" s="1561"/>
      <c r="X18" s="1554"/>
      <c r="Y18" s="3400"/>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0"/>
      <c r="Q20" s="1559"/>
      <c r="R20" s="1560"/>
      <c r="S20" s="1561"/>
      <c r="T20" s="1560"/>
      <c r="U20" s="1561"/>
      <c r="V20" s="1560"/>
      <c r="W20" s="1561"/>
      <c r="X20" s="1554"/>
      <c r="Y20" s="3400"/>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0"/>
      <c r="Q22" s="2544"/>
      <c r="R22" s="1560"/>
      <c r="S22" s="1561"/>
      <c r="T22" s="1560"/>
      <c r="U22" s="1561"/>
      <c r="V22" s="1560"/>
      <c r="W22" s="1561"/>
      <c r="X22" s="2546"/>
      <c r="Y22" s="340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0"/>
      <c r="Q23" s="1559" t="str">
        <f>B23</f>
        <v>环境质量</v>
      </c>
      <c r="R23" s="1560" t="s">
        <v>8</v>
      </c>
      <c r="S23" s="1561">
        <f>F23</f>
        <v>100</v>
      </c>
      <c r="T23" s="1560" t="s">
        <v>8</v>
      </c>
      <c r="U23" s="1561">
        <f>H23</f>
        <v>100</v>
      </c>
      <c r="V23" s="1560" t="s">
        <v>8</v>
      </c>
      <c r="W23" s="1561">
        <f>J23</f>
        <v>100</v>
      </c>
      <c r="X23" s="1554"/>
      <c r="Y23" s="340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0"/>
      <c r="Q24" s="1559"/>
      <c r="R24" s="1560"/>
      <c r="S24" s="1561"/>
      <c r="T24" s="1560"/>
      <c r="U24" s="1561"/>
      <c r="V24" s="1560"/>
      <c r="W24" s="1561"/>
      <c r="X24" s="1554"/>
      <c r="Y24" s="340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0"/>
      <c r="Q25" s="1559" t="str">
        <f>B25</f>
        <v>毗邻道路的类型与等级</v>
      </c>
      <c r="R25" s="1560" t="s">
        <v>8</v>
      </c>
      <c r="S25" s="1561">
        <f>F25</f>
        <v>100</v>
      </c>
      <c r="T25" s="1560" t="s">
        <v>8</v>
      </c>
      <c r="U25" s="1561">
        <f>H25</f>
        <v>100</v>
      </c>
      <c r="V25" s="1560" t="s">
        <v>8</v>
      </c>
      <c r="W25" s="1561">
        <f>J25</f>
        <v>100</v>
      </c>
      <c r="X25" s="1554"/>
      <c r="Y25" s="340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0"/>
      <c r="Q26" s="1559"/>
      <c r="R26" s="1560"/>
      <c r="S26" s="1561"/>
      <c r="T26" s="1560"/>
      <c r="U26" s="1561"/>
      <c r="V26" s="1560"/>
      <c r="W26" s="1561"/>
      <c r="X26" s="1554"/>
      <c r="Y26" s="340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0"/>
      <c r="Q27" s="1559" t="str">
        <f t="shared" ref="Q27:Q47" si="11">B27</f>
        <v>楼层</v>
      </c>
      <c r="R27" s="1560" t="s">
        <v>8</v>
      </c>
      <c r="S27" s="1561">
        <f>F27</f>
        <v>100</v>
      </c>
      <c r="T27" s="1560" t="s">
        <v>8</v>
      </c>
      <c r="U27" s="1561">
        <f>H27</f>
        <v>100</v>
      </c>
      <c r="V27" s="1560" t="s">
        <v>8</v>
      </c>
      <c r="W27" s="1561">
        <f>J27</f>
        <v>100</v>
      </c>
      <c r="X27" s="1554"/>
      <c r="Y27" s="340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0"/>
      <c r="Q28" s="1147" t="str">
        <f t="shared" si="11"/>
        <v>朝向</v>
      </c>
      <c r="R28" s="1555" t="s">
        <v>8</v>
      </c>
      <c r="S28" s="1556">
        <f>F28</f>
        <v>100</v>
      </c>
      <c r="T28" s="1555" t="s">
        <v>8</v>
      </c>
      <c r="U28" s="1556">
        <f>H28</f>
        <v>100</v>
      </c>
      <c r="V28" s="1555" t="s">
        <v>8</v>
      </c>
      <c r="W28" s="1556">
        <f>J28</f>
        <v>100</v>
      </c>
      <c r="X28" s="1557"/>
      <c r="Y28" s="340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0"/>
      <c r="Q29" s="1559">
        <f t="shared" si="11"/>
        <v>111</v>
      </c>
      <c r="R29" s="1560" t="s">
        <v>8</v>
      </c>
      <c r="S29" s="1561">
        <f t="shared" ref="S29:S47" si="12">F29</f>
        <v>100</v>
      </c>
      <c r="T29" s="1560" t="s">
        <v>8</v>
      </c>
      <c r="U29" s="1561">
        <f t="shared" ref="U29:U47" si="13">H29</f>
        <v>100</v>
      </c>
      <c r="V29" s="1560" t="s">
        <v>8</v>
      </c>
      <c r="W29" s="1561">
        <f t="shared" ref="W29:W47" si="14">J29</f>
        <v>100</v>
      </c>
      <c r="X29" s="1554"/>
      <c r="Y29" s="340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0"/>
      <c r="Q30" s="1559">
        <f t="shared" si="11"/>
        <v>111</v>
      </c>
      <c r="R30" s="1560" t="s">
        <v>8</v>
      </c>
      <c r="S30" s="1561">
        <f t="shared" si="12"/>
        <v>100</v>
      </c>
      <c r="T30" s="1560" t="s">
        <v>8</v>
      </c>
      <c r="U30" s="1561">
        <f t="shared" si="13"/>
        <v>100</v>
      </c>
      <c r="V30" s="1560" t="s">
        <v>8</v>
      </c>
      <c r="W30" s="1561">
        <f t="shared" si="14"/>
        <v>100</v>
      </c>
      <c r="X30" s="1554"/>
      <c r="Y30" s="340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0"/>
      <c r="Q31" s="1559">
        <f t="shared" si="11"/>
        <v>111</v>
      </c>
      <c r="R31" s="1560" t="s">
        <v>8</v>
      </c>
      <c r="S31" s="1561">
        <f t="shared" si="12"/>
        <v>100</v>
      </c>
      <c r="T31" s="1560" t="s">
        <v>8</v>
      </c>
      <c r="U31" s="1561">
        <f t="shared" si="13"/>
        <v>100</v>
      </c>
      <c r="V31" s="1560" t="s">
        <v>8</v>
      </c>
      <c r="W31" s="1561">
        <f t="shared" si="14"/>
        <v>100</v>
      </c>
      <c r="X31" s="1554"/>
      <c r="Y31" s="340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0"/>
      <c r="Q32" s="1559">
        <f t="shared" si="11"/>
        <v>111</v>
      </c>
      <c r="R32" s="1560" t="s">
        <v>8</v>
      </c>
      <c r="S32" s="1561">
        <f t="shared" si="12"/>
        <v>100</v>
      </c>
      <c r="T32" s="1560" t="s">
        <v>8</v>
      </c>
      <c r="U32" s="1561">
        <f t="shared" si="13"/>
        <v>100</v>
      </c>
      <c r="V32" s="1560" t="s">
        <v>8</v>
      </c>
      <c r="W32" s="1561">
        <f t="shared" si="14"/>
        <v>100</v>
      </c>
      <c r="X32" s="1554"/>
      <c r="Y32" s="3400"/>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1" t="s">
        <v>550</v>
      </c>
      <c r="Q33" s="1559" t="str">
        <f t="shared" si="11"/>
        <v>建筑类型</v>
      </c>
      <c r="R33" s="1560" t="s">
        <v>8</v>
      </c>
      <c r="S33" s="1561">
        <f t="shared" si="12"/>
        <v>100</v>
      </c>
      <c r="T33" s="1560" t="s">
        <v>8</v>
      </c>
      <c r="U33" s="1561">
        <f t="shared" si="13"/>
        <v>100</v>
      </c>
      <c r="V33" s="1560" t="s">
        <v>8</v>
      </c>
      <c r="W33" s="1561">
        <f t="shared" si="14"/>
        <v>100</v>
      </c>
      <c r="X33" s="1554"/>
      <c r="Y33" s="340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2"/>
      <c r="Q34" s="1591" t="str">
        <f t="shared" si="11"/>
        <v>项目建筑规模</v>
      </c>
      <c r="R34" s="1564" t="s">
        <v>8</v>
      </c>
      <c r="S34" s="1565" t="e">
        <f t="shared" si="12"/>
        <v>#N/A</v>
      </c>
      <c r="T34" s="1564" t="s">
        <v>8</v>
      </c>
      <c r="U34" s="1565" t="e">
        <f t="shared" si="13"/>
        <v>#N/A</v>
      </c>
      <c r="V34" s="1564" t="s">
        <v>8</v>
      </c>
      <c r="W34" s="1565" t="e">
        <f t="shared" si="14"/>
        <v>#N/A</v>
      </c>
      <c r="X34" s="1566"/>
      <c r="Y34" s="340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2"/>
      <c r="Q35" s="1559" t="str">
        <f t="shared" si="11"/>
        <v>建筑结构</v>
      </c>
      <c r="R35" s="1560" t="s">
        <v>8</v>
      </c>
      <c r="S35" s="1561">
        <f t="shared" si="12"/>
        <v>100</v>
      </c>
      <c r="T35" s="1560" t="s">
        <v>8</v>
      </c>
      <c r="U35" s="1561">
        <f t="shared" si="13"/>
        <v>100</v>
      </c>
      <c r="V35" s="1560" t="s">
        <v>8</v>
      </c>
      <c r="W35" s="1561">
        <f t="shared" si="14"/>
        <v>100</v>
      </c>
      <c r="X35" s="1554"/>
      <c r="Y35" s="340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2"/>
      <c r="Q36" s="1559" t="str">
        <f t="shared" si="11"/>
        <v>公共部分装修</v>
      </c>
      <c r="R36" s="1560" t="s">
        <v>8</v>
      </c>
      <c r="S36" s="1561">
        <f t="shared" si="12"/>
        <v>100</v>
      </c>
      <c r="T36" s="1560" t="s">
        <v>8</v>
      </c>
      <c r="U36" s="1561">
        <f t="shared" si="13"/>
        <v>100</v>
      </c>
      <c r="V36" s="1560" t="s">
        <v>8</v>
      </c>
      <c r="W36" s="1561">
        <f t="shared" si="14"/>
        <v>100</v>
      </c>
      <c r="X36" s="1554"/>
      <c r="Y36" s="340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2"/>
      <c r="Q37" s="1559" t="str">
        <f t="shared" si="11"/>
        <v>成新度</v>
      </c>
      <c r="R37" s="1560" t="s">
        <v>8</v>
      </c>
      <c r="S37" s="1561" t="e">
        <f t="shared" si="12"/>
        <v>#N/A</v>
      </c>
      <c r="T37" s="1560" t="s">
        <v>8</v>
      </c>
      <c r="U37" s="1561" t="e">
        <f t="shared" si="13"/>
        <v>#N/A</v>
      </c>
      <c r="V37" s="1560" t="s">
        <v>8</v>
      </c>
      <c r="W37" s="1561" t="e">
        <f t="shared" si="14"/>
        <v>#N/A</v>
      </c>
      <c r="X37" s="1554"/>
      <c r="Y37" s="340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2"/>
      <c r="Q38" s="1147" t="str">
        <f t="shared" si="11"/>
        <v>写字楼等级</v>
      </c>
      <c r="R38" s="1555" t="s">
        <v>8</v>
      </c>
      <c r="S38" s="1556">
        <f t="shared" si="12"/>
        <v>100</v>
      </c>
      <c r="T38" s="1555" t="s">
        <v>8</v>
      </c>
      <c r="U38" s="1556">
        <f t="shared" si="13"/>
        <v>100</v>
      </c>
      <c r="V38" s="1555" t="s">
        <v>8</v>
      </c>
      <c r="W38" s="1556">
        <f t="shared" si="14"/>
        <v>100</v>
      </c>
      <c r="X38" s="1557"/>
      <c r="Y38" s="340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2" t="s">
        <v>550</v>
      </c>
      <c r="Q39" s="1559" t="str">
        <f t="shared" si="11"/>
        <v>物业管理</v>
      </c>
      <c r="R39" s="1560" t="s">
        <v>8</v>
      </c>
      <c r="S39" s="1561">
        <f t="shared" si="12"/>
        <v>100</v>
      </c>
      <c r="T39" s="1560" t="s">
        <v>8</v>
      </c>
      <c r="U39" s="1561">
        <f t="shared" si="13"/>
        <v>100</v>
      </c>
      <c r="V39" s="1560" t="s">
        <v>8</v>
      </c>
      <c r="W39" s="1561">
        <f t="shared" si="14"/>
        <v>100</v>
      </c>
      <c r="X39" s="1554"/>
      <c r="Y39" s="3402"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2"/>
      <c r="Q40" s="1559" t="str">
        <f t="shared" si="11"/>
        <v>市政基础设施</v>
      </c>
      <c r="R40" s="1560" t="s">
        <v>8</v>
      </c>
      <c r="S40" s="1561">
        <f t="shared" si="12"/>
        <v>100</v>
      </c>
      <c r="T40" s="1560" t="s">
        <v>8</v>
      </c>
      <c r="U40" s="1561">
        <f t="shared" si="13"/>
        <v>100</v>
      </c>
      <c r="V40" s="1560" t="s">
        <v>8</v>
      </c>
      <c r="W40" s="1561">
        <f t="shared" si="14"/>
        <v>100</v>
      </c>
      <c r="X40" s="1554"/>
      <c r="Y40" s="340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2"/>
      <c r="Q41" s="1559" t="str">
        <f t="shared" si="11"/>
        <v>层高</v>
      </c>
      <c r="R41" s="1560" t="s">
        <v>8</v>
      </c>
      <c r="S41" s="1561">
        <f t="shared" si="12"/>
        <v>100</v>
      </c>
      <c r="T41" s="1560" t="s">
        <v>8</v>
      </c>
      <c r="U41" s="1561">
        <f t="shared" si="13"/>
        <v>100</v>
      </c>
      <c r="V41" s="1560" t="s">
        <v>8</v>
      </c>
      <c r="W41" s="1561">
        <f t="shared" si="14"/>
        <v>100</v>
      </c>
      <c r="X41" s="1554"/>
      <c r="Y41" s="340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2"/>
      <c r="Q42" s="1591" t="str">
        <f t="shared" si="11"/>
        <v>单套建筑面积</v>
      </c>
      <c r="R42" s="1564" t="s">
        <v>8</v>
      </c>
      <c r="S42" s="1565">
        <f t="shared" si="12"/>
        <v>100</v>
      </c>
      <c r="T42" s="1564" t="s">
        <v>8</v>
      </c>
      <c r="U42" s="1565">
        <f t="shared" si="13"/>
        <v>100</v>
      </c>
      <c r="V42" s="1564" t="s">
        <v>8</v>
      </c>
      <c r="W42" s="1565">
        <f t="shared" si="14"/>
        <v>100</v>
      </c>
      <c r="X42" s="1566"/>
      <c r="Y42" s="340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2"/>
      <c r="Q43" s="1559" t="str">
        <f t="shared" si="11"/>
        <v>内部装修</v>
      </c>
      <c r="R43" s="1560" t="s">
        <v>8</v>
      </c>
      <c r="S43" s="1561">
        <f t="shared" si="12"/>
        <v>100</v>
      </c>
      <c r="T43" s="1560" t="s">
        <v>8</v>
      </c>
      <c r="U43" s="1561">
        <f t="shared" si="13"/>
        <v>100</v>
      </c>
      <c r="V43" s="1560" t="s">
        <v>8</v>
      </c>
      <c r="W43" s="1561">
        <f t="shared" si="14"/>
        <v>100</v>
      </c>
      <c r="X43" s="1554"/>
      <c r="Y43" s="340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2"/>
      <c r="Q44" s="1559" t="str">
        <f t="shared" si="11"/>
        <v>内部装修维护情况</v>
      </c>
      <c r="R44" s="1560" t="s">
        <v>8</v>
      </c>
      <c r="S44" s="1561">
        <f t="shared" si="12"/>
        <v>100</v>
      </c>
      <c r="T44" s="1560" t="s">
        <v>8</v>
      </c>
      <c r="U44" s="1561">
        <f t="shared" si="13"/>
        <v>100</v>
      </c>
      <c r="V44" s="1560" t="s">
        <v>8</v>
      </c>
      <c r="W44" s="1561">
        <f t="shared" si="14"/>
        <v>100</v>
      </c>
      <c r="X44" s="1554"/>
      <c r="Y44" s="340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2"/>
      <c r="Q45" s="1147">
        <f t="shared" si="11"/>
        <v>111</v>
      </c>
      <c r="R45" s="1555" t="s">
        <v>8</v>
      </c>
      <c r="S45" s="1556">
        <f t="shared" si="12"/>
        <v>100</v>
      </c>
      <c r="T45" s="1555" t="s">
        <v>8</v>
      </c>
      <c r="U45" s="1556">
        <f t="shared" si="13"/>
        <v>100</v>
      </c>
      <c r="V45" s="1555" t="s">
        <v>8</v>
      </c>
      <c r="W45" s="1556">
        <f t="shared" si="14"/>
        <v>100</v>
      </c>
      <c r="X45" s="1557"/>
      <c r="Y45" s="340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2"/>
      <c r="Q46" s="1559">
        <f t="shared" si="11"/>
        <v>111</v>
      </c>
      <c r="R46" s="1560" t="s">
        <v>8</v>
      </c>
      <c r="S46" s="1561">
        <f t="shared" si="12"/>
        <v>100</v>
      </c>
      <c r="T46" s="1560" t="s">
        <v>8</v>
      </c>
      <c r="U46" s="1561">
        <f t="shared" si="13"/>
        <v>100</v>
      </c>
      <c r="V46" s="1560" t="s">
        <v>8</v>
      </c>
      <c r="W46" s="1561">
        <f t="shared" si="14"/>
        <v>100</v>
      </c>
      <c r="X46" s="1554"/>
      <c r="Y46" s="340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3"/>
      <c r="Q47" s="1559">
        <f t="shared" si="11"/>
        <v>111</v>
      </c>
      <c r="R47" s="1560" t="s">
        <v>8</v>
      </c>
      <c r="S47" s="1561">
        <f t="shared" si="12"/>
        <v>100</v>
      </c>
      <c r="T47" s="1560" t="s">
        <v>8</v>
      </c>
      <c r="U47" s="1561">
        <f t="shared" si="13"/>
        <v>100</v>
      </c>
      <c r="V47" s="1560" t="s">
        <v>8</v>
      </c>
      <c r="W47" s="1561">
        <f t="shared" si="14"/>
        <v>100</v>
      </c>
      <c r="X47" s="1554"/>
      <c r="Y47" s="350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0" t="str">
        <f>A48</f>
        <v>成交单价（元/平方米）</v>
      </c>
      <c r="Q48" s="3397"/>
      <c r="R48" s="3502">
        <f>E48</f>
        <v>0</v>
      </c>
      <c r="S48" s="3502"/>
      <c r="T48" s="3502">
        <f>G48</f>
        <v>0</v>
      </c>
      <c r="U48" s="3502"/>
      <c r="V48" s="3502">
        <f>I48</f>
        <v>0</v>
      </c>
      <c r="W48" s="3502"/>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20" t="str">
        <f>A49</f>
        <v>比较价格（元/平方米）</v>
      </c>
      <c r="Q49" s="3397"/>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507" t="str">
        <f>A50</f>
        <v>估价对象XX用房的比较价格（楼面单价，元/平方米）</v>
      </c>
      <c r="Q50" s="3420"/>
      <c r="R50" s="3501" t="e">
        <f>IF(F1="售价",ROUND(AVERAGE(R49:V49),0),ROUND(AVERAGE(R49:V49),1))</f>
        <v>#DIV/0!</v>
      </c>
      <c r="S50" s="3501"/>
      <c r="T50" s="3501"/>
      <c r="U50" s="3501"/>
      <c r="V50" s="3501"/>
      <c r="W50" s="350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3" t="s">
        <v>522</v>
      </c>
      <c r="D4" s="3404"/>
      <c r="E4" s="3428" t="s">
        <v>523</v>
      </c>
      <c r="F4" s="3429"/>
      <c r="G4" s="3403" t="s">
        <v>524</v>
      </c>
      <c r="H4" s="3404"/>
      <c r="I4" s="3403" t="s">
        <v>525</v>
      </c>
      <c r="J4" s="3404"/>
      <c r="K4" s="514" t="s">
        <v>526</v>
      </c>
      <c r="L4" s="2119"/>
      <c r="M4" s="2120"/>
      <c r="N4" s="2120"/>
      <c r="O4" s="2120"/>
      <c r="P4" s="3405" t="s">
        <v>527</v>
      </c>
      <c r="Q4" s="3406"/>
      <c r="R4" s="3391" t="s">
        <v>523</v>
      </c>
      <c r="S4" s="3392"/>
      <c r="T4" s="3391" t="s">
        <v>524</v>
      </c>
      <c r="U4" s="3392"/>
      <c r="V4" s="3411" t="s">
        <v>525</v>
      </c>
      <c r="W4" s="3411"/>
      <c r="X4" s="1554"/>
      <c r="Y4" s="3391" t="s">
        <v>527</v>
      </c>
      <c r="Z4" s="3392"/>
      <c r="AA4" s="3386" t="s">
        <v>523</v>
      </c>
      <c r="AB4" s="3387" t="s">
        <v>524</v>
      </c>
      <c r="AC4" s="3386" t="s">
        <v>525</v>
      </c>
    </row>
    <row r="5" spans="1:29" ht="15">
      <c r="A5" s="515"/>
      <c r="B5" s="516"/>
      <c r="C5" s="3414" t="s">
        <v>2928</v>
      </c>
      <c r="D5" s="3415"/>
      <c r="E5" s="3430" t="s">
        <v>2929</v>
      </c>
      <c r="F5" s="3431"/>
      <c r="G5" s="3414" t="s">
        <v>2930</v>
      </c>
      <c r="H5" s="3415"/>
      <c r="I5" s="3414" t="s">
        <v>2931</v>
      </c>
      <c r="J5" s="3415"/>
      <c r="K5" s="514"/>
      <c r="L5" s="2119"/>
      <c r="M5" s="2120"/>
      <c r="N5" s="2120"/>
      <c r="O5" s="2120"/>
      <c r="P5" s="3407"/>
      <c r="Q5" s="3408"/>
      <c r="R5" s="3393"/>
      <c r="S5" s="3394"/>
      <c r="T5" s="3393"/>
      <c r="U5" s="3394"/>
      <c r="V5" s="3411"/>
      <c r="W5" s="3411"/>
      <c r="X5" s="1554"/>
      <c r="Y5" s="3393"/>
      <c r="Z5" s="3394"/>
      <c r="AA5" s="3387"/>
      <c r="AB5" s="3387"/>
      <c r="AC5" s="3387"/>
    </row>
    <row r="6" spans="1:29" ht="15.75" thickBot="1">
      <c r="A6" s="517"/>
      <c r="B6" s="518"/>
      <c r="C6" s="3412" t="s">
        <v>2932</v>
      </c>
      <c r="D6" s="3413"/>
      <c r="E6" s="3432" t="s">
        <v>2932</v>
      </c>
      <c r="F6" s="3433"/>
      <c r="G6" s="3412" t="s">
        <v>2932</v>
      </c>
      <c r="H6" s="3413"/>
      <c r="I6" s="3412" t="s">
        <v>2932</v>
      </c>
      <c r="J6" s="3413"/>
      <c r="K6" s="514" t="s">
        <v>528</v>
      </c>
      <c r="L6" s="2119"/>
      <c r="M6" s="2120"/>
      <c r="N6" s="2120"/>
      <c r="O6" s="2120"/>
      <c r="P6" s="3409"/>
      <c r="Q6" s="3410"/>
      <c r="R6" s="3393"/>
      <c r="S6" s="3394"/>
      <c r="T6" s="3395"/>
      <c r="U6" s="3396"/>
      <c r="V6" s="3411"/>
      <c r="W6" s="3411"/>
      <c r="X6" s="1554"/>
      <c r="Y6" s="3395"/>
      <c r="Z6" s="3396"/>
      <c r="AA6" s="3388"/>
      <c r="AB6" s="3388"/>
      <c r="AC6" s="3388"/>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9" t="s">
        <v>530</v>
      </c>
      <c r="Q7" s="3398"/>
      <c r="R7" s="1555" t="s">
        <v>8</v>
      </c>
      <c r="S7" s="1556">
        <f t="shared" ref="S7:S15" si="0">F7</f>
        <v>0</v>
      </c>
      <c r="T7" s="1555" t="s">
        <v>8</v>
      </c>
      <c r="U7" s="1556">
        <f t="shared" ref="U7:U15" si="1">H7</f>
        <v>0</v>
      </c>
      <c r="V7" s="1555" t="s">
        <v>8</v>
      </c>
      <c r="W7" s="1556">
        <f t="shared" ref="W7:W15" si="2">J7</f>
        <v>0</v>
      </c>
      <c r="X7" s="1557"/>
      <c r="Y7" s="3389" t="s">
        <v>530</v>
      </c>
      <c r="Z7" s="3390"/>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9" t="s">
        <v>533</v>
      </c>
      <c r="Q8" s="3390"/>
      <c r="R8" s="1555" t="s">
        <v>8</v>
      </c>
      <c r="S8" s="1556">
        <f t="shared" si="0"/>
        <v>0</v>
      </c>
      <c r="T8" s="1555" t="s">
        <v>8</v>
      </c>
      <c r="U8" s="1556">
        <f t="shared" si="1"/>
        <v>0</v>
      </c>
      <c r="V8" s="1555" t="s">
        <v>8</v>
      </c>
      <c r="W8" s="1556">
        <f t="shared" si="2"/>
        <v>0</v>
      </c>
      <c r="X8" s="1557"/>
      <c r="Y8" s="3389" t="s">
        <v>533</v>
      </c>
      <c r="Z8" s="3390"/>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7" t="s">
        <v>535</v>
      </c>
      <c r="Q9" s="1147" t="str">
        <f t="shared" ref="Q9:Q15" si="6">B9</f>
        <v>用途</v>
      </c>
      <c r="R9" s="1555" t="s">
        <v>8</v>
      </c>
      <c r="S9" s="1556">
        <f t="shared" si="0"/>
        <v>100</v>
      </c>
      <c r="T9" s="1555" t="s">
        <v>8</v>
      </c>
      <c r="U9" s="1556">
        <f t="shared" si="1"/>
        <v>100</v>
      </c>
      <c r="V9" s="1555" t="s">
        <v>8</v>
      </c>
      <c r="W9" s="1556">
        <f t="shared" si="2"/>
        <v>100</v>
      </c>
      <c r="X9" s="1557"/>
      <c r="Y9" s="3354"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7"/>
      <c r="Q10" s="1147" t="str">
        <f t="shared" si="6"/>
        <v>土地使用年限（年）</v>
      </c>
      <c r="R10" s="1555" t="s">
        <v>8</v>
      </c>
      <c r="S10" s="1556">
        <f t="shared" si="0"/>
        <v>100</v>
      </c>
      <c r="T10" s="1555" t="s">
        <v>8</v>
      </c>
      <c r="U10" s="1556">
        <f t="shared" si="1"/>
        <v>100</v>
      </c>
      <c r="V10" s="1555" t="s">
        <v>8</v>
      </c>
      <c r="W10" s="1556">
        <f t="shared" si="2"/>
        <v>100</v>
      </c>
      <c r="X10" s="1557"/>
      <c r="Y10" s="3354"/>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7"/>
      <c r="Q11" s="1147" t="str">
        <f t="shared" si="6"/>
        <v>容积率</v>
      </c>
      <c r="R11" s="1555" t="s">
        <v>8</v>
      </c>
      <c r="S11" s="1556" t="e">
        <f t="shared" si="0"/>
        <v>#N/A</v>
      </c>
      <c r="T11" s="1555" t="s">
        <v>8</v>
      </c>
      <c r="U11" s="1556" t="e">
        <f t="shared" si="1"/>
        <v>#N/A</v>
      </c>
      <c r="V11" s="1555" t="s">
        <v>8</v>
      </c>
      <c r="W11" s="1556" t="e">
        <f t="shared" si="2"/>
        <v>#N/A</v>
      </c>
      <c r="X11" s="1557"/>
      <c r="Y11" s="335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7"/>
      <c r="Q12" s="1147">
        <f t="shared" si="6"/>
        <v>111</v>
      </c>
      <c r="R12" s="1555" t="s">
        <v>8</v>
      </c>
      <c r="S12" s="1556">
        <f t="shared" si="0"/>
        <v>100</v>
      </c>
      <c r="T12" s="1555" t="s">
        <v>8</v>
      </c>
      <c r="U12" s="1556">
        <f t="shared" si="1"/>
        <v>100</v>
      </c>
      <c r="V12" s="1555" t="s">
        <v>8</v>
      </c>
      <c r="W12" s="1556">
        <f t="shared" si="2"/>
        <v>100</v>
      </c>
      <c r="X12" s="1557"/>
      <c r="Y12" s="3354"/>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7"/>
      <c r="Q13" s="1147">
        <f t="shared" si="6"/>
        <v>111</v>
      </c>
      <c r="R13" s="1555" t="s">
        <v>8</v>
      </c>
      <c r="S13" s="1556">
        <f t="shared" si="0"/>
        <v>100</v>
      </c>
      <c r="T13" s="1555" t="s">
        <v>8</v>
      </c>
      <c r="U13" s="1556">
        <f t="shared" si="1"/>
        <v>100</v>
      </c>
      <c r="V13" s="1555" t="s">
        <v>8</v>
      </c>
      <c r="W13" s="1556">
        <f t="shared" si="2"/>
        <v>100</v>
      </c>
      <c r="X13" s="1557"/>
      <c r="Y13" s="3354"/>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7"/>
      <c r="Q14" s="1147">
        <f t="shared" si="6"/>
        <v>111</v>
      </c>
      <c r="R14" s="1555" t="s">
        <v>8</v>
      </c>
      <c r="S14" s="1556">
        <f t="shared" si="0"/>
        <v>100</v>
      </c>
      <c r="T14" s="1555" t="s">
        <v>8</v>
      </c>
      <c r="U14" s="1556">
        <f t="shared" si="1"/>
        <v>100</v>
      </c>
      <c r="V14" s="1555" t="s">
        <v>8</v>
      </c>
      <c r="W14" s="1556">
        <f t="shared" si="2"/>
        <v>100</v>
      </c>
      <c r="X14" s="1557"/>
      <c r="Y14" s="3354"/>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9" t="s">
        <v>540</v>
      </c>
      <c r="Q15" s="1559" t="str">
        <f t="shared" si="6"/>
        <v>产业集聚程度</v>
      </c>
      <c r="R15" s="1560" t="s">
        <v>8</v>
      </c>
      <c r="S15" s="1561">
        <f t="shared" si="0"/>
        <v>100</v>
      </c>
      <c r="T15" s="1560" t="s">
        <v>8</v>
      </c>
      <c r="U15" s="1561">
        <f t="shared" si="1"/>
        <v>100</v>
      </c>
      <c r="V15" s="1560" t="s">
        <v>8</v>
      </c>
      <c r="W15" s="1561">
        <f t="shared" si="2"/>
        <v>100</v>
      </c>
      <c r="X15" s="1554"/>
      <c r="Y15" s="339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0"/>
      <c r="Q22" s="2544"/>
      <c r="R22" s="1560"/>
      <c r="S22" s="1561"/>
      <c r="T22" s="1560"/>
      <c r="U22" s="1561"/>
      <c r="V22" s="1560"/>
      <c r="W22" s="1561"/>
      <c r="X22" s="2546"/>
      <c r="Y22" s="340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0"/>
      <c r="Q23" s="1559" t="str">
        <f>B23</f>
        <v>环境质量</v>
      </c>
      <c r="R23" s="1560" t="s">
        <v>8</v>
      </c>
      <c r="S23" s="1561">
        <f>F23</f>
        <v>100</v>
      </c>
      <c r="T23" s="1560" t="s">
        <v>8</v>
      </c>
      <c r="U23" s="1561">
        <f>H23</f>
        <v>100</v>
      </c>
      <c r="V23" s="1560" t="s">
        <v>8</v>
      </c>
      <c r="W23" s="1561">
        <f>J23</f>
        <v>100</v>
      </c>
      <c r="X23" s="1554"/>
      <c r="Y23" s="340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0"/>
      <c r="Q25" s="1559">
        <f>B25</f>
        <v>111</v>
      </c>
      <c r="R25" s="1560" t="s">
        <v>8</v>
      </c>
      <c r="S25" s="1561">
        <f>F25</f>
        <v>100</v>
      </c>
      <c r="T25" s="1560" t="s">
        <v>8</v>
      </c>
      <c r="U25" s="1561">
        <f>H25</f>
        <v>100</v>
      </c>
      <c r="V25" s="1560" t="s">
        <v>8</v>
      </c>
      <c r="W25" s="1561">
        <f>J25</f>
        <v>100</v>
      </c>
      <c r="X25" s="1554"/>
      <c r="Y25" s="340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0"/>
      <c r="Q26" s="1559">
        <f t="shared" ref="Q26:Q40" si="11">B26</f>
        <v>111</v>
      </c>
      <c r="R26" s="1560" t="s">
        <v>8</v>
      </c>
      <c r="S26" s="1561">
        <f>F26</f>
        <v>100</v>
      </c>
      <c r="T26" s="1560" t="s">
        <v>8</v>
      </c>
      <c r="U26" s="1561">
        <f>H26</f>
        <v>100</v>
      </c>
      <c r="V26" s="1560" t="s">
        <v>8</v>
      </c>
      <c r="W26" s="1561">
        <f>J26</f>
        <v>100</v>
      </c>
      <c r="X26" s="1554"/>
      <c r="Y26" s="340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0"/>
      <c r="Q27" s="1147">
        <f t="shared" si="11"/>
        <v>111</v>
      </c>
      <c r="R27" s="1555" t="s">
        <v>8</v>
      </c>
      <c r="S27" s="1556">
        <f>F27</f>
        <v>100</v>
      </c>
      <c r="T27" s="1555" t="s">
        <v>8</v>
      </c>
      <c r="U27" s="1556">
        <f>H27</f>
        <v>100</v>
      </c>
      <c r="V27" s="1555" t="s">
        <v>8</v>
      </c>
      <c r="W27" s="1556">
        <f>J27</f>
        <v>100</v>
      </c>
      <c r="X27" s="1557"/>
      <c r="Y27" s="340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0"/>
      <c r="Q28" s="1559">
        <f t="shared" si="11"/>
        <v>111</v>
      </c>
      <c r="R28" s="1560" t="s">
        <v>8</v>
      </c>
      <c r="S28" s="1561">
        <f t="shared" ref="S28:S40" si="12">F28</f>
        <v>100</v>
      </c>
      <c r="T28" s="1560" t="s">
        <v>8</v>
      </c>
      <c r="U28" s="1561">
        <f t="shared" ref="U28:U40" si="13">H28</f>
        <v>100</v>
      </c>
      <c r="V28" s="1560" t="s">
        <v>8</v>
      </c>
      <c r="W28" s="1561">
        <f t="shared" ref="W28:W40" si="14">J28</f>
        <v>100</v>
      </c>
      <c r="X28" s="1554"/>
      <c r="Y28" s="3400"/>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1" t="s">
        <v>550</v>
      </c>
      <c r="Q29" s="1559" t="str">
        <f t="shared" si="11"/>
        <v>建筑类型</v>
      </c>
      <c r="R29" s="1560" t="s">
        <v>8</v>
      </c>
      <c r="S29" s="1561">
        <f t="shared" si="12"/>
        <v>100</v>
      </c>
      <c r="T29" s="1560" t="s">
        <v>8</v>
      </c>
      <c r="U29" s="1561">
        <f t="shared" si="13"/>
        <v>100</v>
      </c>
      <c r="V29" s="1560" t="s">
        <v>8</v>
      </c>
      <c r="W29" s="1561">
        <f t="shared" si="14"/>
        <v>100</v>
      </c>
      <c r="X29" s="1554"/>
      <c r="Y29" s="340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2"/>
      <c r="Q30" s="1591" t="str">
        <f t="shared" si="11"/>
        <v>项目建筑规模</v>
      </c>
      <c r="R30" s="1564" t="s">
        <v>8</v>
      </c>
      <c r="S30" s="1565" t="e">
        <f t="shared" si="12"/>
        <v>#N/A</v>
      </c>
      <c r="T30" s="1564" t="s">
        <v>8</v>
      </c>
      <c r="U30" s="1565" t="e">
        <f t="shared" si="13"/>
        <v>#N/A</v>
      </c>
      <c r="V30" s="1564" t="s">
        <v>8</v>
      </c>
      <c r="W30" s="1565" t="e">
        <f t="shared" si="14"/>
        <v>#N/A</v>
      </c>
      <c r="X30" s="1566"/>
      <c r="Y30" s="340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2"/>
      <c r="Q31" s="1559" t="str">
        <f t="shared" si="11"/>
        <v>建筑结构</v>
      </c>
      <c r="R31" s="1560" t="s">
        <v>8</v>
      </c>
      <c r="S31" s="1561">
        <f t="shared" si="12"/>
        <v>100</v>
      </c>
      <c r="T31" s="1560" t="s">
        <v>8</v>
      </c>
      <c r="U31" s="1561">
        <f t="shared" si="13"/>
        <v>100</v>
      </c>
      <c r="V31" s="1560" t="s">
        <v>8</v>
      </c>
      <c r="W31" s="1561">
        <f t="shared" si="14"/>
        <v>100</v>
      </c>
      <c r="X31" s="1554"/>
      <c r="Y31" s="340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2"/>
      <c r="Q32" s="1559" t="str">
        <f t="shared" si="11"/>
        <v>公共部分装修</v>
      </c>
      <c r="R32" s="1560" t="s">
        <v>8</v>
      </c>
      <c r="S32" s="1561">
        <f t="shared" si="12"/>
        <v>100</v>
      </c>
      <c r="T32" s="1560" t="s">
        <v>8</v>
      </c>
      <c r="U32" s="1561">
        <f t="shared" si="13"/>
        <v>100</v>
      </c>
      <c r="V32" s="1560" t="s">
        <v>8</v>
      </c>
      <c r="W32" s="1561">
        <f t="shared" si="14"/>
        <v>100</v>
      </c>
      <c r="X32" s="1554"/>
      <c r="Y32" s="340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2"/>
      <c r="Q33" s="1559" t="str">
        <f t="shared" si="11"/>
        <v>成新度</v>
      </c>
      <c r="R33" s="1560" t="s">
        <v>8</v>
      </c>
      <c r="S33" s="1561" t="e">
        <f t="shared" si="12"/>
        <v>#N/A</v>
      </c>
      <c r="T33" s="1560" t="s">
        <v>8</v>
      </c>
      <c r="U33" s="1561" t="e">
        <f t="shared" si="13"/>
        <v>#N/A</v>
      </c>
      <c r="V33" s="1560" t="s">
        <v>8</v>
      </c>
      <c r="W33" s="1561" t="e">
        <f t="shared" si="14"/>
        <v>#N/A</v>
      </c>
      <c r="X33" s="1554"/>
      <c r="Y33" s="340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2"/>
      <c r="Q34" s="1147" t="str">
        <f t="shared" si="11"/>
        <v>物业管理</v>
      </c>
      <c r="R34" s="1555" t="s">
        <v>8</v>
      </c>
      <c r="S34" s="1556">
        <f t="shared" si="12"/>
        <v>100</v>
      </c>
      <c r="T34" s="1555" t="s">
        <v>8</v>
      </c>
      <c r="U34" s="1556">
        <f t="shared" si="13"/>
        <v>100</v>
      </c>
      <c r="V34" s="1555" t="s">
        <v>8</v>
      </c>
      <c r="W34" s="1556">
        <f t="shared" si="14"/>
        <v>100</v>
      </c>
      <c r="X34" s="1557"/>
      <c r="Y34" s="3402"/>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2" t="s">
        <v>550</v>
      </c>
      <c r="Q35" s="1559" t="str">
        <f t="shared" si="11"/>
        <v>市政基础设施</v>
      </c>
      <c r="R35" s="1560" t="s">
        <v>8</v>
      </c>
      <c r="S35" s="1561">
        <f t="shared" si="12"/>
        <v>100</v>
      </c>
      <c r="T35" s="1560" t="s">
        <v>8</v>
      </c>
      <c r="U35" s="1561">
        <f t="shared" si="13"/>
        <v>100</v>
      </c>
      <c r="V35" s="1560" t="s">
        <v>8</v>
      </c>
      <c r="W35" s="1561">
        <f t="shared" si="14"/>
        <v>100</v>
      </c>
      <c r="X35" s="1554"/>
      <c r="Y35" s="340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2"/>
      <c r="Q36" s="1559" t="str">
        <f t="shared" si="11"/>
        <v>内部装修</v>
      </c>
      <c r="R36" s="1560" t="s">
        <v>8</v>
      </c>
      <c r="S36" s="1561">
        <f t="shared" si="12"/>
        <v>100</v>
      </c>
      <c r="T36" s="1560" t="s">
        <v>8</v>
      </c>
      <c r="U36" s="1561">
        <f t="shared" si="13"/>
        <v>100</v>
      </c>
      <c r="V36" s="1560" t="s">
        <v>8</v>
      </c>
      <c r="W36" s="1561">
        <f t="shared" si="14"/>
        <v>100</v>
      </c>
      <c r="X36" s="1554"/>
      <c r="Y36" s="340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2"/>
      <c r="Q37" s="1559" t="str">
        <f t="shared" si="11"/>
        <v>内部装修状况</v>
      </c>
      <c r="R37" s="1560" t="s">
        <v>8</v>
      </c>
      <c r="S37" s="1561">
        <f t="shared" si="12"/>
        <v>100</v>
      </c>
      <c r="T37" s="1560" t="s">
        <v>8</v>
      </c>
      <c r="U37" s="1561">
        <f t="shared" si="13"/>
        <v>100</v>
      </c>
      <c r="V37" s="1560" t="s">
        <v>8</v>
      </c>
      <c r="W37" s="1561">
        <f t="shared" si="14"/>
        <v>100</v>
      </c>
      <c r="X37" s="1554"/>
      <c r="Y37" s="340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2"/>
      <c r="Q38" s="1591">
        <f t="shared" si="11"/>
        <v>111</v>
      </c>
      <c r="R38" s="1564" t="s">
        <v>8</v>
      </c>
      <c r="S38" s="1565">
        <f t="shared" si="12"/>
        <v>100</v>
      </c>
      <c r="T38" s="1564" t="s">
        <v>8</v>
      </c>
      <c r="U38" s="1565">
        <f t="shared" si="13"/>
        <v>100</v>
      </c>
      <c r="V38" s="1564" t="s">
        <v>8</v>
      </c>
      <c r="W38" s="1565">
        <f t="shared" si="14"/>
        <v>100</v>
      </c>
      <c r="X38" s="1566"/>
      <c r="Y38" s="340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2"/>
      <c r="Q39" s="1559">
        <f t="shared" si="11"/>
        <v>111</v>
      </c>
      <c r="R39" s="1560" t="s">
        <v>8</v>
      </c>
      <c r="S39" s="1561">
        <f t="shared" si="12"/>
        <v>100</v>
      </c>
      <c r="T39" s="1560" t="s">
        <v>8</v>
      </c>
      <c r="U39" s="1561">
        <f t="shared" si="13"/>
        <v>100</v>
      </c>
      <c r="V39" s="1560" t="s">
        <v>8</v>
      </c>
      <c r="W39" s="1561">
        <f t="shared" si="14"/>
        <v>100</v>
      </c>
      <c r="X39" s="1554"/>
      <c r="Y39" s="340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3"/>
      <c r="Q40" s="1559">
        <f t="shared" si="11"/>
        <v>111</v>
      </c>
      <c r="R40" s="1560" t="s">
        <v>8</v>
      </c>
      <c r="S40" s="1561">
        <f t="shared" si="12"/>
        <v>100</v>
      </c>
      <c r="T40" s="1560" t="s">
        <v>8</v>
      </c>
      <c r="U40" s="1561">
        <f t="shared" si="13"/>
        <v>100</v>
      </c>
      <c r="V40" s="1560" t="s">
        <v>8</v>
      </c>
      <c r="W40" s="1561">
        <f t="shared" si="14"/>
        <v>100</v>
      </c>
      <c r="X40" s="1554"/>
      <c r="Y40" s="350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7" t="str">
        <f>A41</f>
        <v>成交单价（元/平方米）</v>
      </c>
      <c r="Q41" s="3397"/>
      <c r="R41" s="3502">
        <f>E41</f>
        <v>0</v>
      </c>
      <c r="S41" s="3502"/>
      <c r="T41" s="3502">
        <f>G41</f>
        <v>0</v>
      </c>
      <c r="U41" s="3502"/>
      <c r="V41" s="3502">
        <f>I41</f>
        <v>0</v>
      </c>
      <c r="W41" s="3502"/>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97" t="str">
        <f>A42</f>
        <v>比较价格（元/平方米）</v>
      </c>
      <c r="Q42" s="3397"/>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419" t="str">
        <f>A43</f>
        <v>估价对象XX用房的比较价格（楼面单价，元/平方米）</v>
      </c>
      <c r="Q43" s="3420"/>
      <c r="R43" s="3501" t="e">
        <f>IF(F1="售价",ROUND(AVERAGE(R42:V42),0),ROUND(AVERAGE(R42:V42),1))</f>
        <v>#DIV/0!</v>
      </c>
      <c r="S43" s="3501"/>
      <c r="T43" s="3501"/>
      <c r="U43" s="3501"/>
      <c r="V43" s="3501"/>
      <c r="W43" s="350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147819.42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根据《国有土地使用证》[]，估价对象（分摊）出让国有建设用地使用权面积为15721.96平方米。根据《建设工程规划许可证》[]、《出让合同》[]，估价对象规划建筑面积为147819.42平方米。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3" t="s">
        <v>798</v>
      </c>
      <c r="D4" s="3404"/>
      <c r="E4" s="3403" t="s">
        <v>799</v>
      </c>
      <c r="F4" s="3404"/>
      <c r="G4" s="3403" t="s">
        <v>800</v>
      </c>
      <c r="H4" s="3404"/>
      <c r="I4" s="3403" t="s">
        <v>801</v>
      </c>
      <c r="J4" s="3404"/>
      <c r="K4" s="514" t="s">
        <v>802</v>
      </c>
      <c r="L4" s="2119"/>
      <c r="M4" s="2120"/>
      <c r="N4" s="2120"/>
      <c r="O4" s="2120"/>
      <c r="P4" s="3405" t="s">
        <v>803</v>
      </c>
      <c r="Q4" s="3406"/>
      <c r="R4" s="3391" t="s">
        <v>799</v>
      </c>
      <c r="S4" s="3392"/>
      <c r="T4" s="3391" t="s">
        <v>800</v>
      </c>
      <c r="U4" s="3392"/>
      <c r="V4" s="3411" t="s">
        <v>801</v>
      </c>
      <c r="W4" s="3411"/>
      <c r="X4" s="1554"/>
      <c r="Y4" s="3391" t="s">
        <v>803</v>
      </c>
      <c r="Z4" s="3392"/>
      <c r="AA4" s="3386" t="s">
        <v>799</v>
      </c>
      <c r="AB4" s="3387" t="s">
        <v>800</v>
      </c>
      <c r="AC4" s="3386" t="s">
        <v>801</v>
      </c>
    </row>
    <row r="5" spans="1:29" ht="15">
      <c r="A5" s="515"/>
      <c r="B5" s="516"/>
      <c r="C5" s="3414" t="s">
        <v>2928</v>
      </c>
      <c r="D5" s="3415"/>
      <c r="E5" s="3414" t="s">
        <v>2929</v>
      </c>
      <c r="F5" s="3415"/>
      <c r="G5" s="3414" t="s">
        <v>2930</v>
      </c>
      <c r="H5" s="3415"/>
      <c r="I5" s="3414" t="s">
        <v>2931</v>
      </c>
      <c r="J5" s="3415"/>
      <c r="K5" s="514"/>
      <c r="L5" s="2119"/>
      <c r="M5" s="2120"/>
      <c r="N5" s="2120"/>
      <c r="O5" s="2120"/>
      <c r="P5" s="3407"/>
      <c r="Q5" s="3408"/>
      <c r="R5" s="3393"/>
      <c r="S5" s="3394"/>
      <c r="T5" s="3393"/>
      <c r="U5" s="3394"/>
      <c r="V5" s="3411"/>
      <c r="W5" s="3411"/>
      <c r="X5" s="1554"/>
      <c r="Y5" s="3393"/>
      <c r="Z5" s="3394"/>
      <c r="AA5" s="3387"/>
      <c r="AB5" s="3387"/>
      <c r="AC5" s="3387"/>
    </row>
    <row r="6" spans="1:29" ht="15.75" thickBot="1">
      <c r="A6" s="517"/>
      <c r="B6" s="518"/>
      <c r="C6" s="3412" t="s">
        <v>2932</v>
      </c>
      <c r="D6" s="3413"/>
      <c r="E6" s="3416" t="s">
        <v>2932</v>
      </c>
      <c r="F6" s="3417"/>
      <c r="G6" s="3412" t="s">
        <v>2932</v>
      </c>
      <c r="H6" s="3413"/>
      <c r="I6" s="3412" t="s">
        <v>2932</v>
      </c>
      <c r="J6" s="3413"/>
      <c r="K6" s="514" t="s">
        <v>528</v>
      </c>
      <c r="L6" s="2119"/>
      <c r="M6" s="2120"/>
      <c r="N6" s="2120"/>
      <c r="O6" s="2120"/>
      <c r="P6" s="3409"/>
      <c r="Q6" s="3410"/>
      <c r="R6" s="3393"/>
      <c r="S6" s="3394"/>
      <c r="T6" s="3395"/>
      <c r="U6" s="3396"/>
      <c r="V6" s="3411"/>
      <c r="W6" s="3411"/>
      <c r="X6" s="1554"/>
      <c r="Y6" s="3395"/>
      <c r="Z6" s="3396"/>
      <c r="AA6" s="3388"/>
      <c r="AB6" s="3388"/>
      <c r="AC6" s="3388"/>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9" t="s">
        <v>530</v>
      </c>
      <c r="Q7" s="3398"/>
      <c r="R7" s="1555" t="s">
        <v>8</v>
      </c>
      <c r="S7" s="1556">
        <f t="shared" ref="S7:S14" si="0">F7</f>
        <v>0</v>
      </c>
      <c r="T7" s="1555" t="s">
        <v>8</v>
      </c>
      <c r="U7" s="1556">
        <f t="shared" ref="U7:U14" si="1">H7</f>
        <v>0</v>
      </c>
      <c r="V7" s="1555" t="s">
        <v>8</v>
      </c>
      <c r="W7" s="1556">
        <f t="shared" ref="W7:W14" si="2">J7</f>
        <v>0</v>
      </c>
      <c r="X7" s="1557"/>
      <c r="Y7" s="3389" t="s">
        <v>530</v>
      </c>
      <c r="Z7" s="3390"/>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9" t="s">
        <v>533</v>
      </c>
      <c r="Q8" s="3390"/>
      <c r="R8" s="1555" t="s">
        <v>8</v>
      </c>
      <c r="S8" s="1556">
        <f t="shared" si="0"/>
        <v>0</v>
      </c>
      <c r="T8" s="1555" t="s">
        <v>8</v>
      </c>
      <c r="U8" s="1556">
        <f t="shared" si="1"/>
        <v>0</v>
      </c>
      <c r="V8" s="1555" t="s">
        <v>8</v>
      </c>
      <c r="W8" s="1556">
        <f t="shared" si="2"/>
        <v>0</v>
      </c>
      <c r="X8" s="1557"/>
      <c r="Y8" s="3389" t="s">
        <v>533</v>
      </c>
      <c r="Z8" s="3390"/>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7" t="s">
        <v>535</v>
      </c>
      <c r="Q9" s="1147" t="str">
        <f t="shared" ref="Q9:Q14" si="6">B9</f>
        <v>用途</v>
      </c>
      <c r="R9" s="1555" t="s">
        <v>8</v>
      </c>
      <c r="S9" s="1556">
        <f t="shared" si="0"/>
        <v>100</v>
      </c>
      <c r="T9" s="1555" t="s">
        <v>8</v>
      </c>
      <c r="U9" s="1556">
        <f t="shared" si="1"/>
        <v>100</v>
      </c>
      <c r="V9" s="1555" t="s">
        <v>8</v>
      </c>
      <c r="W9" s="1556">
        <f t="shared" si="2"/>
        <v>100</v>
      </c>
      <c r="X9" s="1557"/>
      <c r="Y9" s="3354"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7"/>
      <c r="Q10" s="1147" t="str">
        <f t="shared" si="6"/>
        <v>土地使用年限（年）</v>
      </c>
      <c r="R10" s="1555" t="s">
        <v>8</v>
      </c>
      <c r="S10" s="1556">
        <f t="shared" si="0"/>
        <v>100</v>
      </c>
      <c r="T10" s="1555" t="s">
        <v>8</v>
      </c>
      <c r="U10" s="1556">
        <f t="shared" si="1"/>
        <v>100</v>
      </c>
      <c r="V10" s="1555" t="s">
        <v>8</v>
      </c>
      <c r="W10" s="1556">
        <f t="shared" si="2"/>
        <v>100</v>
      </c>
      <c r="X10" s="1557"/>
      <c r="Y10" s="3354"/>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7"/>
      <c r="Q11" s="1147">
        <f t="shared" si="6"/>
        <v>111</v>
      </c>
      <c r="R11" s="1555" t="s">
        <v>8</v>
      </c>
      <c r="S11" s="1556">
        <f t="shared" si="0"/>
        <v>100</v>
      </c>
      <c r="T11" s="1555" t="s">
        <v>8</v>
      </c>
      <c r="U11" s="1556">
        <f t="shared" si="1"/>
        <v>100</v>
      </c>
      <c r="V11" s="1555" t="s">
        <v>8</v>
      </c>
      <c r="W11" s="1556">
        <f t="shared" si="2"/>
        <v>100</v>
      </c>
      <c r="X11" s="1557"/>
      <c r="Y11" s="3354"/>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7"/>
      <c r="Q12" s="1147">
        <f t="shared" si="6"/>
        <v>111</v>
      </c>
      <c r="R12" s="1555" t="s">
        <v>8</v>
      </c>
      <c r="S12" s="1556">
        <f t="shared" si="0"/>
        <v>100</v>
      </c>
      <c r="T12" s="1555" t="s">
        <v>8</v>
      </c>
      <c r="U12" s="1556">
        <f t="shared" si="1"/>
        <v>100</v>
      </c>
      <c r="V12" s="1555" t="s">
        <v>8</v>
      </c>
      <c r="W12" s="1556">
        <f t="shared" si="2"/>
        <v>100</v>
      </c>
      <c r="X12" s="1557"/>
      <c r="Y12" s="3354"/>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7"/>
      <c r="Q13" s="1147">
        <f t="shared" si="6"/>
        <v>111</v>
      </c>
      <c r="R13" s="1555" t="s">
        <v>8</v>
      </c>
      <c r="S13" s="1556">
        <f t="shared" si="0"/>
        <v>100</v>
      </c>
      <c r="T13" s="1555" t="s">
        <v>8</v>
      </c>
      <c r="U13" s="1556">
        <f t="shared" si="1"/>
        <v>100</v>
      </c>
      <c r="V13" s="1555" t="s">
        <v>8</v>
      </c>
      <c r="W13" s="1556">
        <f t="shared" si="2"/>
        <v>100</v>
      </c>
      <c r="X13" s="1557"/>
      <c r="Y13" s="3354"/>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9" t="s">
        <v>540</v>
      </c>
      <c r="Q14" s="1559" t="str">
        <f t="shared" si="6"/>
        <v>交通便捷度</v>
      </c>
      <c r="R14" s="1560" t="s">
        <v>8</v>
      </c>
      <c r="S14" s="1561">
        <f t="shared" si="0"/>
        <v>100</v>
      </c>
      <c r="T14" s="1560" t="s">
        <v>8</v>
      </c>
      <c r="U14" s="1561">
        <f t="shared" si="1"/>
        <v>100</v>
      </c>
      <c r="V14" s="1560" t="s">
        <v>8</v>
      </c>
      <c r="W14" s="1561">
        <f t="shared" si="2"/>
        <v>100</v>
      </c>
      <c r="X14" s="1554"/>
      <c r="Y14" s="339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0"/>
      <c r="Q15" s="1559"/>
      <c r="R15" s="1560"/>
      <c r="S15" s="1561"/>
      <c r="T15" s="1560"/>
      <c r="U15" s="1561"/>
      <c r="V15" s="1560"/>
      <c r="W15" s="1561"/>
      <c r="X15" s="1554"/>
      <c r="Y15" s="3400"/>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0"/>
      <c r="Q16" s="1559" t="str">
        <f>B16</f>
        <v>公共配套设施</v>
      </c>
      <c r="R16" s="1560" t="s">
        <v>8</v>
      </c>
      <c r="S16" s="1561">
        <f>F16</f>
        <v>100</v>
      </c>
      <c r="T16" s="1560" t="s">
        <v>8</v>
      </c>
      <c r="U16" s="1561">
        <f>H16</f>
        <v>100</v>
      </c>
      <c r="V16" s="1560" t="s">
        <v>8</v>
      </c>
      <c r="W16" s="1561">
        <f>J16</f>
        <v>100</v>
      </c>
      <c r="X16" s="1554"/>
      <c r="Y16" s="340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0"/>
      <c r="Q17" s="1559"/>
      <c r="R17" s="1560"/>
      <c r="S17" s="1561"/>
      <c r="T17" s="1560"/>
      <c r="U17" s="1561"/>
      <c r="V17" s="1560"/>
      <c r="W17" s="1561"/>
      <c r="X17" s="1554"/>
      <c r="Y17" s="3400"/>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0"/>
      <c r="Q18" s="2544" t="str">
        <f>B18</f>
        <v>基础设施水平</v>
      </c>
      <c r="R18" s="1560" t="s">
        <v>8</v>
      </c>
      <c r="S18" s="1561">
        <f>F18</f>
        <v>100</v>
      </c>
      <c r="T18" s="1560" t="s">
        <v>8</v>
      </c>
      <c r="U18" s="1561">
        <f>H18</f>
        <v>100</v>
      </c>
      <c r="V18" s="1560" t="s">
        <v>8</v>
      </c>
      <c r="W18" s="1561">
        <f>J18</f>
        <v>100</v>
      </c>
      <c r="X18" s="2546"/>
      <c r="Y18" s="340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0"/>
      <c r="Q19" s="2544"/>
      <c r="R19" s="1560"/>
      <c r="S19" s="1561"/>
      <c r="T19" s="1560"/>
      <c r="U19" s="1561"/>
      <c r="V19" s="1560"/>
      <c r="W19" s="1561"/>
      <c r="X19" s="2546"/>
      <c r="Y19" s="340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0"/>
      <c r="Q20" s="1559" t="str">
        <f>B20</f>
        <v>自然及人文环境</v>
      </c>
      <c r="R20" s="1560" t="s">
        <v>8</v>
      </c>
      <c r="S20" s="1561">
        <f>F20</f>
        <v>100</v>
      </c>
      <c r="T20" s="1560" t="s">
        <v>8</v>
      </c>
      <c r="U20" s="1561">
        <f>H20</f>
        <v>100</v>
      </c>
      <c r="V20" s="1560" t="s">
        <v>8</v>
      </c>
      <c r="W20" s="1561">
        <f>J20</f>
        <v>100</v>
      </c>
      <c r="X20" s="1554"/>
      <c r="Y20" s="340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0"/>
      <c r="Q21" s="1559"/>
      <c r="R21" s="1560"/>
      <c r="S21" s="1561"/>
      <c r="T21" s="1560"/>
      <c r="U21" s="1561"/>
      <c r="V21" s="1560"/>
      <c r="W21" s="1561"/>
      <c r="X21" s="1554"/>
      <c r="Y21" s="340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0"/>
      <c r="Q22" s="1559" t="str">
        <f>B22</f>
        <v>楼层</v>
      </c>
      <c r="R22" s="1560" t="s">
        <v>8</v>
      </c>
      <c r="S22" s="1561">
        <f>F22</f>
        <v>100</v>
      </c>
      <c r="T22" s="1560" t="s">
        <v>8</v>
      </c>
      <c r="U22" s="1561">
        <f>H22</f>
        <v>100</v>
      </c>
      <c r="V22" s="1560" t="s">
        <v>8</v>
      </c>
      <c r="W22" s="1561">
        <f>J22</f>
        <v>100</v>
      </c>
      <c r="X22" s="1554"/>
      <c r="Y22" s="340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0"/>
      <c r="Q23" s="1559">
        <f>B23</f>
        <v>111</v>
      </c>
      <c r="R23" s="1560" t="s">
        <v>8</v>
      </c>
      <c r="S23" s="1561">
        <f>F23</f>
        <v>100</v>
      </c>
      <c r="T23" s="1560" t="s">
        <v>8</v>
      </c>
      <c r="U23" s="1561">
        <f>H23</f>
        <v>100</v>
      </c>
      <c r="V23" s="1560" t="s">
        <v>8</v>
      </c>
      <c r="W23" s="1561">
        <f>J23</f>
        <v>100</v>
      </c>
      <c r="X23" s="1554"/>
      <c r="Y23" s="340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0"/>
      <c r="Q24" s="1559">
        <f t="shared" ref="Q24:Q36" si="11">B24</f>
        <v>111</v>
      </c>
      <c r="R24" s="1560" t="s">
        <v>8</v>
      </c>
      <c r="S24" s="1561">
        <f>F24</f>
        <v>100</v>
      </c>
      <c r="T24" s="1560" t="s">
        <v>8</v>
      </c>
      <c r="U24" s="1561">
        <f>H24</f>
        <v>100</v>
      </c>
      <c r="V24" s="1560" t="s">
        <v>8</v>
      </c>
      <c r="W24" s="1561">
        <f>J24</f>
        <v>100</v>
      </c>
      <c r="X24" s="1554"/>
      <c r="Y24" s="340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0"/>
      <c r="Q25" s="1147">
        <f t="shared" si="11"/>
        <v>111</v>
      </c>
      <c r="R25" s="1555" t="s">
        <v>8</v>
      </c>
      <c r="S25" s="1556">
        <f>F25</f>
        <v>100</v>
      </c>
      <c r="T25" s="1555" t="s">
        <v>8</v>
      </c>
      <c r="U25" s="1556">
        <f>H25</f>
        <v>100</v>
      </c>
      <c r="V25" s="1555" t="s">
        <v>8</v>
      </c>
      <c r="W25" s="1556">
        <f>J25</f>
        <v>100</v>
      </c>
      <c r="X25" s="1557"/>
      <c r="Y25" s="3400"/>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2"/>
      <c r="Q27" s="1591" t="str">
        <f t="shared" si="11"/>
        <v>项目停车位配比</v>
      </c>
      <c r="R27" s="1564" t="s">
        <v>8</v>
      </c>
      <c r="S27" s="1565">
        <f t="shared" si="12"/>
        <v>100</v>
      </c>
      <c r="T27" s="1564" t="s">
        <v>8</v>
      </c>
      <c r="U27" s="1565">
        <f t="shared" si="13"/>
        <v>100</v>
      </c>
      <c r="V27" s="1564" t="s">
        <v>8</v>
      </c>
      <c r="W27" s="1565">
        <f t="shared" si="14"/>
        <v>100</v>
      </c>
      <c r="X27" s="1566"/>
      <c r="Y27" s="340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2"/>
      <c r="Q28" s="1559" t="str">
        <f t="shared" si="11"/>
        <v>公共部分装修</v>
      </c>
      <c r="R28" s="1560" t="s">
        <v>8</v>
      </c>
      <c r="S28" s="1561">
        <f t="shared" si="12"/>
        <v>100</v>
      </c>
      <c r="T28" s="1560" t="s">
        <v>8</v>
      </c>
      <c r="U28" s="1561">
        <f t="shared" si="13"/>
        <v>100</v>
      </c>
      <c r="V28" s="1560" t="s">
        <v>8</v>
      </c>
      <c r="W28" s="1561">
        <f t="shared" si="14"/>
        <v>100</v>
      </c>
      <c r="X28" s="1554"/>
      <c r="Y28" s="340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2"/>
      <c r="Q29" s="1559" t="str">
        <f t="shared" si="11"/>
        <v>成新率</v>
      </c>
      <c r="R29" s="1560" t="s">
        <v>8</v>
      </c>
      <c r="S29" s="1561" t="e">
        <f t="shared" si="12"/>
        <v>#N/A</v>
      </c>
      <c r="T29" s="1560" t="s">
        <v>8</v>
      </c>
      <c r="U29" s="1561" t="e">
        <f t="shared" si="13"/>
        <v>#N/A</v>
      </c>
      <c r="V29" s="1560" t="s">
        <v>8</v>
      </c>
      <c r="W29" s="1561" t="e">
        <f t="shared" si="14"/>
        <v>#N/A</v>
      </c>
      <c r="X29" s="1554"/>
      <c r="Y29" s="340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2"/>
      <c r="Q30" s="1559" t="str">
        <f t="shared" si="11"/>
        <v>物业等级</v>
      </c>
      <c r="R30" s="1560" t="s">
        <v>8</v>
      </c>
      <c r="S30" s="1561">
        <f t="shared" si="12"/>
        <v>100</v>
      </c>
      <c r="T30" s="1560" t="s">
        <v>8</v>
      </c>
      <c r="U30" s="1561">
        <f t="shared" si="13"/>
        <v>100</v>
      </c>
      <c r="V30" s="1560" t="s">
        <v>8</v>
      </c>
      <c r="W30" s="1561">
        <f t="shared" si="14"/>
        <v>100</v>
      </c>
      <c r="X30" s="1554"/>
      <c r="Y30" s="340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2"/>
      <c r="Q31" s="1147" t="str">
        <f t="shared" si="11"/>
        <v>停车位面积</v>
      </c>
      <c r="R31" s="1555" t="s">
        <v>8</v>
      </c>
      <c r="S31" s="1556" t="e">
        <f t="shared" si="12"/>
        <v>#N/A</v>
      </c>
      <c r="T31" s="1555" t="s">
        <v>8</v>
      </c>
      <c r="U31" s="1556" t="e">
        <f t="shared" si="13"/>
        <v>#N/A</v>
      </c>
      <c r="V31" s="1555" t="s">
        <v>8</v>
      </c>
      <c r="W31" s="1556" t="e">
        <f t="shared" si="14"/>
        <v>#N/A</v>
      </c>
      <c r="X31" s="1557"/>
      <c r="Y31" s="340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2" t="s">
        <v>550</v>
      </c>
      <c r="Q32" s="1559" t="str">
        <f t="shared" si="11"/>
        <v>车位类型</v>
      </c>
      <c r="R32" s="1560" t="s">
        <v>8</v>
      </c>
      <c r="S32" s="1561">
        <f t="shared" si="12"/>
        <v>100</v>
      </c>
      <c r="T32" s="1560" t="s">
        <v>8</v>
      </c>
      <c r="U32" s="1561">
        <f t="shared" si="13"/>
        <v>100</v>
      </c>
      <c r="V32" s="1560" t="s">
        <v>8</v>
      </c>
      <c r="W32" s="1561">
        <f t="shared" si="14"/>
        <v>100</v>
      </c>
      <c r="X32" s="1554"/>
      <c r="Y32" s="340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2"/>
      <c r="Q33" s="1559" t="str">
        <f t="shared" si="11"/>
        <v>是否直接入户</v>
      </c>
      <c r="R33" s="1560" t="s">
        <v>8</v>
      </c>
      <c r="S33" s="1561">
        <f t="shared" si="12"/>
        <v>100</v>
      </c>
      <c r="T33" s="1560" t="s">
        <v>8</v>
      </c>
      <c r="U33" s="1561">
        <f t="shared" si="13"/>
        <v>100</v>
      </c>
      <c r="V33" s="1560" t="s">
        <v>8</v>
      </c>
      <c r="W33" s="1561">
        <f t="shared" si="14"/>
        <v>100</v>
      </c>
      <c r="X33" s="1554"/>
      <c r="Y33" s="340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2"/>
      <c r="Q34" s="1559">
        <f t="shared" si="11"/>
        <v>111</v>
      </c>
      <c r="R34" s="1560" t="s">
        <v>8</v>
      </c>
      <c r="S34" s="1561">
        <f t="shared" si="12"/>
        <v>100</v>
      </c>
      <c r="T34" s="1560" t="s">
        <v>8</v>
      </c>
      <c r="U34" s="1561">
        <f t="shared" si="13"/>
        <v>100</v>
      </c>
      <c r="V34" s="1560" t="s">
        <v>8</v>
      </c>
      <c r="W34" s="1561">
        <f t="shared" si="14"/>
        <v>100</v>
      </c>
      <c r="X34" s="1554"/>
      <c r="Y34" s="340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2"/>
      <c r="Q35" s="1591">
        <f t="shared" si="11"/>
        <v>111</v>
      </c>
      <c r="R35" s="1564" t="s">
        <v>8</v>
      </c>
      <c r="S35" s="1565">
        <f t="shared" si="12"/>
        <v>100</v>
      </c>
      <c r="T35" s="1564" t="s">
        <v>8</v>
      </c>
      <c r="U35" s="1565">
        <f t="shared" si="13"/>
        <v>100</v>
      </c>
      <c r="V35" s="1564" t="s">
        <v>8</v>
      </c>
      <c r="W35" s="1565">
        <f t="shared" si="14"/>
        <v>100</v>
      </c>
      <c r="X35" s="1566"/>
      <c r="Y35" s="340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2"/>
      <c r="Q36" s="1559">
        <f t="shared" si="11"/>
        <v>111</v>
      </c>
      <c r="R36" s="1560" t="s">
        <v>8</v>
      </c>
      <c r="S36" s="1561">
        <f t="shared" si="12"/>
        <v>100</v>
      </c>
      <c r="T36" s="1560" t="s">
        <v>8</v>
      </c>
      <c r="U36" s="1561">
        <f t="shared" si="13"/>
        <v>100</v>
      </c>
      <c r="V36" s="1560" t="s">
        <v>8</v>
      </c>
      <c r="W36" s="1561">
        <f t="shared" si="14"/>
        <v>100</v>
      </c>
      <c r="X36" s="1554"/>
      <c r="Y36" s="3402"/>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97" t="str">
        <f>A37</f>
        <v>成交单价</v>
      </c>
      <c r="Q37" s="3397"/>
      <c r="R37" s="3502">
        <f>E37</f>
        <v>0</v>
      </c>
      <c r="S37" s="3502"/>
      <c r="T37" s="3502">
        <f>G37</f>
        <v>0</v>
      </c>
      <c r="U37" s="3502"/>
      <c r="V37" s="3502">
        <f>I37</f>
        <v>0</v>
      </c>
      <c r="W37" s="3502"/>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97" t="str">
        <f>A38</f>
        <v>比较价格（元/平方米）</v>
      </c>
      <c r="Q38" s="3397"/>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419" t="str">
        <f>A39</f>
        <v>估价对象XX用房的比较价格（楼面单价，元/平方米）</v>
      </c>
      <c r="Q39" s="3420"/>
      <c r="R39" s="3501" t="e">
        <f>IF(F1="售价",ROUND(AVERAGE(R38:V38),0),ROUND(AVERAGE(R38:V38),1))</f>
        <v>#DIV/0!</v>
      </c>
      <c r="S39" s="3501"/>
      <c r="T39" s="3501"/>
      <c r="U39" s="3501"/>
      <c r="V39" s="3501"/>
      <c r="W39" s="350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3" t="s">
        <v>798</v>
      </c>
      <c r="D4" s="3404"/>
      <c r="E4" s="3428" t="s">
        <v>799</v>
      </c>
      <c r="F4" s="3429"/>
      <c r="G4" s="3403" t="s">
        <v>800</v>
      </c>
      <c r="H4" s="3404"/>
      <c r="I4" s="3403" t="s">
        <v>801</v>
      </c>
      <c r="J4" s="3404"/>
      <c r="K4" s="514" t="s">
        <v>802</v>
      </c>
      <c r="L4" s="2119"/>
      <c r="M4" s="2120"/>
      <c r="N4" s="2120"/>
      <c r="O4" s="2120"/>
      <c r="P4" s="3405" t="s">
        <v>803</v>
      </c>
      <c r="Q4" s="3406"/>
      <c r="R4" s="3391" t="s">
        <v>799</v>
      </c>
      <c r="S4" s="3392"/>
      <c r="T4" s="3391" t="s">
        <v>800</v>
      </c>
      <c r="U4" s="3392"/>
      <c r="V4" s="3411" t="s">
        <v>801</v>
      </c>
      <c r="W4" s="3411"/>
      <c r="X4" s="1554"/>
      <c r="Y4" s="3391" t="s">
        <v>803</v>
      </c>
      <c r="Z4" s="3392"/>
      <c r="AA4" s="3386" t="s">
        <v>799</v>
      </c>
      <c r="AB4" s="3387" t="s">
        <v>800</v>
      </c>
      <c r="AC4" s="3386" t="s">
        <v>801</v>
      </c>
    </row>
    <row r="5" spans="1:29" ht="15">
      <c r="A5" s="515"/>
      <c r="B5" s="516"/>
      <c r="C5" s="3414" t="s">
        <v>2928</v>
      </c>
      <c r="D5" s="3415"/>
      <c r="E5" s="3430" t="s">
        <v>2929</v>
      </c>
      <c r="F5" s="3431"/>
      <c r="G5" s="3414" t="s">
        <v>2930</v>
      </c>
      <c r="H5" s="3415"/>
      <c r="I5" s="3414" t="s">
        <v>2931</v>
      </c>
      <c r="J5" s="3415"/>
      <c r="K5" s="514"/>
      <c r="L5" s="2119"/>
      <c r="M5" s="2120"/>
      <c r="N5" s="2120"/>
      <c r="O5" s="2120"/>
      <c r="P5" s="3407"/>
      <c r="Q5" s="3408"/>
      <c r="R5" s="3393"/>
      <c r="S5" s="3394"/>
      <c r="T5" s="3393"/>
      <c r="U5" s="3394"/>
      <c r="V5" s="3411"/>
      <c r="W5" s="3411"/>
      <c r="X5" s="1554"/>
      <c r="Y5" s="3393"/>
      <c r="Z5" s="3394"/>
      <c r="AA5" s="3387"/>
      <c r="AB5" s="3387"/>
      <c r="AC5" s="3387"/>
    </row>
    <row r="6" spans="1:29" ht="15.75" thickBot="1">
      <c r="A6" s="517"/>
      <c r="B6" s="518"/>
      <c r="C6" s="3412" t="s">
        <v>2932</v>
      </c>
      <c r="D6" s="3413"/>
      <c r="E6" s="3432" t="s">
        <v>2932</v>
      </c>
      <c r="F6" s="3433"/>
      <c r="G6" s="3412" t="s">
        <v>2932</v>
      </c>
      <c r="H6" s="3413"/>
      <c r="I6" s="3412" t="s">
        <v>2932</v>
      </c>
      <c r="J6" s="3413"/>
      <c r="K6" s="514" t="s">
        <v>528</v>
      </c>
      <c r="L6" s="2119"/>
      <c r="M6" s="2120"/>
      <c r="N6" s="2120"/>
      <c r="O6" s="2120"/>
      <c r="P6" s="3409"/>
      <c r="Q6" s="3410"/>
      <c r="R6" s="3393"/>
      <c r="S6" s="3394"/>
      <c r="T6" s="3395"/>
      <c r="U6" s="3396"/>
      <c r="V6" s="3411"/>
      <c r="W6" s="3411"/>
      <c r="X6" s="1554"/>
      <c r="Y6" s="3395"/>
      <c r="Z6" s="3396"/>
      <c r="AA6" s="3388"/>
      <c r="AB6" s="3388"/>
      <c r="AC6" s="3388"/>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9" t="s">
        <v>530</v>
      </c>
      <c r="Q7" s="3398"/>
      <c r="R7" s="1555" t="s">
        <v>8</v>
      </c>
      <c r="S7" s="1556">
        <f t="shared" ref="S7:S14" si="0">F7</f>
        <v>0</v>
      </c>
      <c r="T7" s="1555" t="s">
        <v>8</v>
      </c>
      <c r="U7" s="1556">
        <f t="shared" ref="U7:U14" si="1">H7</f>
        <v>0</v>
      </c>
      <c r="V7" s="1555" t="s">
        <v>8</v>
      </c>
      <c r="W7" s="1556">
        <f t="shared" ref="W7:W14" si="2">J7</f>
        <v>0</v>
      </c>
      <c r="X7" s="1557"/>
      <c r="Y7" s="3389" t="s">
        <v>530</v>
      </c>
      <c r="Z7" s="3390"/>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9" t="s">
        <v>533</v>
      </c>
      <c r="Q8" s="3390"/>
      <c r="R8" s="1555" t="s">
        <v>8</v>
      </c>
      <c r="S8" s="1556">
        <f t="shared" si="0"/>
        <v>0</v>
      </c>
      <c r="T8" s="1555" t="s">
        <v>8</v>
      </c>
      <c r="U8" s="1556">
        <f t="shared" si="1"/>
        <v>0</v>
      </c>
      <c r="V8" s="1555" t="s">
        <v>8</v>
      </c>
      <c r="W8" s="1556">
        <f t="shared" si="2"/>
        <v>0</v>
      </c>
      <c r="X8" s="1557"/>
      <c r="Y8" s="3389" t="s">
        <v>533</v>
      </c>
      <c r="Z8" s="3390"/>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7" t="s">
        <v>535</v>
      </c>
      <c r="Q9" s="1147" t="str">
        <f t="shared" ref="Q9:Q14" si="6">B9</f>
        <v>用途</v>
      </c>
      <c r="R9" s="1555" t="s">
        <v>8</v>
      </c>
      <c r="S9" s="1556">
        <f t="shared" si="0"/>
        <v>100</v>
      </c>
      <c r="T9" s="1555" t="s">
        <v>8</v>
      </c>
      <c r="U9" s="1556">
        <f t="shared" si="1"/>
        <v>100</v>
      </c>
      <c r="V9" s="1555" t="s">
        <v>8</v>
      </c>
      <c r="W9" s="1556">
        <f t="shared" si="2"/>
        <v>100</v>
      </c>
      <c r="X9" s="1557"/>
      <c r="Y9" s="3354"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7"/>
      <c r="Q10" s="1147" t="str">
        <f t="shared" si="6"/>
        <v>土地使用年限（年）</v>
      </c>
      <c r="R10" s="1555" t="s">
        <v>8</v>
      </c>
      <c r="S10" s="1556">
        <f t="shared" si="0"/>
        <v>100</v>
      </c>
      <c r="T10" s="1555" t="s">
        <v>8</v>
      </c>
      <c r="U10" s="1556">
        <f t="shared" si="1"/>
        <v>100</v>
      </c>
      <c r="V10" s="1555" t="s">
        <v>8</v>
      </c>
      <c r="W10" s="1556">
        <f t="shared" si="2"/>
        <v>100</v>
      </c>
      <c r="X10" s="1557"/>
      <c r="Y10" s="3354"/>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7"/>
      <c r="Q11" s="1147">
        <f t="shared" si="6"/>
        <v>111</v>
      </c>
      <c r="R11" s="1555" t="s">
        <v>8</v>
      </c>
      <c r="S11" s="1556">
        <f t="shared" si="0"/>
        <v>100</v>
      </c>
      <c r="T11" s="1555" t="s">
        <v>8</v>
      </c>
      <c r="U11" s="1556">
        <f t="shared" si="1"/>
        <v>100</v>
      </c>
      <c r="V11" s="1555" t="s">
        <v>8</v>
      </c>
      <c r="W11" s="1556">
        <f t="shared" si="2"/>
        <v>100</v>
      </c>
      <c r="X11" s="1557"/>
      <c r="Y11" s="3354"/>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7"/>
      <c r="Q12" s="1147">
        <f t="shared" si="6"/>
        <v>111</v>
      </c>
      <c r="R12" s="1555" t="s">
        <v>8</v>
      </c>
      <c r="S12" s="1556">
        <f t="shared" si="0"/>
        <v>100</v>
      </c>
      <c r="T12" s="1555" t="s">
        <v>8</v>
      </c>
      <c r="U12" s="1556">
        <f t="shared" si="1"/>
        <v>100</v>
      </c>
      <c r="V12" s="1555" t="s">
        <v>8</v>
      </c>
      <c r="W12" s="1556">
        <f t="shared" si="2"/>
        <v>100</v>
      </c>
      <c r="X12" s="1557"/>
      <c r="Y12" s="3354"/>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7"/>
      <c r="Q13" s="1147">
        <f t="shared" si="6"/>
        <v>111</v>
      </c>
      <c r="R13" s="1555" t="s">
        <v>8</v>
      </c>
      <c r="S13" s="1556">
        <f t="shared" si="0"/>
        <v>100</v>
      </c>
      <c r="T13" s="1555" t="s">
        <v>8</v>
      </c>
      <c r="U13" s="1556">
        <f t="shared" si="1"/>
        <v>100</v>
      </c>
      <c r="V13" s="1555" t="s">
        <v>8</v>
      </c>
      <c r="W13" s="1556">
        <f t="shared" si="2"/>
        <v>100</v>
      </c>
      <c r="X13" s="1557"/>
      <c r="Y13" s="3354"/>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9" t="s">
        <v>540</v>
      </c>
      <c r="Q14" s="1559" t="str">
        <f t="shared" si="6"/>
        <v>交通便捷度</v>
      </c>
      <c r="R14" s="1560" t="s">
        <v>8</v>
      </c>
      <c r="S14" s="1561">
        <f t="shared" si="0"/>
        <v>100</v>
      </c>
      <c r="T14" s="1560" t="s">
        <v>8</v>
      </c>
      <c r="U14" s="1561">
        <f t="shared" si="1"/>
        <v>100</v>
      </c>
      <c r="V14" s="1560" t="s">
        <v>8</v>
      </c>
      <c r="W14" s="1561">
        <f t="shared" si="2"/>
        <v>100</v>
      </c>
      <c r="X14" s="1554"/>
      <c r="Y14" s="339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0"/>
      <c r="Q15" s="1559"/>
      <c r="R15" s="1560"/>
      <c r="S15" s="1561"/>
      <c r="T15" s="1560"/>
      <c r="U15" s="1561"/>
      <c r="V15" s="1560"/>
      <c r="W15" s="1561"/>
      <c r="X15" s="1554"/>
      <c r="Y15" s="3400"/>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0"/>
      <c r="Q16" s="1559" t="str">
        <f>B16</f>
        <v>公共配套设施</v>
      </c>
      <c r="R16" s="1560" t="s">
        <v>8</v>
      </c>
      <c r="S16" s="1561">
        <f>F16</f>
        <v>100</v>
      </c>
      <c r="T16" s="1560" t="s">
        <v>8</v>
      </c>
      <c r="U16" s="1561">
        <f>H16</f>
        <v>100</v>
      </c>
      <c r="V16" s="1560" t="s">
        <v>8</v>
      </c>
      <c r="W16" s="1561">
        <f>J16</f>
        <v>100</v>
      </c>
      <c r="X16" s="1554"/>
      <c r="Y16" s="340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0"/>
      <c r="Q17" s="1559"/>
      <c r="R17" s="1560"/>
      <c r="S17" s="1561"/>
      <c r="T17" s="1560"/>
      <c r="U17" s="1561"/>
      <c r="V17" s="1560"/>
      <c r="W17" s="1561"/>
      <c r="X17" s="1554"/>
      <c r="Y17" s="3400"/>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0"/>
      <c r="Q18" s="2544" t="str">
        <f>B18</f>
        <v>基础设施水平</v>
      </c>
      <c r="R18" s="1560" t="s">
        <v>8</v>
      </c>
      <c r="S18" s="1561">
        <f>F18</f>
        <v>100</v>
      </c>
      <c r="T18" s="1560" t="s">
        <v>8</v>
      </c>
      <c r="U18" s="1561">
        <f>H18</f>
        <v>100</v>
      </c>
      <c r="V18" s="1560" t="s">
        <v>8</v>
      </c>
      <c r="W18" s="1561">
        <f>J18</f>
        <v>100</v>
      </c>
      <c r="X18" s="2546"/>
      <c r="Y18" s="340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0"/>
      <c r="Q19" s="2544"/>
      <c r="R19" s="1560"/>
      <c r="S19" s="1561"/>
      <c r="T19" s="1560"/>
      <c r="U19" s="1561"/>
      <c r="V19" s="1560"/>
      <c r="W19" s="1561"/>
      <c r="X19" s="2546"/>
      <c r="Y19" s="340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0"/>
      <c r="Q20" s="1559" t="str">
        <f>B20</f>
        <v>自然及人文环境</v>
      </c>
      <c r="R20" s="1560" t="s">
        <v>8</v>
      </c>
      <c r="S20" s="1561">
        <f>F20</f>
        <v>100</v>
      </c>
      <c r="T20" s="1560" t="s">
        <v>8</v>
      </c>
      <c r="U20" s="1561">
        <f>H20</f>
        <v>100</v>
      </c>
      <c r="V20" s="1560" t="s">
        <v>8</v>
      </c>
      <c r="W20" s="1561">
        <f>J20</f>
        <v>100</v>
      </c>
      <c r="X20" s="1554"/>
      <c r="Y20" s="340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0"/>
      <c r="Q21" s="1559"/>
      <c r="R21" s="1560"/>
      <c r="S21" s="1561"/>
      <c r="T21" s="1560"/>
      <c r="U21" s="1561"/>
      <c r="V21" s="1560"/>
      <c r="W21" s="1561"/>
      <c r="X21" s="1554"/>
      <c r="Y21" s="340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0"/>
      <c r="Q22" s="1559" t="str">
        <f>B22</f>
        <v>楼层</v>
      </c>
      <c r="R22" s="1560" t="s">
        <v>8</v>
      </c>
      <c r="S22" s="1561">
        <f>F22</f>
        <v>100</v>
      </c>
      <c r="T22" s="1560" t="s">
        <v>8</v>
      </c>
      <c r="U22" s="1561">
        <f>H22</f>
        <v>100</v>
      </c>
      <c r="V22" s="1560" t="s">
        <v>8</v>
      </c>
      <c r="W22" s="1561">
        <f>J22</f>
        <v>100</v>
      </c>
      <c r="X22" s="1554"/>
      <c r="Y22" s="340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0"/>
      <c r="Q23" s="1559">
        <f>B23</f>
        <v>111</v>
      </c>
      <c r="R23" s="1560" t="s">
        <v>8</v>
      </c>
      <c r="S23" s="1561">
        <f>F23</f>
        <v>100</v>
      </c>
      <c r="T23" s="1560" t="s">
        <v>8</v>
      </c>
      <c r="U23" s="1561">
        <f>H23</f>
        <v>100</v>
      </c>
      <c r="V23" s="1560" t="s">
        <v>8</v>
      </c>
      <c r="W23" s="1561">
        <f>J23</f>
        <v>100</v>
      </c>
      <c r="X23" s="1554"/>
      <c r="Y23" s="340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0"/>
      <c r="Q24" s="1559">
        <f t="shared" ref="Q24:Q34" si="11">B24</f>
        <v>111</v>
      </c>
      <c r="R24" s="1560" t="s">
        <v>8</v>
      </c>
      <c r="S24" s="1561">
        <f>F24</f>
        <v>100</v>
      </c>
      <c r="T24" s="1560" t="s">
        <v>8</v>
      </c>
      <c r="U24" s="1561">
        <f>H24</f>
        <v>100</v>
      </c>
      <c r="V24" s="1560" t="s">
        <v>8</v>
      </c>
      <c r="W24" s="1561">
        <f>J24</f>
        <v>100</v>
      </c>
      <c r="X24" s="1554"/>
      <c r="Y24" s="340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0"/>
      <c r="Q25" s="1147">
        <f t="shared" si="11"/>
        <v>111</v>
      </c>
      <c r="R25" s="1555" t="s">
        <v>8</v>
      </c>
      <c r="S25" s="1556">
        <f>F25</f>
        <v>100</v>
      </c>
      <c r="T25" s="1555" t="s">
        <v>8</v>
      </c>
      <c r="U25" s="1556">
        <f>H25</f>
        <v>100</v>
      </c>
      <c r="V25" s="1555" t="s">
        <v>8</v>
      </c>
      <c r="W25" s="1556">
        <f>J25</f>
        <v>100</v>
      </c>
      <c r="X25" s="1557"/>
      <c r="Y25" s="3400"/>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2"/>
      <c r="Q27" s="1591" t="str">
        <f t="shared" si="11"/>
        <v>成新率</v>
      </c>
      <c r="R27" s="1564" t="s">
        <v>8</v>
      </c>
      <c r="S27" s="1565" t="e">
        <f t="shared" si="12"/>
        <v>#N/A</v>
      </c>
      <c r="T27" s="1564" t="s">
        <v>8</v>
      </c>
      <c r="U27" s="1565" t="e">
        <f t="shared" si="13"/>
        <v>#N/A</v>
      </c>
      <c r="V27" s="1564" t="s">
        <v>8</v>
      </c>
      <c r="W27" s="1565" t="e">
        <f t="shared" si="14"/>
        <v>#N/A</v>
      </c>
      <c r="X27" s="1566"/>
      <c r="Y27" s="340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2"/>
      <c r="Q28" s="1559" t="str">
        <f t="shared" si="11"/>
        <v>物业等级</v>
      </c>
      <c r="R28" s="1560" t="s">
        <v>8</v>
      </c>
      <c r="S28" s="1561">
        <f t="shared" si="12"/>
        <v>100</v>
      </c>
      <c r="T28" s="1560" t="s">
        <v>8</v>
      </c>
      <c r="U28" s="1561">
        <f t="shared" si="13"/>
        <v>100</v>
      </c>
      <c r="V28" s="1560" t="s">
        <v>8</v>
      </c>
      <c r="W28" s="1561">
        <f t="shared" si="14"/>
        <v>100</v>
      </c>
      <c r="X28" s="1554"/>
      <c r="Y28" s="340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2"/>
      <c r="Q29" s="1559" t="str">
        <f t="shared" si="11"/>
        <v>有无电梯</v>
      </c>
      <c r="R29" s="1560" t="s">
        <v>8</v>
      </c>
      <c r="S29" s="1561">
        <f t="shared" si="12"/>
        <v>100</v>
      </c>
      <c r="T29" s="1560" t="s">
        <v>8</v>
      </c>
      <c r="U29" s="1561">
        <f t="shared" si="13"/>
        <v>100</v>
      </c>
      <c r="V29" s="1560" t="s">
        <v>8</v>
      </c>
      <c r="W29" s="1561">
        <f t="shared" si="14"/>
        <v>100</v>
      </c>
      <c r="X29" s="1554"/>
      <c r="Y29" s="340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2"/>
      <c r="Q30" s="1559" t="str">
        <f t="shared" si="11"/>
        <v>建筑面积</v>
      </c>
      <c r="R30" s="1560" t="s">
        <v>8</v>
      </c>
      <c r="S30" s="1561" t="e">
        <f t="shared" si="12"/>
        <v>#N/A</v>
      </c>
      <c r="T30" s="1560" t="s">
        <v>8</v>
      </c>
      <c r="U30" s="1561" t="e">
        <f t="shared" si="13"/>
        <v>#N/A</v>
      </c>
      <c r="V30" s="1560" t="s">
        <v>8</v>
      </c>
      <c r="W30" s="1561" t="e">
        <f t="shared" si="14"/>
        <v>#N/A</v>
      </c>
      <c r="X30" s="1554"/>
      <c r="Y30" s="340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2"/>
      <c r="Q31" s="1147" t="str">
        <f t="shared" si="11"/>
        <v>是否封闭</v>
      </c>
      <c r="R31" s="1555" t="s">
        <v>8</v>
      </c>
      <c r="S31" s="1556">
        <f t="shared" si="12"/>
        <v>100</v>
      </c>
      <c r="T31" s="1555" t="s">
        <v>8</v>
      </c>
      <c r="U31" s="1556">
        <f t="shared" si="13"/>
        <v>100</v>
      </c>
      <c r="V31" s="1555" t="s">
        <v>8</v>
      </c>
      <c r="W31" s="1556">
        <f t="shared" si="14"/>
        <v>100</v>
      </c>
      <c r="X31" s="1557"/>
      <c r="Y31" s="340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2" t="s">
        <v>550</v>
      </c>
      <c r="Q32" s="1559">
        <f t="shared" si="11"/>
        <v>111</v>
      </c>
      <c r="R32" s="1560" t="s">
        <v>8</v>
      </c>
      <c r="S32" s="1561">
        <f t="shared" si="12"/>
        <v>100</v>
      </c>
      <c r="T32" s="1560" t="s">
        <v>8</v>
      </c>
      <c r="U32" s="1561">
        <f t="shared" si="13"/>
        <v>100</v>
      </c>
      <c r="V32" s="1560" t="s">
        <v>8</v>
      </c>
      <c r="W32" s="1561">
        <f t="shared" si="14"/>
        <v>100</v>
      </c>
      <c r="X32" s="1554"/>
      <c r="Y32" s="340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2"/>
      <c r="Q33" s="1559">
        <f t="shared" si="11"/>
        <v>111</v>
      </c>
      <c r="R33" s="1560" t="s">
        <v>8</v>
      </c>
      <c r="S33" s="1561">
        <f t="shared" si="12"/>
        <v>100</v>
      </c>
      <c r="T33" s="1560" t="s">
        <v>8</v>
      </c>
      <c r="U33" s="1561">
        <f t="shared" si="13"/>
        <v>100</v>
      </c>
      <c r="V33" s="1560" t="s">
        <v>8</v>
      </c>
      <c r="W33" s="1561">
        <f t="shared" si="14"/>
        <v>100</v>
      </c>
      <c r="X33" s="1554"/>
      <c r="Y33" s="340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2"/>
      <c r="Q34" s="1559">
        <f t="shared" si="11"/>
        <v>111</v>
      </c>
      <c r="R34" s="1560" t="s">
        <v>8</v>
      </c>
      <c r="S34" s="1561">
        <f t="shared" si="12"/>
        <v>100</v>
      </c>
      <c r="T34" s="1560" t="s">
        <v>8</v>
      </c>
      <c r="U34" s="1561">
        <f t="shared" si="13"/>
        <v>100</v>
      </c>
      <c r="V34" s="1560" t="s">
        <v>8</v>
      </c>
      <c r="W34" s="1561">
        <f t="shared" si="14"/>
        <v>100</v>
      </c>
      <c r="X34" s="1554"/>
      <c r="Y34" s="340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7" t="str">
        <f>A35</f>
        <v>成交单价（元/平方米）</v>
      </c>
      <c r="Q35" s="3397"/>
      <c r="R35" s="3502">
        <f>E35</f>
        <v>0</v>
      </c>
      <c r="S35" s="3502"/>
      <c r="T35" s="3502">
        <f>G35</f>
        <v>0</v>
      </c>
      <c r="U35" s="3502"/>
      <c r="V35" s="3502">
        <f>I35</f>
        <v>0</v>
      </c>
      <c r="W35" s="3502"/>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97" t="str">
        <f>A36</f>
        <v>比较价格（元/平方米）</v>
      </c>
      <c r="Q36" s="3397"/>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419" t="str">
        <f>A37</f>
        <v>估价对象XX用房的比较价格（楼面单价，元/平方米）</v>
      </c>
      <c r="Q37" s="3420"/>
      <c r="R37" s="3501" t="e">
        <f>IF(F1="售价",ROUND(AVERAGE(R36:V36),0),ROUND(AVERAGE(R36:V36),1))</f>
        <v>#DIV/0!</v>
      </c>
      <c r="S37" s="3501"/>
      <c r="T37" s="3501"/>
      <c r="U37" s="3501"/>
      <c r="V37" s="3501"/>
      <c r="W37" s="350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11" t="s">
        <v>2302</v>
      </c>
      <c r="D1" s="3512"/>
      <c r="E1" s="3512"/>
      <c r="F1" s="3512"/>
      <c r="G1" s="3512"/>
      <c r="H1" s="3512"/>
      <c r="I1" s="3512"/>
      <c r="J1" s="3512"/>
      <c r="K1" s="3512"/>
      <c r="L1" s="3512"/>
      <c r="M1" s="3512"/>
      <c r="N1" s="3512"/>
      <c r="O1" s="3512"/>
      <c r="P1" s="3512"/>
      <c r="Q1" s="3512"/>
      <c r="R1" s="3512"/>
      <c r="S1" s="3513"/>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0" t="s">
        <v>2036</v>
      </c>
      <c r="B1" s="3220"/>
      <c r="C1" s="3220"/>
      <c r="D1" s="3220"/>
      <c r="E1" s="3220"/>
      <c r="F1" s="3220"/>
      <c r="G1" s="3220"/>
      <c r="H1" s="3220"/>
      <c r="I1" s="3220"/>
      <c r="J1" s="3220"/>
      <c r="K1" s="3220"/>
      <c r="L1" s="3220"/>
      <c r="M1" s="3220"/>
      <c r="N1" s="3220"/>
      <c r="O1" s="3220"/>
      <c r="P1" s="3220"/>
      <c r="Q1" s="3220"/>
      <c r="R1" s="3220"/>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1" t="s">
        <v>2027</v>
      </c>
      <c r="B3" s="3221" t="s">
        <v>2728</v>
      </c>
      <c r="C3" s="3222" t="s">
        <v>2028</v>
      </c>
      <c r="D3" s="3221" t="s">
        <v>2732</v>
      </c>
      <c r="E3" s="3224" t="s">
        <v>2029</v>
      </c>
      <c r="F3" s="3224"/>
      <c r="G3" s="3224"/>
      <c r="H3" s="3224" t="s">
        <v>2030</v>
      </c>
      <c r="I3" s="3224"/>
      <c r="J3" s="3224"/>
      <c r="K3" s="3222" t="s">
        <v>2031</v>
      </c>
      <c r="L3" s="3222" t="s">
        <v>2032</v>
      </c>
      <c r="M3" s="3221" t="s">
        <v>2729</v>
      </c>
      <c r="N3" s="3223" t="str">
        <f>"（分摊）"&amp;项目基本情况!B16&amp;"国有建设用地使用权面积/㎡"</f>
        <v>（分摊）出让国有建设用地使用权面积/㎡</v>
      </c>
      <c r="O3" s="3221" t="s">
        <v>2061</v>
      </c>
      <c r="P3" s="3222" t="s">
        <v>2041</v>
      </c>
      <c r="Q3" s="3222" t="s">
        <v>2062</v>
      </c>
      <c r="R3" s="3222" t="s">
        <v>2033</v>
      </c>
    </row>
    <row r="4" spans="1:18" ht="36.75" customHeight="1">
      <c r="A4" s="3221"/>
      <c r="B4" s="3221"/>
      <c r="C4" s="3222"/>
      <c r="D4" s="3221"/>
      <c r="E4" s="2614" t="s">
        <v>2040</v>
      </c>
      <c r="F4" s="2614" t="s">
        <v>2741</v>
      </c>
      <c r="G4" s="2614" t="s">
        <v>2034</v>
      </c>
      <c r="H4" s="2614" t="s">
        <v>2035</v>
      </c>
      <c r="I4" s="2614" t="s">
        <v>2742</v>
      </c>
      <c r="J4" s="2614" t="s">
        <v>2034</v>
      </c>
      <c r="K4" s="3222"/>
      <c r="L4" s="3222"/>
      <c r="M4" s="3221"/>
      <c r="N4" s="3223"/>
      <c r="O4" s="3221"/>
      <c r="P4" s="3222"/>
      <c r="Q4" s="3222"/>
      <c r="R4" s="3222"/>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15721.96</v>
      </c>
      <c r="O5" s="1796">
        <f>项目基本情况!C21</f>
        <v>147819.42000000001</v>
      </c>
      <c r="P5" s="1796">
        <f ca="1">结果表!E42</f>
        <v>91513</v>
      </c>
      <c r="Q5" s="1796">
        <f ca="1">结果表!D42</f>
        <v>9733</v>
      </c>
      <c r="R5" s="1797">
        <f ca="1">结果表!C42</f>
        <v>143876</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8">
        <f ca="1">结果表!O39</f>
        <v>143876</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8"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5" t="s">
        <v>2063</v>
      </c>
      <c r="B1" s="3225"/>
      <c r="C1" s="3225"/>
      <c r="D1" s="3225"/>
    </row>
    <row r="2" spans="1:4" ht="47.25" customHeight="1">
      <c r="A2" s="3229" t="str">
        <f>"1.权利限制："&amp;项目基本情况!L24&amp;"未设定租赁等其他他项权利。"</f>
        <v>1.权利限制：根据估价对象《不动产权证书》原件、《国有土地使用权》复印件，截至估价期日，估价对象抵押权未见登记。未设定租赁等其他他项权利。</v>
      </c>
      <c r="B2" s="3229"/>
      <c r="C2" s="3229"/>
      <c r="D2" s="3229"/>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8" t="s">
        <v>2064</v>
      </c>
      <c r="B5" s="3228"/>
      <c r="C5" s="3228"/>
      <c r="D5" s="3228"/>
    </row>
    <row r="6" spans="1:4">
      <c r="A6" s="3225" t="s">
        <v>2042</v>
      </c>
      <c r="B6" s="3225"/>
      <c r="C6" s="3225"/>
      <c r="D6" s="3225"/>
    </row>
    <row r="7" spans="1:4" ht="33" customHeight="1">
      <c r="A7" s="3225" t="s">
        <v>2572</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8" t="s">
        <v>2066</v>
      </c>
      <c r="B12" s="3228"/>
      <c r="C12" s="3228"/>
      <c r="D12" s="3228"/>
    </row>
    <row r="13" spans="1:4">
      <c r="A13" s="3226" t="s">
        <v>2743</v>
      </c>
      <c r="B13" s="3226"/>
      <c r="C13" s="3226"/>
      <c r="D13" s="3226"/>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2699</v>
      </c>
      <c r="B17" s="3225"/>
      <c r="C17" s="3225"/>
      <c r="D17" s="3225"/>
    </row>
    <row r="18" spans="1:4">
      <c r="A18" s="3225" t="s">
        <v>2691</v>
      </c>
      <c r="B18" s="3225"/>
      <c r="C18" s="3225"/>
      <c r="D18" s="3225"/>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5" t="s">
        <v>2696</v>
      </c>
      <c r="B23" s="3225"/>
      <c r="C23" s="3225"/>
      <c r="D23" s="3225"/>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7" t="s">
        <v>53</v>
      </c>
      <c r="B15" s="3238" t="s">
        <v>846</v>
      </c>
      <c r="C15" s="3234"/>
    </row>
    <row r="16" spans="1:7" ht="14.25">
      <c r="A16" s="3237"/>
      <c r="B16" s="3235" t="s">
        <v>54</v>
      </c>
      <c r="C16" s="1168" t="s">
        <v>53</v>
      </c>
    </row>
    <row r="17" spans="1:3" ht="14.25">
      <c r="A17" s="3237"/>
      <c r="B17" s="3235"/>
      <c r="C17" s="1168" t="s">
        <v>55</v>
      </c>
    </row>
    <row r="18" spans="1:3" ht="14.25">
      <c r="A18" s="3237"/>
      <c r="B18" s="3235"/>
      <c r="C18" s="1168" t="s">
        <v>56</v>
      </c>
    </row>
    <row r="19" spans="1:3" ht="14.25">
      <c r="A19" s="3237"/>
      <c r="B19" s="3233" t="s">
        <v>57</v>
      </c>
      <c r="C19" s="3234"/>
    </row>
    <row r="20" spans="1:3" ht="14.25">
      <c r="A20" s="1169" t="s">
        <v>58</v>
      </c>
      <c r="B20" s="1170"/>
      <c r="C20" s="1171"/>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2" t="s">
        <v>837</v>
      </c>
    </row>
    <row r="25" spans="1:3" ht="14.25">
      <c r="A25" s="3236"/>
      <c r="B25" s="3240"/>
      <c r="C25" s="1172" t="s">
        <v>838</v>
      </c>
    </row>
    <row r="26" spans="1:3" ht="14.25">
      <c r="A26" s="3236"/>
      <c r="B26" s="3240"/>
      <c r="C26" s="1172" t="s">
        <v>839</v>
      </c>
    </row>
    <row r="27" spans="1:3" ht="14.25">
      <c r="A27" s="3236"/>
      <c r="B27" s="3240"/>
      <c r="C27" s="1172" t="s">
        <v>840</v>
      </c>
    </row>
    <row r="28" spans="1:3" ht="14.25">
      <c r="A28" s="3236"/>
      <c r="B28" s="3240"/>
      <c r="C28" s="1172" t="s">
        <v>841</v>
      </c>
    </row>
    <row r="29" spans="1:3" ht="14.25">
      <c r="A29" s="3236"/>
      <c r="B29" s="3240"/>
      <c r="C29" s="1172" t="s">
        <v>842</v>
      </c>
    </row>
    <row r="30" spans="1:3" ht="14.25">
      <c r="A30" s="3236"/>
      <c r="B30" s="3240"/>
      <c r="C30" s="1172" t="s">
        <v>843</v>
      </c>
    </row>
    <row r="31" spans="1:3" ht="14.25">
      <c r="A31" s="3236"/>
      <c r="B31" s="3240"/>
      <c r="C31" s="1172" t="s">
        <v>844</v>
      </c>
    </row>
    <row r="32" spans="1:3" ht="14.25">
      <c r="A32" s="3236"/>
      <c r="B32" s="3240"/>
      <c r="C32" s="1172" t="s">
        <v>1646</v>
      </c>
    </row>
    <row r="33" spans="1:3" ht="14.25">
      <c r="A33" s="3236"/>
      <c r="B33" s="3230" t="s">
        <v>1652</v>
      </c>
      <c r="C33" s="1172" t="s">
        <v>1647</v>
      </c>
    </row>
    <row r="34" spans="1:3" ht="14.25">
      <c r="A34" s="3236"/>
      <c r="B34" s="3231"/>
      <c r="C34" s="1177" t="s">
        <v>1648</v>
      </c>
    </row>
    <row r="35" spans="1:3" ht="14.25">
      <c r="A35" s="3236"/>
      <c r="B35" s="3231"/>
      <c r="C35" s="1178" t="s">
        <v>1649</v>
      </c>
    </row>
    <row r="36" spans="1:3" ht="14.25">
      <c r="A36" s="3236"/>
      <c r="B36" s="3231"/>
      <c r="C36" s="1178" t="s">
        <v>1650</v>
      </c>
    </row>
    <row r="37" spans="1:3" ht="14.25">
      <c r="A37" s="3236"/>
      <c r="B37" s="323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43874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t="str">
        <f ca="1">IF(C4&lt;B2,"已过期",1119970066)</f>
        <v>已过期</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t="str">
        <f ca="1">IF(C8&lt;B2,"已过期",1120000080)</f>
        <v>已过期</v>
      </c>
      <c r="C8" s="3134">
        <v>43849</v>
      </c>
      <c r="D8" s="3132" t="s">
        <v>1917</v>
      </c>
      <c r="E8" s="3132">
        <f ca="1">IF(F8&lt;B2,"已过期",2000110082)</f>
        <v>2000110082</v>
      </c>
      <c r="F8" s="3135">
        <v>46387</v>
      </c>
    </row>
    <row r="9" spans="1:6" ht="20.25" customHeight="1">
      <c r="A9" s="3132" t="s">
        <v>1918</v>
      </c>
      <c r="B9" s="3132" t="str">
        <f ca="1">IF(C9&lt;B2,"已过期",1419970001)</f>
        <v>已过期</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41" t="s">
        <v>1924</v>
      </c>
      <c r="B25" s="3241"/>
      <c r="C25" s="3241"/>
      <c r="D25" s="3241"/>
      <c r="E25" s="3241"/>
      <c r="F25" s="3241"/>
      <c r="G25" s="3241"/>
    </row>
    <row r="26" spans="1:7" ht="20.25" customHeight="1">
      <c r="A26" s="3242" t="s">
        <v>1925</v>
      </c>
      <c r="B26" s="3242"/>
      <c r="C26" s="3242"/>
      <c r="D26" s="3242" t="s">
        <v>1926</v>
      </c>
      <c r="E26" s="3242"/>
      <c r="F26" s="3242"/>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4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4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2020-02-13T04:59:20Z</dcterms:modified>
</cp:coreProperties>
</file>