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2022-1-0131顺义单套\101\"/>
    </mc:Choice>
  </mc:AlternateContent>
  <xr:revisionPtr revIDLastSave="0" documentId="13_ncr:1_{F77BB3DD-7A4E-4CF2-8384-FA6F3B70E241}"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商业" sheetId="33" r:id="rId16"/>
    <sheet name="案例" sheetId="64" r:id="rId17"/>
    <sheet name="结果表 (1修多)" sheetId="57" state="hidden"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6" i="33" l="1"/>
  <c r="E36" i="33"/>
  <c r="C36" i="33"/>
  <c r="G36" i="33" s="1"/>
  <c r="C33" i="33"/>
  <c r="I19" i="4"/>
  <c r="I20" i="4" s="1"/>
  <c r="U2" i="43" l="1"/>
  <c r="D14" i="9"/>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D32" i="63" s="1"/>
  <c r="AH6" i="59"/>
  <c r="AG6" i="59"/>
  <c r="AE6" i="59"/>
  <c r="AF6" i="59" s="1"/>
  <c r="AD6" i="59"/>
  <c r="Q6" i="59"/>
  <c r="P6" i="59"/>
  <c r="O6" i="59"/>
  <c r="N6" i="59"/>
  <c r="D7" i="63" l="1"/>
  <c r="C26" i="63" s="1"/>
  <c r="C32" i="63" s="1"/>
  <c r="C38" i="63" s="1"/>
  <c r="C39" i="63" s="1"/>
  <c r="C40" i="63" s="1"/>
  <c r="R25" i="63"/>
  <c r="R19" i="63"/>
  <c r="E26" i="63"/>
  <c r="E38" i="63"/>
  <c r="E39"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F21" i="59" s="1"/>
  <c r="F20" i="59" s="1"/>
  <c r="F19" i="59" s="1"/>
  <c r="P21" i="59"/>
  <c r="O21" i="59"/>
  <c r="C21" i="59" s="1"/>
  <c r="N21" i="59"/>
  <c r="Q22" i="59"/>
  <c r="AB22" i="59" s="1"/>
  <c r="P22" i="59"/>
  <c r="O22" i="59"/>
  <c r="N22" i="59"/>
  <c r="D22" i="59"/>
  <c r="E21" i="59"/>
  <c r="E20" i="59"/>
  <c r="E19" i="59" s="1"/>
  <c r="E18" i="59" s="1"/>
  <c r="E17" i="59" s="1"/>
  <c r="E16" i="59" s="1"/>
  <c r="E15" i="59" s="1"/>
  <c r="E14" i="59" s="1"/>
  <c r="E13" i="59" s="1"/>
  <c r="A2" i="50"/>
  <c r="B16" i="60" s="1"/>
  <c r="K60" i="15"/>
  <c r="A127" i="57"/>
  <c r="A123" i="9"/>
  <c r="A16" i="54"/>
  <c r="B14" i="60" s="1"/>
  <c r="A14" i="54"/>
  <c r="B12" i="60" s="1"/>
  <c r="A19" i="55"/>
  <c r="B49" i="60" s="1"/>
  <c r="A13" i="55"/>
  <c r="A1" i="52"/>
  <c r="A4" i="50"/>
  <c r="P23" i="59"/>
  <c r="O23" i="59"/>
  <c r="N23" i="59"/>
  <c r="X23" i="59" s="1"/>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18" i="50" s="1"/>
  <c r="B45" i="50"/>
  <c r="B59" i="60" s="1"/>
  <c r="D2" i="52"/>
  <c r="B60" i="60" s="1"/>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s="1"/>
  <c r="C81" i="59"/>
  <c r="D81" i="59" s="1"/>
  <c r="B81" i="59"/>
  <c r="F80" i="59"/>
  <c r="F79" i="59" s="1"/>
  <c r="B80" i="59"/>
  <c r="B79" i="59" s="1"/>
  <c r="D78" i="59"/>
  <c r="Q77" i="59"/>
  <c r="P77" i="59"/>
  <c r="O77" i="59"/>
  <c r="N77" i="59"/>
  <c r="F77" i="59"/>
  <c r="E77" i="59"/>
  <c r="U77" i="59" s="1"/>
  <c r="C77" i="59"/>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Q69" i="59"/>
  <c r="P69" i="59"/>
  <c r="O69" i="59"/>
  <c r="N69" i="59"/>
  <c r="F69" i="59"/>
  <c r="E69" i="59"/>
  <c r="U69" i="59" s="1"/>
  <c r="C69" i="59"/>
  <c r="B69" i="59"/>
  <c r="S69" i="59" s="1"/>
  <c r="Q68" i="59"/>
  <c r="P68" i="59"/>
  <c r="O68" i="59"/>
  <c r="N68" i="59"/>
  <c r="B68" i="59"/>
  <c r="B67" i="59" s="1"/>
  <c r="Q67" i="59"/>
  <c r="P67" i="59"/>
  <c r="O67" i="59"/>
  <c r="N67" i="59"/>
  <c r="Q66" i="59"/>
  <c r="P66" i="59"/>
  <c r="O66" i="59"/>
  <c r="N66" i="59"/>
  <c r="D66" i="59"/>
  <c r="S65" i="59"/>
  <c r="F65" i="59"/>
  <c r="E65" i="59"/>
  <c r="C65" i="59"/>
  <c r="B65" i="59"/>
  <c r="N65" i="59" s="1"/>
  <c r="F64" i="59"/>
  <c r="B64"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D38" i="59"/>
  <c r="Q37" i="59"/>
  <c r="P37" i="59"/>
  <c r="O37" i="59"/>
  <c r="N37" i="59"/>
  <c r="Q36" i="59"/>
  <c r="AB36" i="59" s="1"/>
  <c r="P36" i="59"/>
  <c r="AA36" i="59" s="1"/>
  <c r="O36" i="59"/>
  <c r="Y36" i="59" s="1"/>
  <c r="Z36" i="59" s="1"/>
  <c r="N36" i="59"/>
  <c r="X36" i="59"/>
  <c r="Q35" i="59"/>
  <c r="P35" i="59"/>
  <c r="O35" i="59"/>
  <c r="N35" i="59"/>
  <c r="X35" i="59" s="1"/>
  <c r="Q34" i="59"/>
  <c r="P34" i="59"/>
  <c r="E35" i="59" s="1"/>
  <c r="E36" i="59" s="1"/>
  <c r="E37" i="59" s="1"/>
  <c r="O34" i="59"/>
  <c r="Y34" i="59" s="1"/>
  <c r="Z34" i="59" s="1"/>
  <c r="N34" i="59"/>
  <c r="D34" i="59"/>
  <c r="Q33" i="59"/>
  <c r="P33" i="59"/>
  <c r="O33" i="59"/>
  <c r="N33" i="59"/>
  <c r="Q32" i="59"/>
  <c r="P32" i="59"/>
  <c r="O32" i="59"/>
  <c r="N32" i="59"/>
  <c r="Q31" i="59"/>
  <c r="P31" i="59"/>
  <c r="O31" i="59"/>
  <c r="N31" i="59"/>
  <c r="Q30" i="59"/>
  <c r="P30" i="59"/>
  <c r="E31" i="59" s="1"/>
  <c r="E32" i="59" s="1"/>
  <c r="E33" i="59" s="1"/>
  <c r="U33" i="59" s="1"/>
  <c r="O30" i="59"/>
  <c r="N30" i="59"/>
  <c r="D30" i="59"/>
  <c r="Q29" i="59"/>
  <c r="P29" i="59"/>
  <c r="O29" i="59"/>
  <c r="N29" i="59"/>
  <c r="Q28" i="59"/>
  <c r="P28" i="59"/>
  <c r="O28" i="59"/>
  <c r="N28" i="59"/>
  <c r="Q27" i="59"/>
  <c r="P27" i="59"/>
  <c r="O27" i="59"/>
  <c r="N27" i="59"/>
  <c r="Q26" i="59"/>
  <c r="P26" i="59"/>
  <c r="E27" i="59" s="1"/>
  <c r="E28" i="59" s="1"/>
  <c r="E29" i="59" s="1"/>
  <c r="U29" i="59" s="1"/>
  <c r="O26" i="59"/>
  <c r="N26" i="59"/>
  <c r="D26" i="59"/>
  <c r="O25" i="59"/>
  <c r="N25" i="59"/>
  <c r="C25" i="59"/>
  <c r="T25" i="59" s="1"/>
  <c r="Y22" i="59"/>
  <c r="Z22" i="59" s="1"/>
  <c r="B25" i="59"/>
  <c r="B24" i="59" s="1"/>
  <c r="B23" i="59" s="1"/>
  <c r="P25" i="59"/>
  <c r="E68" i="59"/>
  <c r="E67" i="59" s="1"/>
  <c r="Q25" i="59"/>
  <c r="N64" i="59"/>
  <c r="B63" i="59"/>
  <c r="T65" i="59"/>
  <c r="D65" i="59"/>
  <c r="T69" i="59"/>
  <c r="D69" i="59"/>
  <c r="C68" i="59"/>
  <c r="C67" i="59" s="1"/>
  <c r="D67" i="59" s="1"/>
  <c r="C72" i="59"/>
  <c r="E72" i="59"/>
  <c r="E71" i="59" s="1"/>
  <c r="D73" i="59"/>
  <c r="E76" i="59"/>
  <c r="E75" i="59" s="1"/>
  <c r="C84" i="59"/>
  <c r="D84" i="59" s="1"/>
  <c r="F25" i="59"/>
  <c r="AB24" i="59"/>
  <c r="E25" i="59"/>
  <c r="AA24" i="59"/>
  <c r="C24" i="59"/>
  <c r="C23" i="59" s="1"/>
  <c r="D23" i="59" s="1"/>
  <c r="D72" i="59"/>
  <c r="C71" i="59"/>
  <c r="D71" i="59" s="1"/>
  <c r="D68" i="59"/>
  <c r="C83" i="59"/>
  <c r="D83" i="59" s="1"/>
  <c r="N62" i="59"/>
  <c r="N63" i="59"/>
  <c r="D24" i="59"/>
  <c r="F24" i="59"/>
  <c r="F23" i="59" s="1"/>
  <c r="V25"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B86" i="43" s="1"/>
  <c r="C22" i="20"/>
  <c r="C29" i="39" s="1"/>
  <c r="AB25" i="40"/>
  <c r="S25" i="40"/>
  <c r="S18" i="36"/>
  <c r="U18" i="35"/>
  <c r="S18" i="35"/>
  <c r="U21" i="37"/>
  <c r="S21" i="37"/>
  <c r="S21" i="34"/>
  <c r="J25" i="40"/>
  <c r="J27" i="39"/>
  <c r="H27" i="39"/>
  <c r="F27" i="39"/>
  <c r="H18" i="36"/>
  <c r="J18" i="36"/>
  <c r="J21" i="37"/>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s="1"/>
  <c r="U31" i="35"/>
  <c r="S32" i="35"/>
  <c r="S31" i="35"/>
  <c r="W31" i="35"/>
  <c r="U32" i="35"/>
  <c r="F36" i="34"/>
  <c r="AA36" i="34" s="1"/>
  <c r="U39" i="34"/>
  <c r="H39" i="33"/>
  <c r="AB39" i="33"/>
  <c r="F26" i="33"/>
  <c r="AA26" i="33" s="1"/>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H19" i="39"/>
  <c r="AB19" i="39" s="1"/>
  <c r="F19" i="39"/>
  <c r="S19" i="39" s="1"/>
  <c r="H17" i="39"/>
  <c r="U17" i="39" s="1"/>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AC14" i="34"/>
  <c r="J10" i="36"/>
  <c r="AC10" i="36" s="1"/>
  <c r="AB46" i="21"/>
  <c r="U14" i="21"/>
  <c r="AC14" i="21"/>
  <c r="AC11" i="36"/>
  <c r="AC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c r="S30" i="31"/>
  <c r="U11" i="40"/>
  <c r="AC33" i="36"/>
  <c r="AB20" i="35"/>
  <c r="AA11" i="35"/>
  <c r="AC12" i="35"/>
  <c r="U39" i="37"/>
  <c r="S25" i="37"/>
  <c r="W47" i="34"/>
  <c r="AB8" i="34"/>
  <c r="W14" i="33"/>
  <c r="AA13" i="33"/>
  <c r="AC31"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s="1"/>
  <c r="H17" i="21"/>
  <c r="AB17" i="21" s="1"/>
  <c r="J15" i="21"/>
  <c r="W15" i="21" s="1"/>
  <c r="U35" i="21"/>
  <c r="AC35" i="21"/>
  <c r="H103" i="57"/>
  <c r="A131" i="9"/>
  <c r="A135" i="57"/>
  <c r="B103" i="57"/>
  <c r="B107" i="57" s="1"/>
  <c r="C112" i="57"/>
  <c r="H107" i="57" s="1"/>
  <c r="D128" i="57"/>
  <c r="S23" i="21"/>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H19" i="33"/>
  <c r="AB19"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34" i="33"/>
  <c r="AA14" i="35"/>
  <c r="S14" i="35"/>
  <c r="W11" i="21"/>
  <c r="S45" i="39"/>
  <c r="AA45" i="39"/>
  <c r="H27" i="21"/>
  <c r="AB27" i="21"/>
  <c r="J27" i="21"/>
  <c r="W27" i="21" s="1"/>
  <c r="F27" i="21"/>
  <c r="AA27" i="21" s="1"/>
  <c r="J29" i="21"/>
  <c r="AC29" i="21" s="1"/>
  <c r="H29" i="21"/>
  <c r="U29" i="21" s="1"/>
  <c r="F29" i="21"/>
  <c r="J31" i="21"/>
  <c r="W31" i="21" s="1"/>
  <c r="H31" i="21"/>
  <c r="F31" i="21"/>
  <c r="AA31" i="21" s="1"/>
  <c r="H39" i="21"/>
  <c r="U39" i="21" s="1"/>
  <c r="F117" i="21"/>
  <c r="G117" i="21" s="1"/>
  <c r="S9" i="21"/>
  <c r="AA9" i="2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s="1"/>
  <c r="H40" i="21"/>
  <c r="AB40" i="21" s="1"/>
  <c r="J40" i="21"/>
  <c r="AC40" i="21" s="1"/>
  <c r="B44" i="47"/>
  <c r="C21" i="40"/>
  <c r="AC33" i="33"/>
  <c r="S34" i="33"/>
  <c r="AA38" i="33"/>
  <c r="AC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G103" i="43"/>
  <c r="F59" i="43"/>
  <c r="H63" i="43" s="1"/>
  <c r="G15" i="47"/>
  <c r="U15" i="37"/>
  <c r="AB24" i="36"/>
  <c r="H25" i="34"/>
  <c r="U25" i="34" s="1"/>
  <c r="AB35" i="39"/>
  <c r="AC40"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D52" i="43"/>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8" i="33"/>
  <c r="W37" i="33"/>
  <c r="W43" i="33"/>
  <c r="AC41" i="33"/>
  <c r="AA45" i="33"/>
  <c r="U46" i="33"/>
  <c r="S23" i="33"/>
  <c r="W17" i="33"/>
  <c r="AB9" i="33"/>
  <c r="U9" i="33"/>
  <c r="W9" i="33"/>
  <c r="W13" i="33"/>
  <c r="AC46" i="33"/>
  <c r="W2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H102" i="43"/>
  <c r="D3" i="21"/>
  <c r="F81" i="43"/>
  <c r="H85" i="43" s="1"/>
  <c r="G59" i="40"/>
  <c r="C59" i="40" s="1"/>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E59" i="43"/>
  <c r="B57" i="43" s="1"/>
  <c r="E70" i="43"/>
  <c r="B68" i="43" s="1"/>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s="1"/>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B116" i="43"/>
  <c r="C116" i="43" s="1"/>
  <c r="E105" i="43"/>
  <c r="M12" i="43"/>
  <c r="M11" i="43"/>
  <c r="C63" i="39"/>
  <c r="G64" i="39"/>
  <c r="C64" i="39" s="1"/>
  <c r="M85" i="43"/>
  <c r="N85" i="43" s="1"/>
  <c r="K85" i="43"/>
  <c r="J85" i="43" s="1"/>
  <c r="D85" i="43"/>
  <c r="M82" i="43"/>
  <c r="N82" i="43"/>
  <c r="K83" i="43"/>
  <c r="J83" i="43"/>
  <c r="D83" i="43"/>
  <c r="H81" i="43"/>
  <c r="J107" i="43"/>
  <c r="N109" i="43"/>
  <c r="E102" i="43"/>
  <c r="I103" i="43"/>
  <c r="M104" i="43"/>
  <c r="B115" i="43"/>
  <c r="C115" i="43" s="1"/>
  <c r="D116" i="43"/>
  <c r="E116" i="43" s="1"/>
  <c r="F116" i="43" s="1"/>
  <c r="G116" i="43" s="1"/>
  <c r="H116" i="43" s="1"/>
  <c r="D118" i="43"/>
  <c r="E118" i="43" s="1"/>
  <c r="F118" i="43" s="1"/>
  <c r="M7" i="15"/>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S39" i="33"/>
  <c r="AA36" i="33"/>
  <c r="W35" i="33"/>
  <c r="U35" i="33"/>
  <c r="AC45" i="33"/>
  <c r="AB29" i="33"/>
  <c r="AB36"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H84" i="43"/>
  <c r="N12" i="43"/>
  <c r="M10" i="43"/>
  <c r="H5" i="44"/>
  <c r="N9" i="43"/>
  <c r="M9" i="43"/>
  <c r="E17" i="43"/>
  <c r="N17" i="43"/>
  <c r="L17" i="43"/>
  <c r="O17" i="43"/>
  <c r="M17" i="43"/>
  <c r="J1" i="61"/>
  <c r="J52" i="15"/>
  <c r="B21" i="59"/>
  <c r="S21" i="59" s="1"/>
  <c r="AB21" i="59"/>
  <c r="U21" i="59"/>
  <c r="AA20" i="59"/>
  <c r="X20" i="59"/>
  <c r="AB20" i="59"/>
  <c r="AA19" i="59"/>
  <c r="Y19" i="59"/>
  <c r="Z19" i="59" s="1"/>
  <c r="Y17" i="59"/>
  <c r="Z17" i="59" s="1"/>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B20" i="59"/>
  <c r="B19" i="59" s="1"/>
  <c r="B18" i="59" s="1"/>
  <c r="B17" i="59" s="1"/>
  <c r="AC30" i="35"/>
  <c r="U30" i="35"/>
  <c r="I116" i="57"/>
  <c r="D133" i="57" s="1"/>
  <c r="D120" i="57"/>
  <c r="I114" i="9"/>
  <c r="D129" i="9" s="1"/>
  <c r="I112" i="9"/>
  <c r="D39" i="50" s="1"/>
  <c r="D40" i="50" s="1"/>
  <c r="D116" i="9"/>
  <c r="D114" i="9"/>
  <c r="D115" i="9"/>
  <c r="I113" i="9" s="1"/>
  <c r="E2" i="11"/>
  <c r="E2" i="34"/>
  <c r="F5" i="61"/>
  <c r="C20" i="57"/>
  <c r="D19" i="57"/>
  <c r="E2" i="36"/>
  <c r="F3" i="61"/>
  <c r="F4" i="61"/>
  <c r="E2" i="35"/>
  <c r="D7" i="61"/>
  <c r="F7" i="61"/>
  <c r="E2" i="33"/>
  <c r="H23" i="31"/>
  <c r="D20" i="57"/>
  <c r="D4" i="61"/>
  <c r="D6" i="61"/>
  <c r="E2" i="37"/>
  <c r="C19" i="57"/>
  <c r="E2" i="21"/>
  <c r="F6" i="61"/>
  <c r="I14" i="62" l="1"/>
  <c r="B8" i="62" s="1"/>
  <c r="AC15" i="21"/>
  <c r="AB45" i="33"/>
  <c r="S46" i="33"/>
  <c r="C58" i="33"/>
  <c r="D58" i="33" s="1"/>
  <c r="E58" i="33" s="1"/>
  <c r="F58" i="33" s="1"/>
  <c r="G58" i="33" s="1"/>
  <c r="H58" i="33" s="1"/>
  <c r="I58" i="33" s="1"/>
  <c r="J58" i="33" s="1"/>
  <c r="K58" i="33" s="1"/>
  <c r="L58" i="33" s="1"/>
  <c r="M58" i="33" s="1"/>
  <c r="N58" i="33" s="1"/>
  <c r="O58" i="33" s="1"/>
  <c r="I7" i="33"/>
  <c r="E7" i="33"/>
  <c r="G7" i="33"/>
  <c r="F15" i="47"/>
  <c r="B13" i="47" s="1"/>
  <c r="AC9" i="37"/>
  <c r="U23" i="37"/>
  <c r="C20" i="59"/>
  <c r="T21" i="59"/>
  <c r="D21" i="59"/>
  <c r="Y26" i="59"/>
  <c r="Z26" i="59" s="1"/>
  <c r="Y23" i="59"/>
  <c r="Z23" i="59" s="1"/>
  <c r="Y24" i="59"/>
  <c r="Z24" i="59" s="1"/>
  <c r="U65" i="59"/>
  <c r="E64" i="59"/>
  <c r="V69" i="59"/>
  <c r="F68" i="59"/>
  <c r="F67" i="59" s="1"/>
  <c r="Z12" i="43"/>
  <c r="Z13" i="43" s="1"/>
  <c r="Z10" i="43"/>
  <c r="AD12" i="43"/>
  <c r="AD13" i="43" s="1"/>
  <c r="AD10" i="43"/>
  <c r="AH12" i="43"/>
  <c r="AH13" i="43" s="1"/>
  <c r="AH10" i="43"/>
  <c r="X24" i="59"/>
  <c r="AA3" i="59"/>
  <c r="C18" i="9"/>
  <c r="D18" i="9" s="1"/>
  <c r="S21" i="21"/>
  <c r="W18" i="35"/>
  <c r="C80" i="59"/>
  <c r="Y25" i="59"/>
  <c r="Z25" i="59" s="1"/>
  <c r="Y30" i="59"/>
  <c r="Z30" i="59" s="1"/>
  <c r="F63" i="59"/>
  <c r="Q64" i="59"/>
  <c r="O65" i="59"/>
  <c r="C64" i="59"/>
  <c r="V65" i="59"/>
  <c r="Q65" i="59"/>
  <c r="B76" i="59"/>
  <c r="B75" i="59" s="1"/>
  <c r="T77" i="59"/>
  <c r="C76" i="59"/>
  <c r="D77" i="59"/>
  <c r="V77" i="59"/>
  <c r="F76" i="59"/>
  <c r="F75" i="59" s="1"/>
  <c r="AF10" i="43"/>
  <c r="AC12" i="43"/>
  <c r="AC13" i="43" s="1"/>
  <c r="AC10" i="43"/>
  <c r="AG12" i="43"/>
  <c r="AG13" i="43" s="1"/>
  <c r="AG10" i="43"/>
  <c r="P59" i="15"/>
  <c r="P72" i="15"/>
  <c r="E24" i="59"/>
  <c r="E23" i="59" s="1"/>
  <c r="AA23" i="59"/>
  <c r="X26" i="59"/>
  <c r="AB26" i="59"/>
  <c r="Y27" i="59"/>
  <c r="Z27" i="59" s="1"/>
  <c r="AB27" i="59"/>
  <c r="Y28" i="59"/>
  <c r="Z28" i="59" s="1"/>
  <c r="AB28" i="59"/>
  <c r="Y29" i="59"/>
  <c r="Z29" i="59" s="1"/>
  <c r="AB29" i="59"/>
  <c r="X30" i="59"/>
  <c r="AB30" i="59"/>
  <c r="Y31" i="59"/>
  <c r="Z31" i="59" s="1"/>
  <c r="AB31" i="59"/>
  <c r="Y32" i="59"/>
  <c r="Z32" i="59" s="1"/>
  <c r="AB32" i="59"/>
  <c r="Y33" i="59"/>
  <c r="Z33" i="59" s="1"/>
  <c r="AB33" i="59"/>
  <c r="X34" i="59"/>
  <c r="AB34" i="59"/>
  <c r="Y35" i="59"/>
  <c r="Z35" i="59" s="1"/>
  <c r="AB35" i="59"/>
  <c r="B40" i="59"/>
  <c r="B41" i="59" s="1"/>
  <c r="S41" i="59" s="1"/>
  <c r="B44" i="59"/>
  <c r="B45" i="59" s="1"/>
  <c r="S45" i="59" s="1"/>
  <c r="B48" i="59"/>
  <c r="B49" i="59" s="1"/>
  <c r="S49" i="59" s="1"/>
  <c r="E56" i="59"/>
  <c r="E57" i="59" s="1"/>
  <c r="U57" i="59" s="1"/>
  <c r="W10" i="33"/>
  <c r="W40" i="33"/>
  <c r="AB41" i="33"/>
  <c r="U40" i="33"/>
  <c r="AA35" i="33"/>
  <c r="U34" i="33"/>
  <c r="AC32" i="33"/>
  <c r="U44" i="33"/>
  <c r="W39" i="33"/>
  <c r="AB42" i="33"/>
  <c r="W26" i="33"/>
  <c r="AB26" i="33"/>
  <c r="W23" i="33"/>
  <c r="U23" i="33"/>
  <c r="S21" i="33"/>
  <c r="U32" i="33"/>
  <c r="AC27" i="33"/>
  <c r="U27" i="33"/>
  <c r="AC19" i="33"/>
  <c r="S17" i="33"/>
  <c r="U17" i="33"/>
  <c r="U21" i="33"/>
  <c r="W15" i="33"/>
  <c r="U15" i="33"/>
  <c r="S33" i="33"/>
  <c r="S42" i="33"/>
  <c r="U30" i="33"/>
  <c r="W28" i="33"/>
  <c r="AB28" i="33"/>
  <c r="S26" i="33"/>
  <c r="AC12" i="33"/>
  <c r="S14" i="33"/>
  <c r="S10" i="33"/>
  <c r="AB10" i="33"/>
  <c r="M107" i="43"/>
  <c r="E106" i="43"/>
  <c r="N105" i="43"/>
  <c r="J104" i="43"/>
  <c r="F103" i="43"/>
  <c r="F106" i="43"/>
  <c r="H64" i="43"/>
  <c r="H60" i="43"/>
  <c r="C9" i="11"/>
  <c r="J6" i="15"/>
  <c r="M60" i="15"/>
  <c r="P51" i="15"/>
  <c r="N5" i="43"/>
  <c r="N2" i="43"/>
  <c r="H87" i="43"/>
  <c r="H15" i="44"/>
  <c r="M7" i="43"/>
  <c r="H7" i="44"/>
  <c r="H66" i="43"/>
  <c r="H8" i="44"/>
  <c r="N7" i="43"/>
  <c r="H65" i="43"/>
  <c r="M6" i="43"/>
  <c r="N3" i="43"/>
  <c r="M4" i="43"/>
  <c r="N11" i="43"/>
  <c r="N10" i="43"/>
  <c r="H86" i="43"/>
  <c r="M2" i="43"/>
  <c r="N1" i="43"/>
  <c r="N4" i="43"/>
  <c r="H10" i="44"/>
  <c r="H9" i="44"/>
  <c r="H12" i="44"/>
  <c r="N8" i="43"/>
  <c r="M3" i="43"/>
  <c r="M8" i="43"/>
  <c r="H11" i="44"/>
  <c r="H13" i="44"/>
  <c r="M5" i="43"/>
  <c r="M1" i="43"/>
  <c r="H14" i="44"/>
  <c r="H16" i="44"/>
  <c r="H61" i="43"/>
  <c r="H67" i="43"/>
  <c r="H59" i="43"/>
  <c r="N46" i="9"/>
  <c r="A2" i="9"/>
  <c r="A8" i="52"/>
  <c r="B65" i="60" s="1"/>
  <c r="D42" i="50"/>
  <c r="D43" i="50" s="1"/>
  <c r="B16" i="59"/>
  <c r="B15" i="59" s="1"/>
  <c r="B14" i="59" s="1"/>
  <c r="B13" i="59" s="1"/>
  <c r="S17" i="59"/>
  <c r="F12" i="59"/>
  <c r="F11" i="59" s="1"/>
  <c r="F10" i="59" s="1"/>
  <c r="F9" i="59" s="1"/>
  <c r="V13" i="59"/>
  <c r="V17" i="59"/>
  <c r="W40" i="40"/>
  <c r="AA15" i="39"/>
  <c r="AB25" i="39"/>
  <c r="AA30" i="33"/>
  <c r="S28" i="37"/>
  <c r="U31" i="33"/>
  <c r="U32" i="36"/>
  <c r="AC13" i="36"/>
  <c r="AC32" i="34"/>
  <c r="W30" i="33"/>
  <c r="W28" i="37"/>
  <c r="AB14" i="33"/>
  <c r="W13" i="35"/>
  <c r="AC27" i="40"/>
  <c r="F9" i="35"/>
  <c r="H9" i="35"/>
  <c r="F12" i="35"/>
  <c r="H12" i="35"/>
  <c r="J36" i="35"/>
  <c r="D4" i="47"/>
  <c r="F4" i="47" s="1"/>
  <c r="B2" i="47" s="1"/>
  <c r="C25" i="40"/>
  <c r="U37" i="59"/>
  <c r="B75" i="43"/>
  <c r="B55" i="43"/>
  <c r="B66" i="43"/>
  <c r="D39" i="59"/>
  <c r="C40" i="59"/>
  <c r="C44" i="59"/>
  <c r="D44" i="59" s="1"/>
  <c r="D43" i="59"/>
  <c r="C48" i="59"/>
  <c r="D47" i="59"/>
  <c r="C52" i="59"/>
  <c r="D51" i="59"/>
  <c r="C56" i="59"/>
  <c r="D55" i="59"/>
  <c r="C60" i="59"/>
  <c r="D59" i="59"/>
  <c r="Q63" i="59"/>
  <c r="Q62" i="59"/>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X31" i="59"/>
  <c r="AA31" i="59"/>
  <c r="X32" i="59"/>
  <c r="AA32" i="59"/>
  <c r="X33" i="59"/>
  <c r="AA33" i="59"/>
  <c r="B35" i="59"/>
  <c r="B36" i="59" s="1"/>
  <c r="B37" i="59" s="1"/>
  <c r="S37" i="59" s="1"/>
  <c r="C35" i="59"/>
  <c r="AA34" i="59"/>
  <c r="AA35" i="59"/>
  <c r="X5" i="59"/>
  <c r="X7" i="59"/>
  <c r="X6" i="59"/>
  <c r="X8" i="59"/>
  <c r="AB5" i="59"/>
  <c r="AB6" i="59"/>
  <c r="AB7" i="59"/>
  <c r="P65" i="59"/>
  <c r="B72" i="59"/>
  <c r="B71" i="59" s="1"/>
  <c r="F72" i="59"/>
  <c r="F71" i="59" s="1"/>
  <c r="AA18" i="59"/>
  <c r="AA21" i="59"/>
  <c r="E12" i="59"/>
  <c r="E11" i="59" s="1"/>
  <c r="E10" i="59" s="1"/>
  <c r="E9" i="59" s="1"/>
  <c r="U13" i="59"/>
  <c r="Y20" i="59"/>
  <c r="Z20" i="59" s="1"/>
  <c r="AB19" i="59"/>
  <c r="AB18" i="59"/>
  <c r="Y18" i="59"/>
  <c r="Z18" i="59" s="1"/>
  <c r="AA14" i="59"/>
  <c r="X11" i="59"/>
  <c r="AB8" i="59"/>
  <c r="F27" i="59"/>
  <c r="F28" i="59" s="1"/>
  <c r="F29" i="59" s="1"/>
  <c r="V29" i="59" s="1"/>
  <c r="F31" i="59"/>
  <c r="F32" i="59" s="1"/>
  <c r="F33" i="59" s="1"/>
  <c r="V33" i="59" s="1"/>
  <c r="F35" i="59"/>
  <c r="F36" i="59" s="1"/>
  <c r="F37" i="59" s="1"/>
  <c r="V37" i="59" s="1"/>
  <c r="Y5" i="59"/>
  <c r="Z5" i="59" s="1"/>
  <c r="Y6" i="59"/>
  <c r="Z6" i="59" s="1"/>
  <c r="Y8" i="59"/>
  <c r="Z8" i="59" s="1"/>
  <c r="AA5" i="59"/>
  <c r="AA7" i="59"/>
  <c r="AA6" i="59"/>
  <c r="X19" i="59"/>
  <c r="AA16" i="59"/>
  <c r="X18" i="59"/>
  <c r="Y16" i="59"/>
  <c r="Z16" i="59" s="1"/>
  <c r="AB14" i="59"/>
  <c r="X14" i="59"/>
  <c r="AA13" i="59"/>
  <c r="Y15" i="59"/>
  <c r="Z15" i="59" s="1"/>
  <c r="AA9" i="59"/>
  <c r="B15" i="50"/>
  <c r="V21" i="59"/>
  <c r="X21" i="59"/>
  <c r="Y21" i="59"/>
  <c r="Z21" i="59" s="1"/>
  <c r="Y14" i="59"/>
  <c r="Z14" i="59" s="1"/>
  <c r="Y12" i="59"/>
  <c r="Z12" i="59" s="1"/>
  <c r="AB13" i="59"/>
  <c r="AB12" i="59"/>
  <c r="AB9" i="59"/>
  <c r="AB11" i="59"/>
  <c r="X9" i="59"/>
  <c r="Y9" i="59"/>
  <c r="Z9" i="59" s="1"/>
  <c r="Y10" i="59"/>
  <c r="Z10" i="59" s="1"/>
  <c r="X12" i="59"/>
  <c r="AA12" i="59"/>
  <c r="AB10" i="59"/>
  <c r="AA8" i="59"/>
  <c r="AA10" i="59"/>
  <c r="AA11" i="59"/>
  <c r="X10" i="59"/>
  <c r="Y7" i="59"/>
  <c r="Z7" i="59" s="1"/>
  <c r="Y11" i="59"/>
  <c r="Z11" i="59" s="1"/>
  <c r="F8" i="59"/>
  <c r="F7" i="59" s="1"/>
  <c r="F6" i="59" s="1"/>
  <c r="F5" i="59" s="1"/>
  <c r="V5" i="59" s="1"/>
  <c r="V9" i="59"/>
  <c r="E8" i="59"/>
  <c r="E7" i="59" s="1"/>
  <c r="E6" i="59" s="1"/>
  <c r="E5" i="59" s="1"/>
  <c r="U5" i="59" s="1"/>
  <c r="U9" i="59"/>
  <c r="D18" i="50"/>
  <c r="B31" i="60" s="1"/>
  <c r="A10" i="52"/>
  <c r="B66" i="60" s="1"/>
  <c r="C14" i="15"/>
  <c r="C15" i="15" s="1"/>
  <c r="D12" i="52"/>
  <c r="G26" i="47"/>
  <c r="H62" i="43"/>
  <c r="H88" i="43"/>
  <c r="H83" i="43"/>
  <c r="H82"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5" i="61"/>
  <c r="D3" i="61"/>
  <c r="G1" i="61"/>
  <c r="D70" i="39" l="1"/>
  <c r="C63" i="59"/>
  <c r="O64" i="59"/>
  <c r="D80" i="59"/>
  <c r="C79" i="59"/>
  <c r="D79" i="59" s="1"/>
  <c r="P64" i="59"/>
  <c r="E63" i="59"/>
  <c r="C75" i="59"/>
  <c r="D75" i="59" s="1"/>
  <c r="D76" i="59"/>
  <c r="C19" i="59"/>
  <c r="D20" i="59"/>
  <c r="C105" i="57"/>
  <c r="G4" i="47"/>
  <c r="F48" i="43"/>
  <c r="F70" i="43"/>
  <c r="C6" i="43"/>
  <c r="D5" i="43" s="1"/>
  <c r="F7" i="35"/>
  <c r="D35" i="59"/>
  <c r="C36" i="59"/>
  <c r="D27" i="59"/>
  <c r="C28" i="59"/>
  <c r="C61" i="59"/>
  <c r="D60" i="59"/>
  <c r="C57" i="59"/>
  <c r="D56" i="59"/>
  <c r="C53" i="59"/>
  <c r="D52" i="59"/>
  <c r="D48" i="59"/>
  <c r="C49" i="59"/>
  <c r="U12" i="35"/>
  <c r="AB12" i="35"/>
  <c r="AB9" i="35"/>
  <c r="U9" i="35"/>
  <c r="D31" i="59"/>
  <c r="C32" i="59"/>
  <c r="C41" i="59"/>
  <c r="D40" i="59"/>
  <c r="AC36" i="35"/>
  <c r="W36" i="35"/>
  <c r="S12" i="35"/>
  <c r="AA12" i="35"/>
  <c r="AA9" i="35"/>
  <c r="S9" i="35"/>
  <c r="B12" i="59"/>
  <c r="B11" i="59" s="1"/>
  <c r="B10" i="59" s="1"/>
  <c r="B9" i="59" s="1"/>
  <c r="S13" i="59"/>
  <c r="C18" i="15"/>
  <c r="C16" i="15"/>
  <c r="J7" i="35"/>
  <c r="C30" i="11"/>
  <c r="C48" i="11"/>
  <c r="C32" i="15"/>
  <c r="E27" i="1"/>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D19" i="59" l="1"/>
  <c r="C18" i="59"/>
  <c r="O63" i="59"/>
  <c r="D63" i="59"/>
  <c r="O62" i="59"/>
  <c r="E42" i="37"/>
  <c r="P62" i="59"/>
  <c r="P63" i="59"/>
  <c r="H50" i="43"/>
  <c r="G50" i="43" s="1"/>
  <c r="H54" i="43"/>
  <c r="G54" i="43" s="1"/>
  <c r="H53" i="43"/>
  <c r="G53" i="43" s="1"/>
  <c r="H56" i="43"/>
  <c r="G56" i="43" s="1"/>
  <c r="H49" i="43"/>
  <c r="G49" i="43" s="1"/>
  <c r="H51" i="43"/>
  <c r="G51" i="43" s="1"/>
  <c r="H52" i="43"/>
  <c r="G52" i="43" s="1"/>
  <c r="H48" i="43"/>
  <c r="G48" i="43" s="1"/>
  <c r="H55" i="43"/>
  <c r="G55" i="43" s="1"/>
  <c r="C19" i="15"/>
  <c r="C20" i="15" s="1"/>
  <c r="C26" i="15" s="1"/>
  <c r="C5" i="43"/>
  <c r="H70" i="43"/>
  <c r="H78" i="43"/>
  <c r="H73" i="43"/>
  <c r="H72" i="43"/>
  <c r="H77" i="43"/>
  <c r="H71" i="43"/>
  <c r="H74" i="43"/>
  <c r="H76" i="43"/>
  <c r="H75" i="43"/>
  <c r="J7" i="36"/>
  <c r="S9" i="59"/>
  <c r="B8" i="59"/>
  <c r="B7" i="59" s="1"/>
  <c r="B6" i="59" s="1"/>
  <c r="B5" i="59" s="1"/>
  <c r="S5" i="59" s="1"/>
  <c r="D41" i="59"/>
  <c r="T41" i="59"/>
  <c r="D53" i="59"/>
  <c r="T53" i="59"/>
  <c r="D57" i="59"/>
  <c r="T57" i="59"/>
  <c r="D61" i="59"/>
  <c r="T61" i="59"/>
  <c r="C33" i="59"/>
  <c r="D32" i="59"/>
  <c r="T49" i="59"/>
  <c r="D49" i="59"/>
  <c r="C29" i="59"/>
  <c r="D28" i="59"/>
  <c r="C37" i="59"/>
  <c r="M19" i="43" s="1"/>
  <c r="D36" i="59"/>
  <c r="H7" i="36"/>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K48" i="43" l="1"/>
  <c r="M48" i="43"/>
  <c r="N48" i="43" s="1"/>
  <c r="K51" i="43"/>
  <c r="M51" i="43"/>
  <c r="N51" i="43" s="1"/>
  <c r="K56" i="43"/>
  <c r="M56" i="43"/>
  <c r="N56" i="43" s="1"/>
  <c r="K54" i="43"/>
  <c r="M54" i="43"/>
  <c r="N54" i="43" s="1"/>
  <c r="D18" i="59"/>
  <c r="C17" i="59"/>
  <c r="K55" i="43"/>
  <c r="J55" i="43" s="1"/>
  <c r="D55" i="43" s="1"/>
  <c r="M55" i="43"/>
  <c r="N55" i="43" s="1"/>
  <c r="K52" i="43"/>
  <c r="J52" i="43" s="1"/>
  <c r="M52" i="43"/>
  <c r="N52" i="43" s="1"/>
  <c r="K49" i="43"/>
  <c r="M49" i="43"/>
  <c r="N49" i="43" s="1"/>
  <c r="K53" i="43"/>
  <c r="M53" i="43"/>
  <c r="N53" i="43" s="1"/>
  <c r="K50" i="43"/>
  <c r="M50" i="43"/>
  <c r="N50" i="43" s="1"/>
  <c r="D37" i="59"/>
  <c r="T37" i="59"/>
  <c r="T29" i="59"/>
  <c r="D29" i="59"/>
  <c r="T33" i="59"/>
  <c r="D33"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C27" i="12"/>
  <c r="C25" i="12" s="1"/>
  <c r="C26" i="12"/>
  <c r="D25" i="12" s="1"/>
  <c r="C23" i="15"/>
  <c r="C24" i="15"/>
  <c r="C43" i="11"/>
  <c r="C44" i="11"/>
  <c r="D41" i="11" s="1"/>
  <c r="C42" i="11"/>
  <c r="C26" i="11"/>
  <c r="D22" i="11" s="1"/>
  <c r="C24" i="11"/>
  <c r="C61" i="15"/>
  <c r="C67" i="15"/>
  <c r="C38" i="15"/>
  <c r="D50" i="43" l="1"/>
  <c r="J50" i="43"/>
  <c r="J53" i="43"/>
  <c r="D53" i="43"/>
  <c r="D49" i="43"/>
  <c r="J49" i="43"/>
  <c r="C16" i="59"/>
  <c r="D17" i="59"/>
  <c r="T17" i="59"/>
  <c r="J54" i="43"/>
  <c r="D54" i="43"/>
  <c r="D56" i="43"/>
  <c r="J56" i="43"/>
  <c r="D51" i="43"/>
  <c r="J51" i="43"/>
  <c r="J48" i="43"/>
  <c r="D48" i="43"/>
  <c r="E48" i="43" s="1"/>
  <c r="B46" i="43" s="1"/>
  <c r="C24" i="43" s="1"/>
  <c r="B3" i="3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39" i="43" l="1"/>
  <c r="C38" i="43"/>
  <c r="C29" i="43"/>
  <c r="T6" i="43"/>
  <c r="V6" i="43" s="1"/>
  <c r="T9" i="43"/>
  <c r="V9" i="43" s="1"/>
  <c r="C33" i="43"/>
  <c r="T8" i="43"/>
  <c r="V8" i="43" s="1"/>
  <c r="T11" i="43"/>
  <c r="V11" i="43" s="1"/>
  <c r="T13" i="43"/>
  <c r="V13" i="43" s="1"/>
  <c r="T3" i="43"/>
  <c r="V3" i="43" s="1"/>
  <c r="T7" i="43"/>
  <c r="V7" i="43" s="1"/>
  <c r="T10" i="43"/>
  <c r="V10" i="43" s="1"/>
  <c r="T2" i="43"/>
  <c r="V2" i="43" s="1"/>
  <c r="C6" i="11" s="1"/>
  <c r="C7" i="11" s="1"/>
  <c r="C5" i="11" s="1"/>
  <c r="C36" i="43"/>
  <c r="T5" i="43"/>
  <c r="V5" i="43" s="1"/>
  <c r="C35" i="43"/>
  <c r="T12" i="43"/>
  <c r="V12" i="43" s="1"/>
  <c r="C37" i="43"/>
  <c r="T16" i="43"/>
  <c r="V16" i="43" s="1"/>
  <c r="T4" i="43"/>
  <c r="V4" i="43" s="1"/>
  <c r="T14" i="43"/>
  <c r="V14" i="43" s="1"/>
  <c r="C34" i="43"/>
  <c r="T15" i="43"/>
  <c r="V15" i="43" s="1"/>
  <c r="C15" i="59"/>
  <c r="D16"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4" i="59" l="1"/>
  <c r="D15" i="59"/>
  <c r="G34" i="43"/>
  <c r="I34" i="43" s="1"/>
  <c r="E34" i="43"/>
  <c r="E37" i="43"/>
  <c r="G37" i="43"/>
  <c r="I37" i="43" s="1"/>
  <c r="G35" i="43"/>
  <c r="I35" i="43" s="1"/>
  <c r="E35" i="43"/>
  <c r="E36" i="43"/>
  <c r="G36" i="43"/>
  <c r="I36" i="43" s="1"/>
  <c r="G33" i="43"/>
  <c r="I33" i="43" s="1"/>
  <c r="E33" i="43"/>
  <c r="G38" i="43"/>
  <c r="I38" i="43" s="1"/>
  <c r="E38" i="43"/>
  <c r="C20" i="11"/>
  <c r="C23" i="11"/>
  <c r="E29" i="43"/>
  <c r="C26" i="43" s="1"/>
  <c r="B2" i="43" s="1"/>
  <c r="B3" i="43" s="1"/>
  <c r="C30" i="43"/>
  <c r="E30" i="43" s="1"/>
  <c r="G39" i="43"/>
  <c r="I39" i="43" s="1"/>
  <c r="E39" i="43"/>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9"/>
  <c r="C19" i="9"/>
  <c r="C27" i="43" l="1"/>
  <c r="C28" i="11"/>
  <c r="C27" i="11" s="1"/>
  <c r="C25" i="11"/>
  <c r="C22" i="11" s="1"/>
  <c r="C31" i="11" s="1"/>
  <c r="C52" i="11" s="1"/>
  <c r="D14" i="59"/>
  <c r="C13" i="59"/>
  <c r="C98" i="57"/>
  <c r="E98" i="57" s="1"/>
  <c r="E99" i="57" s="1"/>
  <c r="C102" i="9"/>
  <c r="C101"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56" i="11" l="1"/>
  <c r="C57" i="11" s="1"/>
  <c r="B3" i="11"/>
  <c r="B2" i="11"/>
  <c r="D13" i="59"/>
  <c r="C12" i="59"/>
  <c r="T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5" i="40"/>
  <c r="M63" i="40"/>
  <c r="AA7" i="39"/>
  <c r="R47" i="39" s="1"/>
  <c r="R48" i="39" s="1"/>
  <c r="S7" i="39"/>
  <c r="M59" i="34"/>
  <c r="N59" i="34" s="1"/>
  <c r="O59" i="34" s="1"/>
  <c r="H7" i="34" s="1"/>
  <c r="AB7" i="39"/>
  <c r="U7" i="39"/>
  <c r="AC7" i="39"/>
  <c r="W7" i="39"/>
  <c r="L58" i="15"/>
  <c r="L61" i="15" s="1"/>
  <c r="C10" i="59" l="1"/>
  <c r="D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9" i="59" l="1"/>
  <c r="D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C8" i="59" l="1"/>
  <c r="T9" i="59"/>
  <c r="D9" i="59"/>
  <c r="D101" i="9"/>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7" i="59" l="1"/>
  <c r="D8" i="59"/>
  <c r="C32" i="9"/>
  <c r="C35" i="9" s="1"/>
  <c r="C34" i="9" s="1"/>
  <c r="AC7" i="40"/>
  <c r="V42" i="40" s="1"/>
  <c r="I42" i="40" s="1"/>
  <c r="I46" i="40" s="1"/>
  <c r="J46" i="40" s="1"/>
  <c r="W7" i="40"/>
  <c r="S7" i="40"/>
  <c r="AA7" i="40"/>
  <c r="R42" i="40" s="1"/>
  <c r="R43" i="40" s="1"/>
  <c r="AB7" i="40"/>
  <c r="T42" i="40" s="1"/>
  <c r="G42" i="40" s="1"/>
  <c r="G46" i="40" s="1"/>
  <c r="H46" i="40" s="1"/>
  <c r="U7" i="40"/>
  <c r="C6" i="59" l="1"/>
  <c r="D7" i="59"/>
  <c r="G47" i="40"/>
  <c r="H47" i="40" s="1"/>
  <c r="E42" i="40"/>
  <c r="D6" i="59" l="1"/>
  <c r="C5" i="59"/>
  <c r="I47" i="40"/>
  <c r="J47" i="40" s="1"/>
  <c r="E47" i="40"/>
  <c r="F47" i="40" s="1"/>
  <c r="E46" i="40"/>
  <c r="F46" i="40" s="1"/>
  <c r="C43" i="40"/>
  <c r="C42" i="40"/>
  <c r="T5" i="59" l="1"/>
  <c r="D5" i="59"/>
  <c r="M20" i="43"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7" i="9" l="1"/>
  <c r="N67" i="9" s="1"/>
  <c r="M63" i="9"/>
  <c r="N63" i="9" s="1"/>
  <c r="N69" i="9" s="1"/>
  <c r="O69" i="9" s="1"/>
  <c r="M64" i="9"/>
  <c r="N64" i="9" s="1"/>
  <c r="M66" i="9"/>
  <c r="N66" i="9" s="1"/>
  <c r="M68" i="9"/>
  <c r="N68" i="9" s="1"/>
  <c r="D121" i="9"/>
  <c r="H121" i="9"/>
  <c r="D14" i="62" s="1"/>
  <c r="F121" i="9"/>
  <c r="F4" i="52" s="1"/>
  <c r="B40" i="60" s="1"/>
  <c r="F14" i="62" l="1"/>
  <c r="E14" i="62"/>
  <c r="B5" i="62"/>
  <c r="C103" i="9"/>
  <c r="H4" i="52"/>
  <c r="F122" i="9"/>
  <c r="F5" i="52" s="1"/>
  <c r="B42" i="60" s="1"/>
  <c r="G121" i="9"/>
  <c r="G4" i="52" s="1"/>
  <c r="B41" i="60" s="1"/>
  <c r="D122" i="9"/>
  <c r="D5" i="52" s="1"/>
  <c r="B39" i="60" s="1"/>
  <c r="D4" i="52"/>
  <c r="B37" i="60" s="1"/>
  <c r="I121" i="9"/>
  <c r="I103" i="9" s="1"/>
  <c r="I102" i="9"/>
  <c r="I110" i="9" s="1"/>
  <c r="D106" i="9"/>
  <c r="D112" i="9" s="1"/>
  <c r="H122" i="9"/>
  <c r="H5" i="52" s="1"/>
  <c r="E121" i="9"/>
  <c r="E4" i="52" s="1"/>
  <c r="B38" i="60" s="1"/>
  <c r="C5" i="62" l="1"/>
  <c r="D5" i="62"/>
  <c r="D45" i="9"/>
  <c r="C72" i="9" s="1"/>
  <c r="D107" i="9"/>
  <c r="D113" i="9" s="1"/>
  <c r="D117" i="9"/>
  <c r="I115" i="9" s="1"/>
  <c r="D23" i="50" s="1"/>
  <c r="B34" i="60" s="1"/>
  <c r="D125" i="9"/>
  <c r="D36" i="50"/>
  <c r="D37" i="50" s="1"/>
  <c r="D15" i="50"/>
  <c r="N48" i="9"/>
  <c r="D28" i="50"/>
  <c r="D29" i="50" s="1"/>
  <c r="D7" i="50"/>
  <c r="D9" i="50"/>
  <c r="B21" i="60" s="1"/>
  <c r="D30" i="50"/>
  <c r="C104" i="9"/>
  <c r="I4" i="52"/>
  <c r="I111" i="9" l="1"/>
  <c r="D126" i="9" s="1"/>
  <c r="D9" i="52" s="1"/>
  <c r="D38" i="50"/>
  <c r="B62" i="60" s="1"/>
  <c r="D8" i="52"/>
  <c r="G14" i="62"/>
  <c r="B6" i="62" s="1"/>
  <c r="D52" i="9"/>
  <c r="D53" i="9"/>
  <c r="D48" i="9" s="1"/>
  <c r="N52" i="9" s="1"/>
  <c r="O57" i="9" s="1"/>
  <c r="O59" i="9" s="1"/>
  <c r="C64" i="9"/>
  <c r="C63" i="9" s="1"/>
  <c r="C67" i="9" s="1"/>
  <c r="C68" i="9" s="1"/>
  <c r="D54" i="9" s="1"/>
  <c r="C93" i="9"/>
  <c r="C86" i="9" s="1"/>
  <c r="C78" i="9"/>
  <c r="C73" i="9" s="1"/>
  <c r="C79" i="9" s="1"/>
  <c r="C85" i="9"/>
  <c r="D44" i="50"/>
  <c r="B19" i="60"/>
  <c r="D8" i="50"/>
  <c r="B22" i="60" s="1"/>
  <c r="B29" i="60"/>
  <c r="D16" i="50"/>
  <c r="B30" i="60" s="1"/>
  <c r="D17" i="50" l="1"/>
  <c r="C95" i="9"/>
  <c r="C96" i="9" s="1"/>
  <c r="E96" i="9" s="1"/>
  <c r="E97" i="9" s="1"/>
  <c r="O58" i="9"/>
  <c r="D6" i="62"/>
  <c r="C6" i="62"/>
  <c r="Q57" i="9"/>
  <c r="O61" i="9"/>
  <c r="O60" i="9"/>
  <c r="C80" i="9"/>
  <c r="E80" i="9" s="1"/>
  <c r="E81"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8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0F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0F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0F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1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1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500-000002000000}">
      <text>
        <r>
          <rPr>
            <sz val="11"/>
            <color indexed="81"/>
            <rFont val="宋体"/>
            <family val="3"/>
            <charset val="134"/>
          </rPr>
          <t xml:space="preserve">录入层数，将对应的结果录入至左侧相应层的楼层修正系数单元格中
</t>
        </r>
      </text>
    </comment>
    <comment ref="D17" authorId="2" shapeId="0" xr:uid="{00000000-0006-0000-1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5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5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500-000012000000}">
      <text>
        <r>
          <rPr>
            <b/>
            <sz val="9"/>
            <color indexed="81"/>
            <rFont val="宋体"/>
            <family val="3"/>
            <charset val="134"/>
          </rPr>
          <t xml:space="preserve">容积率
</t>
        </r>
      </text>
    </comment>
    <comment ref="D101" authorId="0" shapeId="0" xr:uid="{00000000-0006-0000-1500-000013000000}">
      <text>
        <r>
          <rPr>
            <b/>
            <sz val="9"/>
            <color indexed="81"/>
            <rFont val="宋体"/>
            <family val="3"/>
            <charset val="134"/>
          </rPr>
          <t xml:space="preserve">容积率
</t>
        </r>
      </text>
    </comment>
    <comment ref="E101" authorId="0" shapeId="0" xr:uid="{00000000-0006-0000-1500-000014000000}">
      <text>
        <r>
          <rPr>
            <b/>
            <sz val="9"/>
            <color indexed="81"/>
            <rFont val="宋体"/>
            <family val="3"/>
            <charset val="134"/>
          </rPr>
          <t xml:space="preserve">容积率
</t>
        </r>
      </text>
    </comment>
    <comment ref="F101" authorId="0" shapeId="0" xr:uid="{00000000-0006-0000-1500-000015000000}">
      <text>
        <r>
          <rPr>
            <b/>
            <sz val="9"/>
            <color indexed="81"/>
            <rFont val="宋体"/>
            <family val="3"/>
            <charset val="134"/>
          </rPr>
          <t xml:space="preserve">容积率
</t>
        </r>
      </text>
    </comment>
    <comment ref="G101" authorId="0" shapeId="0" xr:uid="{00000000-0006-0000-1500-000016000000}">
      <text>
        <r>
          <rPr>
            <b/>
            <sz val="9"/>
            <color indexed="81"/>
            <rFont val="宋体"/>
            <family val="3"/>
            <charset val="134"/>
          </rPr>
          <t xml:space="preserve">容积率
</t>
        </r>
      </text>
    </comment>
    <comment ref="H101" authorId="0" shapeId="0" xr:uid="{00000000-0006-0000-1500-000017000000}">
      <text>
        <r>
          <rPr>
            <b/>
            <sz val="9"/>
            <color indexed="81"/>
            <rFont val="宋体"/>
            <family val="3"/>
            <charset val="134"/>
          </rPr>
          <t xml:space="preserve">容积率
</t>
        </r>
      </text>
    </comment>
    <comment ref="I101" authorId="0" shapeId="0" xr:uid="{00000000-0006-0000-1500-000018000000}">
      <text>
        <r>
          <rPr>
            <b/>
            <sz val="9"/>
            <color indexed="81"/>
            <rFont val="宋体"/>
            <family val="3"/>
            <charset val="134"/>
          </rPr>
          <t xml:space="preserve">容积率
</t>
        </r>
      </text>
    </comment>
    <comment ref="J101" authorId="0" shapeId="0" xr:uid="{00000000-0006-0000-1500-000019000000}">
      <text>
        <r>
          <rPr>
            <b/>
            <sz val="9"/>
            <color indexed="81"/>
            <rFont val="宋体"/>
            <family val="3"/>
            <charset val="134"/>
          </rPr>
          <t xml:space="preserve">容积率
</t>
        </r>
      </text>
    </comment>
    <comment ref="K101" authorId="0" shapeId="0" xr:uid="{00000000-0006-0000-1500-00001A000000}">
      <text>
        <r>
          <rPr>
            <b/>
            <sz val="9"/>
            <color indexed="81"/>
            <rFont val="宋体"/>
            <family val="3"/>
            <charset val="134"/>
          </rPr>
          <t xml:space="preserve">容积率
</t>
        </r>
      </text>
    </comment>
    <comment ref="L101" authorId="0" shapeId="0" xr:uid="{00000000-0006-0000-1500-00001B000000}">
      <text>
        <r>
          <rPr>
            <b/>
            <sz val="9"/>
            <color indexed="81"/>
            <rFont val="宋体"/>
            <family val="3"/>
            <charset val="134"/>
          </rPr>
          <t xml:space="preserve">容积率
</t>
        </r>
      </text>
    </comment>
    <comment ref="M101" authorId="0" shapeId="0" xr:uid="{00000000-0006-0000-1500-00001C000000}">
      <text>
        <r>
          <rPr>
            <b/>
            <sz val="9"/>
            <color indexed="81"/>
            <rFont val="宋体"/>
            <family val="3"/>
            <charset val="134"/>
          </rPr>
          <t xml:space="preserve">容积率
</t>
        </r>
      </text>
    </comment>
    <comment ref="N101" authorId="0" shapeId="0" xr:uid="{00000000-0006-0000-1500-00001D000000}">
      <text>
        <r>
          <rPr>
            <b/>
            <sz val="9"/>
            <color indexed="81"/>
            <rFont val="宋体"/>
            <family val="3"/>
            <charset val="134"/>
          </rPr>
          <t xml:space="preserve">容积率
</t>
        </r>
      </text>
    </comment>
    <comment ref="C108" authorId="0" shapeId="0" xr:uid="{00000000-0006-0000-1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<sst xmlns="http://schemas.openxmlformats.org/spreadsheetml/2006/main" count="6958" uniqueCount="3027">
  <si>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</si>
  <si>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</si>
  <si>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</si>
  <si>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</si>
  <si>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</si>
  <si>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</si>
  <si>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</si>
  <si>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</si>
  <si>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</si>
  <si>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</si>
  <si>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</si>
  <si>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</si>
  <si>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</si>
  <si>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</si>
  <si>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</si>
  <si>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</si>
  <si>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</si>
  <si>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</si>
  <si>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</si>
  <si>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</si>
  <si>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</si>
  <si>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</si>
  <si>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</si>
  <si>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</si>
  <si>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</si>
  <si>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</si>
  <si>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</si>
  <si>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</si>
  <si>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</si>
  <si>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</si>
  <si>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</si>
  <si>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</si>
  <si>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</si>
  <si>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</si>
  <si>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</si>
  <si>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</si>
  <si>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</si>
  <si>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</si>
  <si>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</si>
  <si>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</si>
  <si>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</si>
  <si>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</si>
  <si>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</si>
  <si>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</si>
  <si>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</si>
  <si>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</si>
  <si>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</si>
  <si>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</si>
  <si>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</si>
  <si>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</si>
  <si>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</si>
  <si>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</si>
  <si>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</si>
  <si>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</si>
  <si>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</si>
  <si>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</si>
  <si>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</si>
  <si>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</si>
  <si>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</si>
  <si>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</si>
  <si>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</si>
  <si>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</si>
  <si>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</si>
  <si>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</si>
  <si>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</si>
  <si>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</si>
  <si>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</si>
  <si>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</si>
  <si>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</si>
  <si>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</si>
  <si>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</si>
  <si>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</si>
  <si>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</si>
  <si>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</si>
  <si>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</si>
  <si>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</si>
  <si>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</si>
  <si>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</si>
  <si>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</si>
  <si>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</si>
  <si>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</si>
  <si>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</si>
  <si>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</si>
  <si>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</si>
  <si>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</si>
  <si>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</si>
  <si>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</si>
  <si>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</si>
  <si>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</si>
  <si>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</si>
  <si>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</si>
  <si>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</si>
  <si>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</si>
  <si>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</si>
  <si>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</si>
  <si>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</si>
  <si>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</si>
  <si>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</si>
  <si>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</si>
  <si>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</si>
  <si>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</si>
  <si>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</si>
  <si>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</si>
  <si>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</si>
  <si>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</si>
  <si>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</si>
  <si>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</si>
  <si>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</si>
  <si>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</si>
  <si>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</si>
  <si>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</si>
  <si>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</si>
  <si>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</si>
  <si>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</si>
  <si>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</si>
  <si>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</si>
  <si>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</si>
  <si>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</si>
  <si>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</si>
  <si>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</si>
  <si>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</si>
  <si>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</si>
  <si>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</si>
  <si>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</si>
  <si>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</si>
  <si>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</si>
  <si>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</si>
  <si>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</si>
  <si>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</si>
  <si>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</si>
  <si>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</si>
  <si>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</si>
  <si>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</si>
  <si>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</si>
  <si>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</si>
  <si>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</si>
  <si>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</si>
  <si>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</si>
  <si>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</si>
  <si>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</si>
  <si>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</si>
  <si>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</si>
  <si>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</si>
  <si>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</si>
  <si>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</si>
  <si>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</si>
  <si>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</si>
  <si>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</si>
  <si>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</si>
  <si>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</si>
  <si>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</si>
  <si>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</si>
  <si>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</si>
  <si>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</si>
  <si>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</si>
  <si>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</si>
  <si>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</si>
  <si>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</si>
  <si>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</si>
  <si>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</si>
  <si>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</si>
  <si>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</si>
  <si>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</si>
  <si>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</si>
  <si>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</si>
  <si>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</si>
  <si>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</si>
  <si>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</si>
  <si>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</si>
  <si>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</si>
  <si>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</si>
  <si>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</si>
  <si>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</si>
  <si>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</si>
  <si>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</si>
  <si>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</si>
  <si>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</si>
  <si>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</si>
  <si>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</si>
  <si>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</si>
  <si>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</si>
  <si>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</si>
  <si>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</si>
  <si>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</si>
  <si>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</si>
  <si>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</si>
  <si>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</si>
  <si>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</si>
  <si>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</si>
  <si>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</si>
  <si>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</si>
  <si>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</si>
  <si>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</si>
  <si>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</si>
  <si>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</si>
  <si>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</si>
  <si>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</si>
  <si>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</si>
  <si>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</si>
  <si>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</si>
  <si>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</si>
  <si>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</si>
  <si>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</si>
  <si>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</si>
  <si>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</si>
  <si>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</si>
  <si>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</si>
  <si>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</si>
  <si>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</si>
  <si>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</si>
  <si>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</si>
  <si>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</si>
  <si>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</si>
  <si>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</si>
  <si>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</si>
  <si>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</si>
  <si>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</si>
  <si>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</si>
  <si>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</si>
  <si>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</si>
  <si>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</si>
  <si>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</si>
  <si>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</si>
  <si>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</si>
  <si>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</si>
  <si>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</si>
  <si>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</si>
  <si>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</si>
  <si>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</si>
  <si>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</si>
  <si>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</si>
  <si>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</si>
  <si>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</si>
  <si>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</si>
  <si>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</si>
  <si>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</si>
  <si>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</si>
  <si>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</si>
  <si>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</si>
  <si>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</si>
  <si>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</si>
  <si>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</si>
  <si>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</si>
  <si>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</si>
  <si>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</si>
  <si>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</si>
  <si>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</si>
  <si>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</si>
  <si>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</si>
  <si>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</si>
  <si>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</si>
  <si>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</si>
  <si>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</si>
  <si>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</si>
  <si>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</si>
  <si>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</si>
  <si>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</si>
  <si>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</si>
  <si>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</si>
  <si>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</si>
  <si>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</si>
  <si>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</si>
  <si>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</si>
  <si>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</si>
  <si>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</si>
  <si>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</si>
  <si>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</si>
  <si>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</si>
  <si>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</si>
  <si>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</si>
  <si>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</si>
  <si>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</si>
  <si>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</si>
  <si>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</si>
  <si>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</si>
  <si>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</si>
  <si>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</si>
  <si>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</si>
  <si>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</si>
  <si>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</si>
  <si>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</si>
  <si>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</si>
  <si>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</si>
  <si>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</si>
  <si>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</si>
  <si>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</si>
  <si>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</si>
  <si>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</si>
  <si>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</si>
  <si>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</si>
  <si>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</si>
  <si>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</si>
  <si>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</si>
  <si>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</si>
  <si>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</si>
  <si>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</si>
  <si>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</si>
  <si>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</si>
  <si>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</si>
  <si>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</si>
  <si>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</si>
  <si>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</si>
  <si>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</si>
  <si>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</si>
  <si>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</si>
  <si>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</si>
  <si>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</si>
  <si>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</si>
  <si>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</si>
  <si>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</si>
  <si>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</si>
  <si>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</si>
  <si>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</si>
  <si>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</si>
  <si>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</si>
  <si>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</si>
  <si>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</si>
  <si>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</si>
  <si>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</si>
  <si>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</si>
  <si>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</si>
  <si>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</si>
  <si>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</si>
  <si>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</si>
  <si>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</si>
  <si>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</si>
  <si>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</si>
  <si>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</si>
  <si>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</si>
  <si>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</si>
  <si>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</si>
  <si>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</si>
  <si>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</si>
  <si>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</si>
  <si>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</si>
  <si>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</si>
  <si>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</si>
  <si>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</si>
  <si>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</si>
  <si>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</si>
  <si>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</si>
  <si>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</si>
  <si>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</si>
  <si>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</si>
  <si>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</si>
  <si>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</si>
  <si>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</si>
  <si>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</si>
  <si>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</si>
  <si>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</si>
  <si>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</si>
  <si>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</si>
  <si>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</si>
  <si>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</si>
  <si>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</si>
  <si>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</si>
  <si>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</si>
  <si>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</si>
  <si>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</si>
  <si>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</si>
  <si>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</si>
  <si>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</si>
  <si>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</si>
  <si>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</si>
  <si>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</si>
  <si>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</si>
  <si>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</si>
  <si>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</si>
  <si>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</si>
  <si>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</si>
  <si>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</si>
  <si>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</si>
  <si>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</si>
  <si>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</si>
  <si>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</si>
  <si>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</si>
  <si>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</si>
  <si>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</si>
  <si>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</si>
  <si>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</si>
  <si>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</si>
  <si>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</si>
  <si>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</si>
  <si>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</si>
  <si>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</si>
  <si>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</si>
  <si>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</si>
  <si>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</si>
  <si>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</si>
  <si>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</si>
  <si>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</si>
  <si>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</si>
  <si>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</si>
  <si>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</si>
  <si>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</si>
  <si>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</si>
  <si>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</si>
  <si>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</si>
  <si>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</si>
  <si>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</si>
  <si>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</si>
  <si>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</si>
  <si>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</si>
  <si>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</si>
  <si>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</si>
  <si>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</si>
  <si>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</si>
  <si>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</si>
  <si>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</si>
  <si>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</si>
  <si>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</si>
  <si>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</si>
  <si>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</si>
  <si>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</si>
  <si>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</si>
  <si>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</si>
  <si>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</si>
  <si>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</si>
  <si>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</si>
  <si>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</si>
  <si>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</si>
  <si>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</si>
  <si>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</si>
  <si>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</si>
  <si>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</si>
  <si>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</si>
  <si>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</si>
  <si>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</si>
  <si>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</si>
  <si>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</si>
  <si>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</si>
  <si>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</si>
  <si>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</si>
  <si>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</si>
  <si>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</si>
  <si>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</si>
  <si>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</si>
  <si>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</si>
  <si>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</si>
  <si>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</si>
  <si>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</si>
  <si>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</si>
  <si>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</si>
  <si>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</si>
  <si>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</si>
  <si>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</si>
  <si>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</si>
  <si>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</si>
  <si>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</si>
  <si>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</si>
  <si>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</si>
  <si>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</si>
  <si>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</si>
  <si>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</si>
  <si>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</si>
  <si>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</si>
  <si>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</si>
  <si>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</si>
  <si>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</si>
  <si>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</si>
  <si>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</si>
  <si>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</si>
  <si>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</si>
  <si>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</si>
  <si>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</si>
  <si>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</si>
  <si>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</si>
  <si>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</si>
  <si>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</si>
  <si>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</si>
  <si>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</si>
  <si>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</si>
  <si>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</si>
  <si>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</si>
  <si>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</si>
  <si>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</si>
  <si>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</si>
  <si>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</si>
  <si>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</si>
  <si>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</si>
  <si>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</si>
  <si>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</si>
  <si>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</si>
  <si>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</si>
  <si>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</si>
  <si>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</si>
  <si>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</si>
  <si>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</si>
  <si>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</si>
  <si>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</si>
  <si>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</si>
  <si>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</si>
  <si>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</si>
  <si>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</si>
  <si>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</si>
  <si>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</si>
  <si>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</si>
  <si>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</si>
  <si>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</si>
  <si>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</si>
  <si>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</si>
  <si>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</si>
  <si>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</si>
  <si>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</si>
  <si>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</si>
  <si>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</si>
  <si>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</si>
  <si>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</si>
  <si>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</si>
  <si>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</si>
  <si>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</si>
  <si>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</si>
  <si>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</si>
  <si>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</si>
  <si>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</si>
  <si>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</si>
  <si>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</si>
  <si>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</si>
  <si>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</si>
  <si>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</si>
  <si>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</si>
  <si>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</si>
  <si>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</si>
  <si>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</si>
  <si>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</si>
  <si>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</si>
  <si>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</si>
  <si>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</si>
  <si>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</si>
  <si>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</si>
  <si>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</si>
  <si>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</si>
  <si>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</si>
  <si>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</si>
  <si>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</si>
  <si>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</si>
  <si>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</si>
  <si>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</si>
  <si>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</si>
  <si>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</si>
  <si>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</si>
  <si>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</si>
  <si>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</si>
  <si>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</si>
  <si>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</si>
  <si>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</si>
  <si>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</si>
  <si>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</si>
  <si>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</si>
  <si>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</si>
  <si>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</si>
  <si>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</si>
  <si>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</si>
  <si>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</si>
  <si>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</si>
  <si>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</si>
  <si>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</si>
  <si>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</si>
  <si>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</si>
  <si>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</si>
  <si>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</si>
  <si>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</si>
  <si>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</si>
  <si>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</si>
  <si>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</si>
  <si>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</si>
  <si>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</si>
  <si>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</si>
  <si>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</si>
  <si>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</si>
  <si>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</si>
  <si>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</si>
  <si>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</si>
  <si>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</si>
  <si>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</si>
  <si>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</si>
  <si>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</si>
  <si>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</si>
  <si>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</si>
  <si>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</si>
  <si>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</si>
  <si>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</si>
  <si>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</si>
  <si>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</si>
  <si>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</si>
  <si>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</si>
  <si>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</si>
  <si>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</si>
  <si>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</si>
  <si>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</si>
  <si>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</si>
  <si>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</si>
  <si>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</si>
  <si>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</si>
  <si>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</si>
  <si>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</si>
  <si>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</si>
  <si>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</si>
  <si>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</si>
  <si>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</si>
  <si>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</si>
  <si>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</si>
  <si>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</si>
  <si>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</si>
  <si>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</si>
  <si>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</si>
  <si>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</si>
  <si>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</si>
  <si>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</si>
  <si>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</si>
  <si>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</si>
  <si>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</si>
  <si>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</si>
  <si>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</si>
  <si>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</si>
  <si>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</si>
  <si>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</si>
  <si>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</si>
  <si>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</si>
  <si>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</si>
  <si>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</si>
  <si>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</si>
  <si>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</si>
  <si>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</si>
  <si>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</si>
  <si>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</si>
  <si>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</si>
  <si>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</si>
  <si>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</si>
  <si>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</si>
  <si>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</si>
  <si>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</si>
  <si>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</si>
  <si>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</si>
  <si>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</si>
  <si>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</si>
  <si>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</si>
  <si>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</si>
  <si>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</si>
  <si>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</si>
  <si>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</si>
  <si>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</si>
  <si>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</si>
  <si>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</si>
  <si>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</si>
  <si>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</si>
  <si>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</si>
  <si>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</si>
  <si>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</si>
  <si>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</si>
  <si>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</si>
  <si>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</si>
  <si>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</si>
  <si>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</si>
  <si>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</si>
  <si>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</si>
  <si>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</si>
  <si>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</si>
  <si>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</si>
  <si>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</si>
  <si>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</si>
  <si>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</si>
  <si>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</si>
  <si>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</si>
  <si>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</si>
  <si>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</si>
  <si>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</si>
  <si>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</si>
  <si>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</si>
  <si>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</si>
  <si>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</si>
  <si>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</si>
  <si>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</si>
  <si>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</si>
  <si>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</si>
  <si>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</si>
  <si>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</si>
  <si>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</si>
  <si>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</si>
  <si>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</si>
  <si>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</si>
  <si>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</si>
  <si>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</si>
  <si>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</si>
  <si>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</si>
  <si>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</si>
  <si>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</si>
  <si>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</si>
  <si>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</si>
  <si>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</si>
  <si>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</si>
  <si>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</si>
  <si>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</si>
  <si>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</si>
  <si>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</si>
  <si>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</si>
  <si>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</si>
  <si>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</si>
  <si>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</si>
  <si>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</si>
  <si>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</si>
  <si>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</si>
  <si>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</si>
  <si>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</si>
  <si>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</si>
  <si>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</si>
  <si>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</si>
  <si>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</si>
  <si>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</si>
  <si>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</si>
  <si>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</si>
  <si>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</si>
  <si>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</si>
  <si>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</si>
  <si>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</si>
  <si>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</si>
  <si>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</si>
  <si>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</si>
  <si>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</si>
  <si>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</si>
  <si>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</si>
  <si>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</si>
  <si>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</si>
  <si>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</si>
  <si>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</si>
  <si>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</si>
  <si>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</si>
  <si>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</si>
  <si>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</si>
  <si>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</si>
  <si>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</si>
  <si>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</si>
  <si>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</si>
  <si>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</si>
  <si>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</si>
  <si>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</si>
  <si>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</si>
  <si>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</si>
  <si>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</si>
  <si>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</si>
  <si>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</si>
  <si>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</si>
  <si>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</si>
  <si>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</si>
  <si>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</si>
  <si>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</si>
  <si>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</si>
  <si>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</si>
  <si>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</si>
  <si>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</si>
  <si>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</si>
  <si>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</si>
  <si>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</si>
  <si>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</si>
  <si>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</si>
  <si>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</si>
  <si>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</si>
  <si>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</si>
  <si>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</si>
  <si>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</si>
  <si>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</si>
  <si>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</si>
  <si>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</si>
  <si>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</si>
  <si>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</si>
  <si>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</si>
  <si>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</si>
  <si>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</si>
  <si>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</si>
  <si>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</si>
  <si>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</si>
  <si>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</si>
  <si>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</si>
  <si>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</si>
  <si>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</si>
  <si>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</si>
  <si>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</si>
  <si>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</si>
  <si>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</si>
  <si>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</si>
  <si>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</si>
  <si>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</si>
  <si>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</si>
  <si>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</si>
  <si>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</si>
  <si>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</si>
  <si>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</si>
  <si>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</si>
  <si>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</si>
  <si>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</si>
  <si>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</si>
  <si>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</si>
  <si>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</si>
  <si>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</si>
  <si>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</si>
  <si>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</si>
  <si>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</si>
  <si>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</si>
  <si>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</si>
  <si>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</si>
  <si>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</si>
  <si>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</si>
  <si>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</si>
  <si>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</si>
  <si>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</si>
  <si>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</si>
  <si>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</si>
  <si>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</si>
  <si>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</si>
  <si>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</si>
  <si>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</si>
  <si>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</si>
  <si>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</si>
  <si>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</si>
  <si>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</si>
  <si>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</si>
  <si>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</si>
  <si>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</si>
  <si>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</si>
  <si>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</si>
  <si>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</si>
  <si>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</si>
  <si>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</si>
  <si>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</si>
  <si>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</si>
  <si>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</si>
  <si>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</si>
  <si>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</si>
  <si>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</si>
  <si>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</si>
  <si>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</si>
  <si>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</si>
  <si>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</si>
  <si>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</si>
  <si>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</si>
  <si>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</si>
  <si>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</si>
  <si>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</si>
  <si>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</si>
  <si>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</si>
  <si>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</si>
  <si>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</si>
  <si>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</si>
  <si>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</si>
  <si>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</si>
  <si>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</si>
  <si>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</si>
  <si>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</si>
  <si>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</si>
  <si>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</si>
  <si>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</si>
  <si>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</si>
  <si>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</si>
  <si>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</si>
  <si>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</si>
  <si>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</si>
  <si>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</si>
  <si>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</si>
  <si>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</si>
  <si>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</si>
  <si>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</si>
  <si>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</si>
  <si>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</si>
  <si>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</si>
  <si>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</si>
  <si>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</si>
  <si>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</si>
  <si>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</si>
  <si>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</si>
  <si>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</si>
  <si>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</si>
  <si>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</si>
  <si>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</si>
  <si>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</si>
  <si>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</si>
  <si>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</si>
  <si>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</si>
  <si>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</si>
  <si>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</si>
  <si>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</si>
  <si>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</si>
  <si>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</si>
  <si>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</si>
  <si>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</si>
  <si>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</si>
  <si>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</si>
  <si>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</si>
  <si>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</si>
  <si>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</si>
  <si>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</si>
  <si>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</si>
  <si>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</si>
  <si>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</si>
  <si>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</si>
  <si>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</si>
  <si>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</si>
  <si>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</si>
  <si>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</si>
  <si>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</si>
  <si>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</si>
  <si>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</si>
  <si>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</si>
  <si>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</si>
  <si>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</si>
  <si>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</si>
  <si>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</si>
  <si>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</si>
  <si>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</si>
  <si>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</si>
  <si>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</si>
  <si>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</si>
  <si>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</si>
  <si>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</si>
  <si>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</si>
  <si>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</si>
  <si>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</si>
  <si>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</si>
  <si>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</si>
  <si>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</si>
  <si>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</si>
  <si>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</si>
  <si>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</si>
  <si>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</si>
  <si>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</si>
  <si>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</si>
  <si>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</si>
  <si>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</si>
  <si>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</si>
  <si>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</si>
  <si>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</si>
  <si>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</si>
  <si>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</si>
  <si>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</si>
  <si>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</si>
  <si>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</si>
  <si>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</si>
  <si>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</si>
  <si>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</si>
  <si>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</si>
  <si>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</si>
  <si>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</si>
  <si>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</si>
  <si>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</si>
  <si>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</si>
  <si>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</si>
  <si>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</si>
  <si>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</si>
  <si>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</si>
  <si>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</si>
  <si>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</si>
  <si>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</si>
  <si>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</si>
  <si>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</si>
  <si>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</si>
  <si>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</si>
  <si>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</si>
  <si>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</si>
  <si>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</si>
  <si>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</si>
  <si>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</si>
  <si>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</si>
  <si>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</si>
  <si>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</si>
  <si>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</si>
  <si>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</si>
  <si>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</si>
  <si>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</si>
  <si>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</si>
  <si>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</si>
  <si>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</si>
  <si>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</si>
  <si>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</si>
  <si>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</si>
  <si>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</si>
  <si>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</si>
  <si>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</si>
  <si>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</si>
  <si>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</si>
  <si>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</si>
  <si>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</si>
  <si>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</si>
  <si>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</si>
  <si>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</si>
  <si>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</si>
  <si>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</si>
  <si>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</si>
  <si>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</si>
  <si>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</si>
  <si>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</si>
  <si>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</si>
  <si>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</si>
  <si>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</si>
  <si>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</si>
  <si>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</si>
  <si>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</si>
  <si>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</si>
  <si>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</si>
  <si>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</si>
  <si>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</si>
  <si>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</si>
  <si>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</si>
  <si>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</si>
  <si>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</si>
  <si>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</si>
  <si>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</si>
  <si>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</si>
  <si>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</si>
  <si>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</si>
  <si>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</si>
  <si>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</si>
  <si>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</si>
  <si>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</si>
  <si>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</si>
  <si>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</si>
  <si>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</si>
  <si>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</si>
  <si>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</si>
  <si>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</si>
  <si>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</si>
  <si>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</si>
  <si>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</si>
  <si>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</si>
  <si>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</si>
  <si>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</si>
  <si>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</si>
  <si>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</si>
  <si>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</si>
  <si>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</si>
  <si>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</si>
  <si>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</si>
  <si>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</si>
  <si>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</si>
  <si>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</si>
  <si>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</si>
  <si>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</si>
  <si>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</si>
  <si>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</si>
  <si>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</si>
  <si>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</si>
  <si>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</si>
  <si>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</si>
  <si>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</si>
  <si>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</si>
  <si>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</si>
  <si>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</si>
  <si>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</si>
  <si>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</si>
  <si>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</si>
  <si>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</si>
  <si>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</si>
  <si>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</si>
  <si>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</si>
  <si>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</si>
  <si>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</si>
  <si>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</si>
  <si>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</si>
  <si>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</si>
  <si>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</si>
  <si>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</si>
  <si>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</si>
  <si>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</si>
  <si>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</si>
  <si>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</si>
  <si>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</si>
  <si>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</si>
  <si>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</si>
  <si>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</si>
  <si>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</si>
  <si>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</si>
  <si>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</si>
  <si>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</si>
  <si>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</si>
  <si>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</si>
  <si>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</si>
  <si>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</si>
  <si>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</si>
  <si>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</si>
  <si>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</si>
  <si>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</si>
  <si>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</si>
  <si>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</si>
  <si>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</si>
  <si>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</si>
  <si>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</si>
  <si>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</si>
  <si>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</si>
  <si>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</si>
  <si>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</si>
  <si>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</si>
  <si>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</si>
  <si>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</si>
  <si>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</si>
  <si>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</si>
  <si>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</si>
  <si>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</si>
  <si>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</si>
  <si>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</si>
  <si>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</si>
  <si>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</si>
  <si>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</si>
  <si>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</si>
  <si>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</si>
  <si>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</si>
  <si>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</si>
  <si>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</si>
  <si>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</si>
  <si>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</si>
  <si>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</si>
  <si>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</si>
  <si>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</si>
  <si>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</si>
  <si>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</si>
  <si>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</si>
  <si>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</si>
  <si>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</si>
  <si>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</si>
  <si>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</si>
  <si>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</si>
  <si>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</si>
  <si>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</si>
  <si>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</si>
  <si>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</si>
  <si>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</si>
  <si>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</si>
  <si>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</si>
  <si>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</si>
  <si>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</si>
  <si>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</si>
  <si>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</si>
  <si>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</si>
  <si>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</si>
  <si>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</si>
  <si>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</si>
  <si>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</si>
  <si>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</si>
  <si>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</si>
  <si>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</si>
  <si>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</si>
  <si>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</si>
  <si>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</si>
  <si>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</si>
  <si>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</si>
  <si>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</si>
  <si>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</si>
  <si>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</si>
  <si>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</si>
  <si>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</si>
  <si>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</si>
  <si>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</si>
  <si>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</si>
  <si>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</si>
  <si>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</si>
  <si>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</si>
  <si>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</si>
  <si>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</si>
  <si>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</si>
  <si>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</si>
  <si>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</si>
  <si>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</si>
  <si>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</si>
  <si>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</si>
  <si>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</si>
  <si>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</si>
  <si>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</si>
  <si>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</si>
  <si>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</si>
  <si>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</si>
  <si>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</si>
  <si>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</si>
  <si>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</si>
  <si>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</si>
  <si>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</si>
  <si>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</si>
  <si>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</si>
  <si>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</si>
  <si>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</si>
  <si>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</si>
  <si>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</si>
  <si>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</si>
  <si>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</si>
  <si>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</si>
  <si>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</si>
  <si>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</si>
  <si>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</si>
  <si>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</si>
  <si>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</si>
  <si>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</si>
  <si>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</si>
  <si>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</si>
  <si>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</si>
  <si>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</si>
  <si>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</si>
  <si>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</si>
  <si>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</si>
  <si>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</si>
  <si>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</si>
  <si>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</si>
  <si>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</si>
  <si>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</si>
  <si>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</si>
  <si>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</si>
  <si>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</si>
  <si>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</si>
  <si>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</si>
  <si>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</si>
  <si>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</si>
  <si>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</si>
  <si>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</si>
  <si>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</si>
  <si>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</si>
  <si>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</si>
  <si>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</si>
  <si>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</si>
  <si>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</si>
  <si>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</si>
  <si>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</si>
  <si>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</si>
  <si>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</si>
  <si>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</si>
  <si>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</si>
  <si>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</si>
  <si>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</si>
  <si>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</si>
  <si>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</si>
  <si>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</si>
  <si>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</si>
  <si>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</si>
  <si>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</si>
  <si>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</si>
  <si>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</si>
  <si>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</si>
  <si>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</si>
  <si>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</si>
  <si>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</si>
  <si>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</si>
  <si>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</si>
  <si>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</si>
  <si>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</si>
  <si>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</si>
  <si>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</si>
  <si>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</si>
  <si>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</si>
  <si>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</si>
  <si>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</si>
  <si>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</si>
  <si>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</si>
  <si>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</si>
  <si>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</si>
  <si>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</si>
  <si>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</si>
  <si>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</si>
  <si>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</si>
  <si>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</si>
  <si>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</si>
  <si>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</si>
  <si>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</si>
  <si>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</si>
  <si>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</si>
  <si>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</si>
  <si>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</si>
  <si>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</si>
  <si>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</si>
  <si>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</si>
  <si>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</si>
  <si>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</si>
  <si>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</si>
  <si>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</si>
  <si>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</si>
  <si>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</si>
  <si>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</si>
  <si>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</si>
  <si>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</si>
  <si>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</si>
  <si>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</si>
  <si>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</si>
  <si>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</si>
  <si>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</si>
  <si>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</si>
  <si>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</si>
  <si>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</si>
  <si>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</si>
  <si>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</si>
  <si>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</si>
  <si>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</si>
  <si>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</si>
  <si>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</si>
  <si>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</si>
  <si>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</si>
  <si>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</si>
  <si>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</si>
  <si>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</si>
  <si>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</si>
  <si>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</si>
  <si>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</si>
  <si>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</si>
  <si>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</si>
  <si>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</si>
  <si>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</si>
  <si>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</si>
  <si>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</si>
  <si>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</si>
  <si>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</si>
  <si>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</si>
  <si>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</si>
  <si>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</si>
  <si>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</si>
  <si>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</si>
  <si>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</si>
  <si>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</si>
  <si>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</si>
  <si>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</si>
  <si>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</si>
  <si>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</si>
  <si>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</si>
  <si>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</si>
  <si>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</si>
  <si>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</si>
  <si>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</si>
  <si>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</si>
  <si>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</si>
  <si>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</si>
  <si>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</si>
  <si>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</si>
  <si>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</si>
  <si>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</si>
  <si>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</si>
  <si>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</si>
  <si>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</si>
  <si>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</si>
  <si>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</si>
  <si>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</si>
  <si>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</si>
  <si>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</si>
  <si>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</si>
  <si>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</si>
  <si>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</si>
  <si>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</si>
  <si>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</si>
  <si>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</si>
  <si>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</si>
  <si>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</si>
  <si>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</si>
  <si>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</si>
  <si>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</si>
  <si>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</si>
  <si>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</si>
  <si>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</si>
  <si>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</si>
  <si>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</si>
  <si>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</si>
  <si>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</si>
  <si>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</si>
  <si>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</si>
  <si>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</si>
  <si>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</si>
  <si>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</si>
  <si>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</si>
  <si>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</si>
  <si>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</si>
  <si>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</si>
  <si>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</si>
  <si>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</si>
  <si>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</si>
  <si>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</si>
  <si>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</si>
  <si>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</si>
  <si>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</si>
  <si>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</si>
  <si>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</si>
  <si>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</si>
  <si>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</si>
  <si>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</si>
  <si>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</si>
  <si>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</si>
  <si>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</si>
  <si>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</si>
  <si>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</si>
  <si>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</si>
  <si>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</si>
  <si>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</si>
  <si>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</si>
  <si>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</si>
  <si>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</si>
  <si>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</si>
  <si>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</si>
  <si>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</si>
  <si>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</si>
  <si>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</si>
  <si>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</si>
  <si>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</si>
  <si>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</si>
  <si>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</si>
  <si>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</si>
  <si>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</si>
  <si>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</si>
  <si>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</si>
  <si>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</si>
  <si>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</si>
  <si>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</si>
  <si>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</si>
  <si>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</si>
  <si>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</si>
  <si>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</si>
  <si>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</si>
  <si>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</si>
  <si>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</si>
  <si>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</si>
  <si>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</si>
  <si>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</si>
  <si>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</si>
  <si>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</si>
  <si>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</si>
  <si>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</si>
  <si>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</si>
  <si>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</si>
  <si>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</si>
  <si>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</si>
  <si>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</si>
  <si>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</si>
  <si>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</si>
  <si>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</si>
  <si>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</si>
  <si>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</si>
  <si>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</si>
  <si>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</si>
  <si>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</si>
  <si>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</si>
  <si>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</si>
  <si>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</si>
  <si>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</si>
  <si>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</si>
  <si>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</si>
  <si>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</si>
  <si>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</si>
  <si>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</si>
  <si>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</si>
  <si>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</si>
  <si>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</si>
  <si>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</si>
  <si>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</si>
  <si>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</si>
  <si>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</si>
  <si>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</si>
  <si>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</si>
  <si>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</si>
  <si>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</si>
  <si>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</si>
  <si>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</si>
  <si>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</si>
  <si>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</si>
  <si>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</si>
  <si>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</si>
  <si>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</si>
  <si>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</si>
  <si>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</si>
  <si>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</si>
  <si>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</si>
  <si>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</si>
  <si>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</si>
  <si>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</si>
  <si>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</si>
  <si>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</si>
  <si>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</si>
  <si>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</si>
  <si>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</si>
  <si>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</si>
  <si>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</si>
  <si>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</si>
  <si>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</si>
  <si>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</si>
  <si>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</si>
  <si>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</si>
  <si>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</si>
  <si>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</si>
  <si>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</si>
  <si>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</si>
  <si>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</si>
  <si>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</si>
  <si>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</si>
  <si>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</si>
  <si>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</si>
  <si>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</si>
  <si>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</si>
  <si>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</si>
  <si>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</si>
  <si>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</si>
  <si>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</si>
  <si>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</si>
  <si>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</si>
  <si>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</si>
  <si>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</si>
  <si>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</si>
  <si>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</si>
  <si>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</si>
  <si>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</si>
  <si>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</si>
  <si>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</si>
  <si>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</si>
  <si>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</si>
  <si>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</si>
  <si>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</si>
  <si>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</si>
  <si>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</si>
  <si>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</si>
  <si>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</si>
  <si>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</si>
  <si>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</si>
  <si>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</si>
  <si>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</si>
  <si>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</si>
  <si>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</si>
  <si>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</si>
  <si>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</si>
  <si>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</si>
  <si>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</si>
  <si>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</si>
  <si>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</si>
  <si>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</si>
  <si>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</si>
  <si>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</si>
  <si>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</si>
  <si>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</si>
  <si>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</si>
  <si>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</si>
  <si>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</si>
  <si>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</si>
  <si>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</si>
  <si>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</si>
  <si>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</si>
  <si>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</si>
  <si>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</si>
  <si>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</si>
  <si>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</si>
  <si>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</si>
  <si>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</si>
  <si>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</si>
  <si>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</si>
  <si>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</si>
  <si>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</si>
  <si>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</si>
  <si>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</si>
  <si>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</si>
  <si>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</si>
  <si>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</si>
  <si>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</si>
  <si>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</si>
  <si>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</si>
  <si>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</si>
  <si>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</si>
  <si>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</si>
  <si>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</si>
  <si>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</si>
  <si>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</si>
  <si>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</si>
  <si>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</si>
  <si>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</si>
  <si>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</si>
  <si>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</si>
  <si>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</si>
  <si>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</si>
  <si>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</si>
  <si>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</si>
  <si>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</si>
  <si>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</si>
  <si>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</si>
  <si>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</si>
  <si>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</si>
  <si>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</si>
  <si>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</si>
  <si>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</si>
  <si>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</si>
  <si>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</si>
  <si>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</si>
  <si>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</si>
  <si>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</si>
  <si>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</si>
  <si>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</si>
  <si>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</si>
  <si>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</si>
  <si>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</si>
  <si>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</si>
  <si>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</si>
  <si>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</si>
  <si>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</si>
  <si>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</si>
  <si>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</si>
  <si>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</si>
  <si>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</si>
  <si>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</si>
  <si>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</si>
  <si>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</si>
  <si>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</si>
  <si>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</si>
  <si>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</si>
  <si>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</si>
  <si>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</si>
  <si>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</si>
  <si>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</si>
  <si>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</si>
  <si>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</si>
  <si>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</si>
  <si>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</si>
  <si>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</si>
  <si>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</si>
  <si>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</si>
  <si>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</si>
  <si>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</si>
  <si>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</si>
  <si>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</si>
  <si>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</si>
  <si>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</si>
  <si>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</si>
  <si>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</si>
  <si>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</si>
  <si>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</si>
  <si>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</si>
  <si>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</si>
  <si>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</si>
  <si>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</si>
  <si>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</si>
  <si>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</si>
  <si>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</si>
  <si>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</si>
  <si>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</si>
  <si>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</si>
  <si>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</si>
  <si>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</si>
  <si>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</si>
  <si>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</si>
  <si>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</si>
  <si>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</si>
  <si>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</si>
  <si>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</si>
  <si>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</si>
  <si>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</si>
  <si>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</si>
  <si>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</si>
  <si>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</si>
  <si>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</si>
  <si>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</si>
  <si>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</si>
  <si>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</si>
  <si>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</si>
  <si>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</si>
  <si>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</si>
  <si>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</si>
  <si>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</si>
  <si>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</si>
  <si>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</si>
  <si>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</si>
  <si>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</si>
  <si>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</si>
  <si>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</si>
  <si>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</si>
  <si>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</si>
  <si>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</si>
  <si>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</si>
  <si>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</si>
  <si>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</si>
  <si>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</si>
  <si>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</si>
  <si>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</si>
  <si>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</si>
  <si>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</si>
  <si>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</si>
  <si>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</si>
  <si>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</si>
  <si>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</si>
  <si>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</si>
  <si>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</si>
  <si>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</si>
  <si>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</si>
  <si>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</si>
  <si>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</si>
  <si>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</si>
  <si>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</si>
  <si>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</si>
  <si>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</si>
  <si>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</si>
  <si>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</si>
  <si>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</si>
  <si>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</si>
  <si>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</si>
  <si>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</si>
  <si>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</si>
  <si>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</si>
  <si>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</si>
  <si>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</si>
  <si>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</si>
  <si>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</si>
  <si>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</si>
  <si>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</si>
  <si>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</si>
  <si>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</si>
  <si>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</si>
  <si>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</si>
  <si>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</si>
  <si>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</si>
  <si>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</si>
  <si>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</si>
  <si>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</si>
  <si>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</si>
  <si>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</si>
  <si>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</si>
  <si>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</si>
  <si>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</si>
  <si>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</si>
  <si>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</si>
  <si>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</si>
  <si>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</si>
  <si>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</si>
  <si>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</si>
  <si>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</si>
  <si>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</si>
  <si>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</si>
  <si>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</si>
  <si>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</si>
  <si>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</si>
  <si>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</si>
  <si>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</si>
  <si>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</si>
  <si>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</si>
  <si>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</si>
  <si>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</si>
  <si>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</si>
  <si>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</si>
  <si>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</si>
  <si>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</si>
  <si>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</si>
  <si>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</si>
  <si>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</si>
  <si>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</si>
  <si>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</si>
  <si>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</si>
  <si>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</si>
  <si>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</si>
  <si>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</si>
  <si>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</si>
  <si>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</si>
  <si>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</si>
  <si>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</si>
  <si>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</si>
  <si>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</si>
  <si>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</si>
  <si>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</si>
  <si>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</si>
  <si>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</si>
  <si>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</si>
  <si>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</si>
  <si>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</si>
  <si>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</si>
  <si>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</si>
  <si>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</si>
  <si>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</si>
  <si>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</si>
  <si>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</si>
  <si>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</si>
  <si>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</si>
  <si>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</si>
  <si>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</si>
  <si>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</si>
  <si>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</si>
  <si>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</si>
  <si>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</si>
  <si>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</si>
  <si>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</si>
  <si>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</si>
  <si>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</si>
  <si>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</si>
  <si>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</si>
  <si>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</si>
  <si>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</si>
  <si>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</si>
  <si>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</si>
  <si>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</si>
  <si>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</si>
  <si>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</si>
  <si>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</si>
  <si>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</si>
  <si>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</si>
  <si>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</si>
  <si>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</si>
  <si>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</si>
  <si>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</si>
  <si>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</si>
  <si>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</si>
  <si>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</si>
  <si>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</si>
  <si>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</si>
  <si>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</si>
  <si>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</si>
  <si>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</si>
  <si>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</si>
  <si>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</si>
  <si>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</si>
  <si>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</si>
  <si>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</si>
  <si>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</si>
  <si>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</si>
  <si>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</si>
  <si>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</si>
  <si>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</si>
  <si>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</si>
  <si>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</si>
  <si>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</si>
  <si>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</si>
  <si>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</si>
  <si>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</si>
  <si>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</si>
  <si>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</si>
  <si>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</si>
  <si>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</si>
  <si>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</si>
  <si>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</si>
  <si>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</si>
  <si>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</si>
  <si>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</si>
  <si>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</si>
  <si>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</si>
  <si>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</si>
  <si>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</si>
  <si>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</si>
  <si>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</si>
  <si>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</si>
  <si>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</si>
  <si>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</si>
  <si>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</si>
  <si>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</si>
  <si>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</si>
  <si>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</si>
  <si>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</si>
  <si>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</si>
  <si>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</si>
  <si>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</si>
  <si>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</si>
  <si>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</si>
  <si>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</si>
  <si>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</si>
  <si>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</si>
  <si>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</si>
  <si>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</si>
  <si>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</si>
  <si>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</si>
  <si>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</si>
  <si>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</si>
  <si>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</si>
  <si>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</si>
  <si>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</si>
  <si>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</si>
  <si>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</si>
  <si>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</si>
  <si>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</si>
  <si>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</si>
  <si>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</si>
  <si>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</si>
  <si>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</si>
  <si>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</si>
  <si>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</si>
  <si>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</si>
  <si>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</si>
  <si>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</si>
  <si>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</si>
  <si>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</si>
  <si>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</si>
  <si>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</si>
  <si>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</si>
  <si>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</si>
  <si>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</si>
  <si>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</si>
  <si>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</si>
  <si>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</si>
  <si>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</si>
  <si>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</si>
  <si>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</si>
  <si>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</si>
  <si>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</si>
  <si>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</si>
  <si>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</si>
  <si>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</si>
  <si>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</si>
  <si>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</si>
  <si>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</si>
  <si>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</si>
  <si>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</si>
  <si>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</si>
  <si>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</si>
  <si>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</si>
  <si>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</si>
  <si>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</si>
  <si>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</si>
  <si>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</si>
  <si>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</si>
  <si>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</si>
  <si>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</si>
  <si>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</si>
  <si>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</si>
  <si>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</si>
  <si>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</si>
  <si>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</si>
  <si>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</si>
  <si>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</si>
  <si>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</si>
  <si>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</si>
  <si>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</si>
  <si>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</si>
  <si>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</si>
  <si>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</si>
  <si>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</si>
  <si>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</si>
  <si>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</si>
  <si>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</si>
  <si>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</si>
  <si>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</si>
  <si>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</si>
  <si>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</si>
  <si>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</si>
  <si>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</si>
  <si>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</si>
  <si>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</si>
  <si>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</si>
  <si>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</si>
  <si>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</si>
  <si>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</si>
  <si>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</si>
  <si>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</si>
  <si>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</si>
  <si>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</si>
  <si>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</si>
  <si>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</si>
  <si>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</si>
  <si>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</si>
  <si>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</si>
  <si>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</si>
  <si>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</si>
  <si>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</si>
  <si>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</si>
  <si>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</si>
  <si>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</si>
  <si>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</si>
  <si>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</si>
  <si>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</si>
  <si>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</si>
  <si>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</si>
  <si>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</si>
  <si>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</si>
  <si>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</si>
  <si>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</si>
  <si>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</si>
  <si>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</si>
  <si>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</si>
  <si>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</si>
  <si>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</si>
  <si>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</si>
  <si>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</si>
  <si>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</si>
  <si>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</si>
  <si>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</si>
  <si>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</si>
  <si>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</si>
  <si>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</si>
  <si>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</si>
  <si>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</si>
  <si>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</si>
  <si>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</si>
  <si>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</si>
  <si>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</si>
  <si>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</si>
  <si>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</si>
  <si>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</si>
  <si>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</si>
  <si>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</si>
  <si>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</si>
  <si>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</si>
  <si>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</si>
  <si>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</si>
  <si>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</si>
  <si>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</si>
  <si>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</si>
  <si>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</si>
  <si>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</si>
  <si>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</si>
  <si>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</si>
  <si>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</si>
  <si>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</si>
  <si>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</si>
  <si>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</si>
  <si>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</si>
  <si>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</si>
  <si>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</si>
  <si>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</si>
  <si>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</si>
  <si>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</si>
  <si>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</si>
  <si>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</si>
  <si>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</si>
  <si>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</si>
  <si>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</si>
  <si>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</si>
  <si>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</si>
  <si>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</si>
  <si>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</si>
  <si>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</si>
  <si>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</si>
  <si>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</si>
  <si>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</si>
  <si>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</si>
  <si>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</si>
  <si>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</si>
  <si>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</si>
  <si>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</si>
  <si>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</si>
  <si>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</si>
  <si>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</si>
  <si>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</si>
  <si>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</si>
  <si>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</si>
  <si>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</si>
  <si>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</si>
  <si>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</si>
  <si>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</si>
  <si>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</si>
  <si>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</si>
  <si>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</si>
  <si>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</si>
  <si>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</si>
  <si>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</si>
  <si>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</si>
  <si>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</si>
  <si>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</si>
  <si>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</si>
  <si>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</si>
  <si>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</si>
  <si>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</si>
  <si>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</si>
  <si>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</si>
  <si>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</si>
  <si>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</si>
  <si>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</si>
  <si>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</si>
  <si>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</si>
  <si>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</si>
  <si>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</si>
  <si>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</si>
  <si>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</si>
  <si>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</si>
  <si>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</si>
  <si>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</si>
  <si>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</si>
  <si>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</si>
  <si>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</si>
  <si>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</si>
  <si>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</si>
  <si>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</si>
  <si>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</si>
  <si>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</si>
  <si>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</si>
  <si>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</si>
  <si>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</si>
  <si>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</si>
  <si>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</si>
  <si>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</si>
  <si>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</si>
  <si>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</si>
  <si>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</si>
  <si>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</si>
  <si>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</si>
  <si>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</si>
  <si>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</si>
  <si>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</si>
  <si>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</si>
  <si>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</si>
  <si>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</si>
  <si>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</si>
  <si>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</si>
  <si>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</si>
  <si>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</si>
  <si>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</si>
  <si>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</si>
  <si>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</si>
  <si>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</si>
  <si>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</si>
  <si>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</si>
  <si>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</si>
  <si>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</si>
  <si>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</si>
  <si>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</si>
  <si>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</si>
  <si>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</si>
  <si>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</si>
  <si>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</si>
  <si>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</si>
  <si>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</si>
  <si>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</si>
  <si>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</si>
  <si>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</si>
  <si>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</si>
  <si>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</si>
  <si>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</si>
  <si>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</si>
  <si>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</si>
  <si>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</si>
  <si>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</si>
  <si>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</si>
  <si>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</si>
  <si>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</si>
  <si>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</si>
  <si>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</si>
  <si>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</si>
  <si>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</si>
  <si>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</si>
  <si>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</si>
  <si>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</si>
  <si>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</si>
  <si>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</si>
  <si>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</si>
  <si>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</si>
  <si>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</si>
  <si>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</si>
  <si>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</si>
  <si>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</si>
  <si>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</si>
  <si>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</si>
  <si>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</si>
  <si>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</si>
  <si>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</si>
  <si>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</si>
  <si>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</si>
  <si>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</si>
  <si>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</si>
  <si>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</si>
  <si>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</si>
  <si>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</si>
  <si>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</si>
  <si>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</si>
  <si>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</si>
  <si>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</si>
  <si>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</si>
  <si>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</si>
  <si>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</si>
  <si>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</si>
  <si>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</si>
  <si>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</si>
  <si>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</si>
  <si>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</si>
  <si>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</si>
  <si>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</si>
  <si>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</si>
  <si>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</si>
  <si>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</si>
  <si>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</si>
  <si>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</si>
  <si>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</si>
  <si>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</si>
  <si>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</si>
  <si>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</si>
  <si>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</si>
  <si>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</si>
  <si>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</si>
  <si>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</si>
  <si>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</si>
  <si>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</si>
  <si>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</si>
  <si>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</si>
  <si>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</si>
  <si>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</si>
  <si>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</si>
  <si>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</si>
  <si>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</si>
  <si>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</si>
  <si>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</si>
  <si>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</si>
  <si>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</si>
  <si>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</si>
  <si>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</si>
  <si>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</si>
  <si>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</si>
  <si>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</si>
  <si>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</si>
  <si>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</si>
  <si>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</si>
  <si>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</si>
  <si>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</si>
  <si>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</si>
  <si>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</si>
  <si>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</si>
  <si>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</si>
  <si>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</si>
  <si>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</si>
  <si>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</si>
  <si>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</si>
  <si>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</si>
  <si>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</si>
  <si>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</si>
  <si>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</si>
  <si>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</si>
  <si>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</si>
  <si>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</si>
  <si>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</si>
  <si>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</si>
  <si>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</si>
  <si>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</si>
  <si>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</si>
  <si>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</si>
  <si>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</si>
  <si>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</si>
  <si>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</si>
  <si>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</si>
  <si>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</si>
  <si>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</si>
  <si>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</si>
  <si>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</si>
  <si>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</si>
  <si>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</si>
  <si>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</si>
  <si>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</si>
  <si>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</si>
  <si>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</si>
  <si>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</si>
  <si>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</si>
  <si>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</si>
  <si>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</si>
  <si>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</si>
  <si>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</si>
  <si>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</si>
  <si>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</si>
  <si>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</si>
  <si>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</si>
  <si>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</si>
  <si>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</si>
  <si>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</si>
  <si>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</si>
  <si>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</si>
  <si>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</si>
  <si>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</si>
  <si>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</si>
  <si>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</si>
  <si>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</si>
  <si>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</si>
  <si>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</si>
  <si>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</si>
  <si>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</si>
  <si>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</si>
  <si>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</si>
  <si>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</si>
  <si>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</si>
  <si>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</si>
  <si>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</si>
  <si>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</si>
  <si>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</si>
  <si>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</si>
  <si>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</si>
  <si>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</si>
  <si>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</si>
  <si>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</si>
  <si>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</si>
  <si>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</si>
  <si>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</si>
  <si>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</si>
  <si>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</si>
  <si>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</si>
  <si>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</si>
  <si>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</si>
  <si>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</si>
  <si>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</si>
  <si>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</si>
  <si>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</si>
  <si>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</si>
  <si>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</si>
  <si>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</si>
  <si>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</si>
  <si>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</si>
  <si>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</si>
  <si>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</si>
  <si>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</si>
  <si>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</si>
  <si>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</si>
  <si>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</si>
  <si>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</si>
  <si>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</si>
  <si>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</si>
  <si>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</si>
  <si>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</si>
  <si>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</si>
  <si>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</si>
  <si>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</si>
  <si>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</si>
  <si>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</si>
  <si>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</si>
  <si>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</si>
  <si>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</si>
  <si>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</si>
  <si>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</si>
  <si>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</si>
  <si>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</si>
  <si>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</si>
  <si>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</si>
  <si>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</si>
  <si>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</si>
  <si>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</si>
  <si>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</si>
  <si>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</si>
  <si>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</si>
  <si>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</si>
  <si>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</si>
  <si>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</si>
  <si>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</si>
  <si>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</si>
  <si>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</si>
  <si>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</si>
  <si>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</si>
  <si>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</si>
  <si>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</si>
  <si>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</si>
  <si>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</si>
  <si>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</si>
  <si>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</si>
  <si>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</si>
  <si>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</si>
  <si>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</si>
  <si>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</si>
  <si>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</si>
  <si>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</si>
  <si>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</si>
  <si>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</si>
  <si>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</si>
  <si>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</si>
  <si>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</si>
  <si>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</si>
  <si>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</si>
  <si>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</si>
  <si>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</si>
  <si>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</si>
  <si>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</si>
  <si>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</si>
  <si>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</si>
  <si>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</si>
  <si>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</si>
  <si>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</si>
  <si>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</si>
  <si>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</si>
  <si>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</si>
  <si>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</si>
  <si>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</si>
  <si>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</si>
  <si>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</si>
  <si>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</si>
  <si>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</si>
  <si>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</si>
  <si>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</si>
  <si>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</si>
  <si>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</si>
  <si>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</si>
  <si>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</si>
  <si>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</si>
  <si>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</si>
  <si>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</si>
  <si>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</si>
  <si>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</si>
  <si>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</si>
  <si>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</si>
  <si>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</si>
  <si>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</si>
  <si>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</si>
  <si>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</si>
  <si>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</si>
  <si>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</si>
  <si>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</si>
  <si>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</si>
  <si>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</si>
  <si>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</si>
  <si>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</si>
  <si>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</si>
  <si>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</si>
  <si>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</si>
  <si>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</si>
  <si>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</si>
  <si>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</si>
  <si>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</si>
  <si>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</si>
  <si>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</si>
  <si>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</si>
  <si>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</si>
  <si>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</si>
  <si>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</si>
  <si>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</si>
  <si>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</si>
  <si>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</si>
  <si>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</si>
  <si>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</si>
  <si>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</si>
  <si>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</si>
  <si>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</si>
  <si>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</si>
  <si>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</si>
  <si>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</si>
  <si>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</si>
  <si>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</si>
  <si>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</si>
  <si>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</si>
  <si>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</si>
  <si>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</si>
  <si>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</si>
  <si>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</si>
  <si>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</si>
  <si>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</si>
  <si>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</si>
  <si>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</si>
  <si>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</si>
  <si>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</si>
  <si>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</si>
  <si>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</si>
  <si>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</si>
  <si>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</si>
  <si>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</si>
  <si>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</si>
  <si>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</si>
  <si>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</si>
  <si>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</si>
  <si>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</si>
  <si>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</si>
  <si>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</si>
  <si>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</si>
  <si>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</si>
  <si>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</si>
  <si>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</si>
  <si>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</si>
  <si>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</si>
  <si>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</si>
  <si>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</si>
  <si>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</si>
  <si>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</si>
  <si>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</si>
  <si>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</si>
  <si>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</si>
  <si>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</si>
  <si>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</si>
  <si>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</si>
  <si>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</si>
  <si>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</si>
  <si>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</si>
  <si>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</si>
  <si>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</si>
  <si>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</si>
  <si>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</si>
  <si>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</si>
  <si>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</si>
  <si>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</si>
  <si>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</si>
  <si>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</si>
  <si>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</si>
  <si>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</si>
  <si>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</si>
  <si>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</si>
  <si>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</si>
  <si>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</si>
  <si>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</si>
  <si>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</si>
  <si>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</si>
  <si>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</si>
  <si>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</si>
  <si>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</si>
  <si>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</si>
  <si>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</si>
  <si>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</si>
  <si>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</si>
  <si>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</si>
  <si>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</si>
  <si>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</si>
  <si>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</si>
  <si>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</si>
  <si>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</si>
  <si>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</si>
  <si>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</si>
  <si>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</si>
  <si>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</si>
  <si>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</si>
  <si>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</si>
  <si>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</si>
  <si>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</si>
  <si>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</si>
  <si>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</si>
  <si>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</si>
  <si>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</si>
  <si>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</si>
  <si>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</si>
  <si>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</si>
  <si>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</si>
  <si>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</si>
  <si>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</si>
  <si>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</si>
  <si>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</si>
  <si>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</si>
  <si>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</si>
  <si>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</si>
  <si>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</si>
  <si>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</si>
  <si>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</si>
  <si>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</si>
  <si>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</si>
  <si>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</si>
  <si>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</si>
  <si>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</si>
  <si>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</si>
  <si>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</si>
  <si>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</si>
  <si>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</si>
  <si>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</si>
  <si>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</si>
  <si>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</si>
  <si>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</si>
  <si>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</si>
  <si>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</si>
  <si>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</si>
  <si>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</si>
  <si>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</si>
  <si>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</si>
  <si>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</si>
  <si>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</si>
  <si>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</si>
  <si>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</si>
  <si>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</si>
  <si>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</si>
  <si>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</si>
  <si>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</si>
  <si>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</si>
  <si>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</si>
  <si>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</si>
  <si>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</si>
  <si>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</si>
  <si>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</si>
  <si>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</si>
  <si>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</si>
  <si>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</si>
  <si>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</si>
  <si>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</si>
  <si>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</si>
  <si>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</si>
  <si>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</si>
  <si>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</si>
  <si>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</si>
  <si>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</si>
  <si>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</si>
  <si>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</si>
  <si>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</si>
  <si>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</si>
  <si>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</si>
  <si>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</si>
  <si>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</si>
  <si>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</si>
  <si>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</si>
  <si>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</si>
  <si>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</si>
  <si>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</si>
  <si>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</si>
  <si>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</si>
  <si>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</si>
  <si>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</si>
  <si>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</si>
  <si>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</si>
  <si>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</si>
  <si>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</si>
  <si>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</si>
  <si>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</si>
  <si>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</si>
  <si>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</si>
  <si>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</si>
  <si>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</si>
  <si>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</si>
  <si>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</si>
  <si>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</si>
  <si>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</si>
  <si>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</si>
  <si>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</si>
  <si>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</si>
  <si>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</si>
  <si>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</si>
  <si>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</si>
  <si>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</si>
  <si>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</si>
  <si>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</si>
  <si>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</si>
  <si>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</si>
  <si>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</si>
  <si>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</si>
  <si>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</si>
  <si>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</si>
  <si>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</si>
  <si>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</si>
  <si>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</si>
  <si>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</si>
  <si>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</si>
  <si>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</si>
  <si>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</si>
  <si>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</si>
  <si>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</si>
  <si>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</si>
  <si>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</si>
  <si>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</si>
  <si>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</si>
  <si>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</si>
  <si>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</si>
  <si>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</si>
  <si>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</si>
  <si>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</si>
  <si>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</si>
  <si>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</si>
  <si>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</si>
  <si>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</si>
  <si>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</si>
  <si>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</si>
  <si>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</si>
  <si>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</si>
  <si>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</si>
  <si>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</si>
  <si>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</si>
  <si>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</si>
  <si>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</si>
  <si>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</si>
  <si>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</si>
  <si>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</si>
  <si>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</si>
  <si>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</si>
  <si>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</si>
  <si>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</si>
  <si>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</si>
  <si>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</si>
  <si>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</si>
  <si>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</si>
  <si>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</si>
  <si>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</si>
  <si>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</si>
  <si>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</si>
  <si>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</si>
  <si>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</si>
  <si>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</si>
  <si>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</si>
  <si>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</si>
  <si>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</si>
  <si>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</si>
  <si>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</si>
  <si>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</si>
  <si>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</si>
  <si>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</si>
  <si>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</si>
  <si>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</si>
  <si>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</si>
  <si>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</si>
  <si>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</si>
  <si>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</si>
  <si>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</si>
  <si>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</si>
  <si>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</si>
  <si>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</si>
  <si>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</si>
  <si>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</si>
  <si>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</si>
  <si>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</si>
  <si>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</si>
  <si>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</si>
  <si>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</si>
  <si>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</si>
  <si>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</si>
  <si>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</si>
  <si>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</si>
  <si>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</si>
  <si>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</si>
  <si>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</si>
  <si>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</si>
  <si>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</si>
  <si>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</si>
  <si>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</si>
  <si>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</si>
  <si>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</si>
  <si>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</si>
  <si>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</si>
  <si>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</si>
  <si>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</si>
  <si>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</si>
  <si>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</si>
  <si>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</si>
  <si>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</si>
  <si>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</si>
  <si>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</si>
  <si>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</si>
  <si>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</si>
  <si>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</si>
  <si>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</si>
  <si>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</si>
  <si>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</si>
  <si>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</si>
  <si>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</si>
  <si>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</si>
  <si>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</si>
  <si>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</si>
  <si>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</si>
  <si>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</si>
  <si>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</si>
  <si>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</si>
  <si>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</si>
  <si>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</si>
  <si>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</si>
  <si>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</si>
  <si>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</si>
  <si>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</si>
  <si>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</si>
  <si>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</si>
  <si>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</si>
  <si>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</si>
  <si>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</si>
  <si>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</si>
  <si>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</si>
  <si>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</si>
  <si>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</si>
  <si>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</si>
  <si>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</si>
  <si>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</si>
  <si>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</si>
  <si>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</si>
  <si>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</si>
  <si>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</si>
  <si>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</si>
  <si>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</si>
  <si>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</si>
  <si>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</si>
  <si>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</si>
  <si>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</si>
  <si>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</si>
  <si>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</si>
  <si>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</si>
  <si>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</si>
  <si>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</si>
  <si>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</si>
  <si>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</si>
  <si>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</si>
  <si>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</si>
  <si>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</si>
  <si>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</si>
  <si>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</si>
  <si>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</si>
  <si>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</si>
  <si>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</si>
  <si>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</si>
  <si>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</si>
  <si>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</si>
  <si>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</si>
  <si>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</si>
  <si>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</si>
  <si>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</si>
  <si>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</si>
  <si>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</si>
  <si>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</si>
  <si>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</si>
  <si>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</si>
  <si>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</si>
  <si>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</si>
  <si>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</si>
  <si>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</si>
  <si>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</si>
  <si>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</si>
  <si>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</si>
  <si>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</si>
  <si>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</si>
  <si>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</si>
  <si>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</si>
  <si>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</si>
  <si>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</si>
  <si>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</si>
  <si>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</si>
  <si>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</si>
  <si>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</si>
  <si>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</si>
  <si>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</si>
  <si>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</si>
  <si>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</si>
  <si>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</si>
  <si>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</si>
  <si>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</si>
  <si>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</si>
  <si>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</si>
  <si>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</si>
  <si>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</si>
  <si>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</si>
  <si>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</si>
  <si>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</si>
  <si>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</si>
  <si>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</si>
  <si>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</si>
  <si>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</si>
  <si>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</si>
  <si>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</si>
  <si>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</si>
  <si>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</si>
  <si>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</si>
  <si>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</si>
  <si>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</si>
  <si>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</si>
  <si>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</si>
  <si>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</si>
  <si>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</si>
  <si>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</si>
  <si>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</si>
  <si>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</si>
  <si>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</si>
  <si>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</si>
  <si>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</si>
  <si>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</si>
  <si>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</si>
  <si>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</si>
  <si>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</si>
  <si>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</si>
  <si>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</si>
  <si>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</si>
  <si>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</si>
  <si>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</si>
  <si>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</si>
  <si>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</si>
  <si>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</si>
  <si>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</si>
  <si>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</si>
  <si>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</si>
  <si>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</si>
  <si>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</si>
  <si>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</si>
  <si>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</si>
  <si>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</si>
  <si>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</si>
  <si>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</si>
  <si>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</si>
  <si>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</si>
  <si>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</si>
  <si>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</si>
  <si>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</si>
  <si>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</si>
  <si>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</si>
  <si>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</si>
  <si>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</si>
  <si>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</si>
  <si>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</si>
  <si>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</si>
  <si>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</si>
  <si>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</si>
  <si>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</si>
  <si>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</si>
  <si>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</si>
  <si>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</si>
  <si>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</si>
  <si>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</si>
  <si>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</si>
  <si>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</si>
  <si>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</si>
  <si>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</si>
  <si>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</si>
  <si>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</si>
  <si>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</si>
  <si>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</si>
  <si>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</si>
  <si>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</si>
  <si>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</si>
  <si>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</si>
  <si>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</si>
  <si>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</si>
  <si>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</si>
  <si>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</si>
  <si>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</si>
  <si>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</si>
  <si>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</si>
  <si>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</si>
  <si>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</si>
  <si>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</si>
  <si>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</si>
  <si>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</si>
  <si>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</si>
  <si>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</si>
  <si>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</si>
  <si>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</si>
  <si>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</si>
  <si>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</si>
  <si>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</si>
  <si>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</si>
  <si>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</si>
  <si>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</si>
  <si>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</si>
  <si>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</si>
  <si>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</si>
  <si>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</si>
  <si>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</si>
  <si>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</si>
  <si>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</si>
  <si>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</si>
  <si>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</si>
  <si>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</si>
  <si>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</si>
  <si>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</si>
  <si>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</si>
  <si>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</si>
  <si>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</si>
  <si>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</si>
  <si>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</si>
  <si>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</si>
  <si>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</si>
  <si>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</si>
  <si>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</si>
  <si>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</si>
  <si>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</si>
  <si>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</si>
  <si>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</si>
  <si>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</si>
  <si>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</si>
  <si>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</si>
  <si>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</si>
  <si>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</si>
  <si>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</si>
  <si>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</si>
  <si>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</si>
  <si>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</si>
  <si>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</si>
  <si>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</si>
  <si>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</si>
  <si>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</si>
  <si>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</si>
  <si>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</si>
  <si>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</si>
  <si>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</si>
  <si>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</si>
  <si>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</si>
  <si>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</si>
  <si>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</si>
  <si>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</si>
  <si>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</si>
  <si>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</si>
  <si>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</si>
  <si>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</si>
  <si>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</si>
  <si>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</si>
  <si>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</si>
  <si>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</si>
  <si>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</si>
  <si>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</si>
  <si>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</si>
  <si>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</si>
  <si>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</si>
  <si>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</si>
  <si>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</si>
  <si>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</si>
  <si>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</si>
  <si>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</si>
  <si>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</si>
  <si>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</si>
  <si>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</si>
  <si>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</si>
  <si>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</si>
  <si>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</si>
  <si>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</si>
  <si>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</si>
  <si>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</si>
  <si>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</si>
  <si>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</si>
  <si>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</si>
  <si>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</si>
  <si>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</si>
  <si>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</si>
  <si>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</si>
  <si>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</si>
  <si>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</si>
  <si>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</si>
  <si>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</si>
  <si>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</si>
  <si>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</si>
  <si>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</si>
  <si>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</si>
  <si>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</si>
  <si>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</si>
  <si>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</si>
  <si>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</si>
  <si>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</si>
  <si>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</si>
  <si>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</si>
  <si>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Ⅷ-顺1</t>
  </si>
  <si>
    <t>与房产证证载一致</t>
  </si>
  <si>
    <t>总价</t>
  </si>
  <si>
    <t>商业</t>
  </si>
  <si>
    <t>万元</t>
  </si>
  <si>
    <t>否</t>
  </si>
  <si>
    <t>无租约</t>
  </si>
  <si>
    <t>利息：取LPR加浮动点数</t>
  </si>
  <si>
    <t>估价对象1（结果表）</t>
  </si>
  <si>
    <t>钢混</t>
  </si>
  <si>
    <t>非生产用房</t>
  </si>
  <si>
    <t>已包含在土地取得成本中</t>
  </si>
  <si>
    <t>不临58条商业街</t>
  </si>
  <si>
    <t>比较法-商业</t>
  </si>
  <si>
    <t>收益法</t>
  </si>
  <si>
    <t>商务金融用地（商业类）</t>
  </si>
  <si>
    <t>20-30（含）</t>
  </si>
  <si>
    <t>好</t>
    <phoneticPr fontId="25" type="noConversion"/>
  </si>
  <si>
    <t>较好</t>
    <phoneticPr fontId="25" type="noConversion"/>
  </si>
  <si>
    <t>一般</t>
    <phoneticPr fontId="25" type="noConversion"/>
  </si>
  <si>
    <t>较差</t>
    <phoneticPr fontId="25" type="noConversion"/>
  </si>
  <si>
    <t>差</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</si>
  <si>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</si>
  <si>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</si>
  <si>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</si>
  <si>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</si>
  <si>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</si>
  <si>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</si>
  <si>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</si>
  <si>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</si>
  <si>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1层</t>
  </si>
  <si>
    <t>1-2层</t>
  </si>
  <si>
    <t>旭辉空港中心</t>
    <phoneticPr fontId="4" type="noConversion"/>
  </si>
  <si>
    <t>旭辉26街区</t>
    <phoneticPr fontId="4" type="noConversion"/>
  </si>
  <si>
    <t>较好</t>
    <phoneticPr fontId="20" type="noConversion"/>
  </si>
  <si>
    <t>七通</t>
  </si>
  <si>
    <t>七通</t>
    <phoneticPr fontId="20" type="noConversion"/>
  </si>
  <si>
    <t>一般</t>
    <phoneticPr fontId="20" type="noConversion"/>
  </si>
  <si>
    <t>写字楼配套</t>
  </si>
  <si>
    <t>写字楼配套</t>
    <phoneticPr fontId="25" type="noConversion"/>
  </si>
  <si>
    <t>住宅配套</t>
    <phoneticPr fontId="25" type="noConversion"/>
  </si>
  <si>
    <t>得房率</t>
    <phoneticPr fontId="25" type="noConversion"/>
  </si>
  <si>
    <t>较高</t>
    <phoneticPr fontId="25" type="noConversion"/>
  </si>
  <si>
    <t>钢混</t>
    <phoneticPr fontId="25" type="noConversion"/>
  </si>
  <si>
    <t>普通</t>
  </si>
  <si>
    <t>普通</t>
    <phoneticPr fontId="25" type="noConversion"/>
  </si>
  <si>
    <t>可餐饮</t>
  </si>
  <si>
    <t>可餐饮</t>
    <phoneticPr fontId="25" type="noConversion"/>
  </si>
  <si>
    <t>不可餐饮</t>
    <phoneticPr fontId="25" type="noConversion"/>
  </si>
  <si>
    <t>30-40（含）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</si>
</sst>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58" fontId="39"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135" fillId="0"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23</xdr:row>
      <xdr:rowOff>76428</xdr:rowOff>
    </xdr:to>
    <xdr:pic>
      <xdr:nvPicPr>
        <xdr:cNvPr id="3" name="图片 2">
          <a:extLst>
            <a:ext uri="{FF2B5EF4-FFF2-40B4-BE49-F238E27FC236}">
              <a16:creationId xmlns:a16="http://schemas.microsoft.com/office/drawing/2014/main" id="{48D2CB6E-F316-477E-B2A9-4A66C53F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019778"/>
        </a:xfrm>
        <a:prstGeom prst="rect">
          <a:avLst/>
        </a:prstGeom>
      </xdr:spPr>
    </xdr:pic>
    <xdr:clientData/>
  </xdr:twoCellAnchor>
  <xdr:twoCellAnchor editAs="oneCell">
    <xdr:from>
      <xdr:col>0</xdr:col>
      <xdr:colOff>0</xdr:colOff>
      <xdr:row>25</xdr:row>
      <xdr:rowOff>0</xdr:rowOff>
    </xdr:from>
    <xdr:to>
      <xdr:col>11</xdr:col>
      <xdr:colOff>228600</xdr:colOff>
      <xdr:row>48</xdr:row>
      <xdr:rowOff>113186</xdr:rowOff>
    </xdr:to>
    <xdr:pic>
      <xdr:nvPicPr>
        <xdr:cNvPr id="5" name="图片 4">
          <a:extLst>
            <a:ext uri="{FF2B5EF4-FFF2-40B4-BE49-F238E27FC236}">
              <a16:creationId xmlns:a16="http://schemas.microsoft.com/office/drawing/2014/main" id="{69DAEC2D-B5A7-490E-B100-D50CF4C0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056536"/>
        </a:xfrm>
        <a:prstGeom prst="rect">
          <a:avLst/>
        </a:prstGeom>
      </xdr:spPr>
    </xdr:pic>
    <xdr:clientData/>
  </xdr:twoCellAnchor>
  <xdr:twoCellAnchor editAs="oneCell">
    <xdr:from>
      <xdr:col>0</xdr:col>
      <xdr:colOff>0</xdr:colOff>
      <xdr:row>50</xdr:row>
      <xdr:rowOff>0</xdr:rowOff>
    </xdr:from>
    <xdr:to>
      <xdr:col>11</xdr:col>
      <xdr:colOff>228600</xdr:colOff>
      <xdr:row>75</xdr:row>
      <xdr:rowOff>24600</xdr:rowOff>
    </xdr:to>
    <xdr:pic>
      <xdr:nvPicPr>
        <xdr:cNvPr id="7" name="图片 6">
          <a:extLst>
            <a:ext uri="{FF2B5EF4-FFF2-40B4-BE49-F238E27FC236}">
              <a16:creationId xmlns:a16="http://schemas.microsoft.com/office/drawing/2014/main" id="{D5DDC5BD-5768-49F9-B42B-A9788CCB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72500"/>
          <a:ext cx="7772400" cy="43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估价对象为北京市房地产，为XX所有。根据《》[]，估价对象建筑面积为437.43平方米。根据《》[]，估价对象（分摊）出让国有建设用地使用权面积为平方米。估价对象用途为。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2022年3月11日（评估专业人员实地查勘之日）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437.43</v>
      </c>
    </row>
    <row r="19" spans="1:2">
      <c r="A19" s="1181" t="s">
        <v>1056</v>
      </c>
      <c r="B19" s="1168">
        <f ca="1">'预评函-2（1）'!D7</f>
        <v>1389</v>
      </c>
    </row>
    <row r="20" spans="1:2">
      <c r="A20" s="1181" t="s">
        <v>1094</v>
      </c>
      <c r="B20" s="1168" t="str">
        <f>'预评函-2（1）'!C7</f>
        <v>总价（万元）</v>
      </c>
    </row>
    <row r="21" spans="1:2">
      <c r="A21" s="1181" t="s">
        <v>1057</v>
      </c>
      <c r="B21" s="1168">
        <f ca="1">'预评函-2（1）'!D9</f>
        <v>31754</v>
      </c>
    </row>
    <row r="22" spans="1:2">
      <c r="A22" s="1181" t="s">
        <v>1058</v>
      </c>
      <c r="B22" s="1168" t="str">
        <f ca="1">'预评函-2（1）'!D8</f>
        <v>壹仟叁佰捌拾玖万元整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1389</v>
      </c>
    </row>
    <row r="30" spans="1:2">
      <c r="A30" s="1181" t="s">
        <v>1064</v>
      </c>
      <c r="B30" s="1168" t="str">
        <f ca="1">'预评函-2（1）'!D16</f>
        <v>壹仟叁佰捌拾玖万元整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1145</v>
      </c>
    </row>
    <row r="38" spans="1:2">
      <c r="A38" s="1181" t="s">
        <v>1072</v>
      </c>
      <c r="B38" s="1168">
        <f ca="1">'预评函-2（2）'!E4</f>
        <v>26176</v>
      </c>
    </row>
    <row r="39" spans="1:2">
      <c r="A39" s="1181" t="s">
        <v>1073</v>
      </c>
      <c r="B39" s="1168" t="str">
        <f ca="1">'预评函-2（2）'!D5</f>
        <v>壹仟壹佰肆拾伍万元整</v>
      </c>
    </row>
    <row r="40" spans="1:2">
      <c r="A40" s="1181" t="s">
        <v>1074</v>
      </c>
      <c r="B40" s="1168">
        <f ca="1">'预评函-2（2）'!F4</f>
        <v>244</v>
      </c>
    </row>
    <row r="41" spans="1:2">
      <c r="A41" s="1181" t="s">
        <v>1075</v>
      </c>
      <c r="B41" s="1168">
        <f ca="1">'预评函-2（2）'!G4</f>
        <v>5578</v>
      </c>
    </row>
    <row r="42" spans="1:2" s="1178" customFormat="1" ht="15.75" thickBot="1">
      <c r="A42" s="1182" t="s">
        <v>1076</v>
      </c>
      <c r="B42" s="1170" t="str">
        <f ca="1">'预评函-2（2）'!F5</f>
        <v>贰佰肆拾肆万元整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31754</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20" sqref="I2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44631</v>
      </c>
      <c r="C2" s="2861" t="s">
        <v>1473</v>
      </c>
      <c r="D2" s="2562">
        <f>B2</f>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101</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2664</v>
      </c>
      <c r="E7" s="825"/>
      <c r="F7" s="825"/>
      <c r="G7" s="1164"/>
    </row>
    <row r="8" spans="1:17" ht="13.5" thickTop="1">
      <c r="A8" s="3389" t="s">
        <v>1483</v>
      </c>
      <c r="B8" s="1409" t="s">
        <v>1484</v>
      </c>
      <c r="C8" s="3401"/>
      <c r="D8" s="3402"/>
      <c r="E8" s="2571" t="s">
        <v>1485</v>
      </c>
      <c r="F8" s="2572" t="s">
        <v>1486</v>
      </c>
      <c r="G8" s="2573">
        <f>C6</f>
        <v>101</v>
      </c>
    </row>
    <row r="9" spans="1:17" ht="25.5">
      <c r="A9" s="3389"/>
      <c r="B9" s="259" t="s">
        <v>1487</v>
      </c>
      <c r="C9" s="1401"/>
      <c r="D9" s="1410" t="s">
        <v>2978</v>
      </c>
      <c r="E9" s="2867" t="s">
        <v>1488</v>
      </c>
      <c r="F9" s="2574" t="s">
        <v>485</v>
      </c>
      <c r="G9" s="2575"/>
    </row>
    <row r="10" spans="1:17" ht="13.5" thickBot="1">
      <c r="A10" s="3389"/>
      <c r="B10" s="259" t="s">
        <v>1489</v>
      </c>
      <c r="C10" s="3403"/>
      <c r="D10" s="3404"/>
      <c r="E10" s="2868" t="s">
        <v>1490</v>
      </c>
      <c r="F10" s="2576" t="s">
        <v>2977</v>
      </c>
      <c r="G10" s="2577"/>
    </row>
    <row r="11" spans="1:17" ht="13.5" thickBot="1">
      <c r="A11" s="3389"/>
      <c r="B11" s="1412" t="s">
        <v>1491</v>
      </c>
      <c r="C11" s="3405"/>
      <c r="D11" s="3406"/>
      <c r="E11" s="811"/>
      <c r="F11" s="811"/>
      <c r="G11" s="830"/>
    </row>
    <row r="12" spans="1:17" ht="13.5" thickBot="1">
      <c r="A12" s="3392" t="s">
        <v>2771</v>
      </c>
      <c r="B12" s="2869" t="s">
        <v>1492</v>
      </c>
      <c r="C12" s="808">
        <v>437.43</v>
      </c>
      <c r="D12" s="1413" t="s">
        <v>1493</v>
      </c>
      <c r="E12" s="1414"/>
      <c r="F12" s="1415"/>
      <c r="G12" s="830"/>
    </row>
    <row r="13" spans="1:17" ht="21" customHeight="1" thickBot="1">
      <c r="A13" s="3393"/>
      <c r="B13" s="2870" t="s">
        <v>1494</v>
      </c>
      <c r="C13" s="809"/>
      <c r="D13" s="1416" t="s">
        <v>1495</v>
      </c>
      <c r="E13" s="1417"/>
      <c r="F13" s="811"/>
      <c r="G13" s="830"/>
      <c r="I13" s="3378"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7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v>
      </c>
      <c r="D15" s="825"/>
      <c r="E15" s="825"/>
      <c r="F15" s="825"/>
      <c r="G15" s="1164"/>
      <c r="I15" s="337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7" t="s">
        <v>1502</v>
      </c>
      <c r="C17" s="3408"/>
      <c r="D17" s="3409" t="s">
        <v>1503</v>
      </c>
      <c r="E17" s="341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c r="I19" s="2874">
        <f>196845*4*1.08^3</f>
        <v>991872.03456000017</v>
      </c>
    </row>
    <row r="20" spans="1:66">
      <c r="A20" s="1421" t="s">
        <v>1506</v>
      </c>
      <c r="B20" s="2585" t="s">
        <v>1507</v>
      </c>
      <c r="C20" s="2586"/>
      <c r="D20" s="2587" t="s">
        <v>1507</v>
      </c>
      <c r="E20" s="2586"/>
      <c r="F20" s="811"/>
      <c r="G20" s="1287"/>
      <c r="I20" s="2874">
        <f>I19/365/C12</f>
        <v>6.2123256953832779</v>
      </c>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8" t="s">
        <v>2770</v>
      </c>
      <c r="B24" s="3388"/>
      <c r="C24" s="3388"/>
      <c r="D24" s="3388"/>
      <c r="E24" s="3388"/>
      <c r="F24" s="3388"/>
      <c r="G24" s="338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5" t="s">
        <v>1516</v>
      </c>
      <c r="D28" s="3396"/>
      <c r="E28" s="801"/>
      <c r="F28" s="803" t="s">
        <v>1516</v>
      </c>
      <c r="G28" s="801"/>
      <c r="K28" s="2874"/>
    </row>
    <row r="29" spans="1:66">
      <c r="A29" s="804" t="s">
        <v>1517</v>
      </c>
      <c r="B29" s="798"/>
      <c r="C29" s="3397" t="s">
        <v>1518</v>
      </c>
      <c r="D29" s="3398"/>
      <c r="E29" s="798"/>
      <c r="F29" s="804" t="s">
        <v>1518</v>
      </c>
      <c r="G29" s="798"/>
      <c r="K29" s="2874"/>
    </row>
    <row r="30" spans="1:66">
      <c r="A30" s="804" t="s">
        <v>1519</v>
      </c>
      <c r="B30" s="798"/>
      <c r="C30" s="3397" t="s">
        <v>1519</v>
      </c>
      <c r="D30" s="3398"/>
      <c r="E30" s="798"/>
      <c r="F30" s="804" t="s">
        <v>1520</v>
      </c>
      <c r="G30" s="798"/>
      <c r="K30" s="2874"/>
    </row>
    <row r="31" spans="1:66">
      <c r="A31" s="804" t="s">
        <v>1521</v>
      </c>
      <c r="B31" s="798"/>
      <c r="C31" s="3385" t="s">
        <v>1522</v>
      </c>
      <c r="D31" s="811"/>
      <c r="E31" s="2597" t="str">
        <f>E32&amp;" "&amp;E33&amp;" "&amp;E34&amp;" "&amp;E35</f>
        <v xml:space="preserve">   </v>
      </c>
      <c r="F31" s="804" t="s">
        <v>1523</v>
      </c>
      <c r="G31" s="798"/>
    </row>
    <row r="32" spans="1:66">
      <c r="A32" s="804" t="s">
        <v>1524</v>
      </c>
      <c r="B32" s="798"/>
      <c r="C32" s="3386"/>
      <c r="D32" s="259" t="s">
        <v>1525</v>
      </c>
      <c r="E32" s="798"/>
      <c r="F32" s="804" t="s">
        <v>1526</v>
      </c>
      <c r="G32" s="798"/>
    </row>
    <row r="33" spans="1:7" ht="24.75" thickBot="1">
      <c r="A33" s="805" t="s">
        <v>1527</v>
      </c>
      <c r="B33" s="802"/>
      <c r="C33" s="3386"/>
      <c r="D33" s="259" t="s">
        <v>1528</v>
      </c>
      <c r="E33" s="798"/>
      <c r="F33" s="804" t="s">
        <v>1529</v>
      </c>
      <c r="G33" s="798"/>
    </row>
    <row r="34" spans="1:7">
      <c r="A34" s="803" t="s">
        <v>1530</v>
      </c>
      <c r="B34" s="801"/>
      <c r="C34" s="3386"/>
      <c r="D34" s="259" t="s">
        <v>1531</v>
      </c>
      <c r="E34" s="798"/>
      <c r="F34" s="804" t="s">
        <v>1532</v>
      </c>
      <c r="G34" s="798"/>
    </row>
    <row r="35" spans="1:7" ht="13.5" thickBot="1">
      <c r="A35" s="804" t="s">
        <v>1533</v>
      </c>
      <c r="B35" s="798"/>
      <c r="C35" s="3387"/>
      <c r="D35" s="259" t="s">
        <v>1534</v>
      </c>
      <c r="E35" s="798"/>
      <c r="F35" s="805" t="s">
        <v>1535</v>
      </c>
      <c r="G35" s="2598"/>
    </row>
    <row r="36" spans="1:7">
      <c r="A36" s="804" t="s">
        <v>1492</v>
      </c>
      <c r="B36" s="798"/>
      <c r="C36" s="3397" t="s">
        <v>1536</v>
      </c>
      <c r="D36" s="3398"/>
      <c r="E36" s="798"/>
      <c r="F36" s="2599" t="s">
        <v>1537</v>
      </c>
      <c r="G36" s="801"/>
    </row>
    <row r="37" spans="1:7" ht="13.5" thickBot="1">
      <c r="A37" s="804" t="s">
        <v>1538</v>
      </c>
      <c r="B37" s="798"/>
      <c r="C37" s="3399" t="s">
        <v>1539</v>
      </c>
      <c r="D37" s="3400"/>
      <c r="E37" s="802"/>
      <c r="F37" s="1433" t="s">
        <v>1540</v>
      </c>
      <c r="G37" s="798"/>
    </row>
    <row r="38" spans="1:7" ht="13.5" thickBot="1">
      <c r="A38" s="804" t="s">
        <v>1541</v>
      </c>
      <c r="B38" s="798"/>
      <c r="C38" s="3383" t="s">
        <v>1542</v>
      </c>
      <c r="D38" s="1413" t="s">
        <v>1526</v>
      </c>
      <c r="E38" s="801"/>
      <c r="F38" s="805" t="s">
        <v>1543</v>
      </c>
      <c r="G38" s="802"/>
    </row>
    <row r="39" spans="1:7">
      <c r="A39" s="804" t="s">
        <v>1544</v>
      </c>
      <c r="B39" s="798"/>
      <c r="C39" s="3390"/>
      <c r="D39" s="259" t="s">
        <v>1533</v>
      </c>
      <c r="E39" s="798"/>
      <c r="F39" s="803" t="s">
        <v>1545</v>
      </c>
      <c r="G39" s="801"/>
    </row>
    <row r="40" spans="1:7">
      <c r="A40" s="804" t="s">
        <v>1546</v>
      </c>
      <c r="B40" s="798"/>
      <c r="C40" s="3390" t="s">
        <v>1547</v>
      </c>
      <c r="D40" s="259" t="s">
        <v>1492</v>
      </c>
      <c r="E40" s="798"/>
      <c r="F40" s="804" t="s">
        <v>1548</v>
      </c>
      <c r="G40" s="798"/>
    </row>
    <row r="41" spans="1:7" ht="24.75" customHeight="1" thickBot="1">
      <c r="A41" s="805" t="s">
        <v>1549</v>
      </c>
      <c r="B41" s="802"/>
      <c r="C41" s="3391"/>
      <c r="D41" s="1416" t="s">
        <v>1494</v>
      </c>
      <c r="E41" s="802"/>
      <c r="F41" s="805" t="s">
        <v>1550</v>
      </c>
      <c r="G41" s="802"/>
    </row>
    <row r="42" spans="1:7">
      <c r="A42" s="806" t="s">
        <v>1551</v>
      </c>
      <c r="B42" s="2600"/>
      <c r="C42" s="3379" t="s">
        <v>1551</v>
      </c>
      <c r="D42" s="3380"/>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81" t="s">
        <v>1554</v>
      </c>
      <c r="D49" s="3382"/>
      <c r="E49" s="820"/>
      <c r="F49" s="805" t="s">
        <v>1555</v>
      </c>
      <c r="G49" s="802"/>
    </row>
    <row r="50" spans="1:66">
      <c r="A50" s="804" t="s">
        <v>1556</v>
      </c>
      <c r="B50" s="819"/>
      <c r="C50" s="3383" t="s">
        <v>1557</v>
      </c>
      <c r="D50" s="3384"/>
      <c r="E50" s="2602"/>
      <c r="F50" s="837"/>
      <c r="G50" s="838"/>
    </row>
    <row r="51" spans="1:66" ht="13.5" thickBot="1">
      <c r="A51" s="804" t="s">
        <v>1558</v>
      </c>
      <c r="B51" s="819"/>
      <c r="C51" s="3391" t="s">
        <v>1559</v>
      </c>
      <c r="D51" s="339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1" t="s">
        <v>0</v>
      </c>
      <c r="B1" s="3411" t="s">
        <v>2</v>
      </c>
      <c r="C1" s="3411" t="s">
        <v>3</v>
      </c>
      <c r="D1" s="3412" t="s">
        <v>67</v>
      </c>
      <c r="E1" s="3412" t="s">
        <v>68</v>
      </c>
      <c r="F1" s="3412"/>
      <c r="G1" s="3412"/>
      <c r="H1" s="3412"/>
      <c r="I1" s="3412"/>
      <c r="J1" s="3412"/>
      <c r="K1" s="3412"/>
      <c r="L1" s="3412"/>
      <c r="M1" s="3412"/>
    </row>
    <row r="2" spans="1:13" ht="27" customHeight="1">
      <c r="A2" s="3411"/>
      <c r="B2" s="3411"/>
      <c r="C2" s="3411"/>
      <c r="D2" s="3412"/>
      <c r="E2" s="3412" t="s">
        <v>51</v>
      </c>
      <c r="F2" s="3412" t="s">
        <v>52</v>
      </c>
      <c r="G2" s="3412"/>
      <c r="H2" s="3412"/>
      <c r="I2" s="3412"/>
      <c r="J2" s="3412" t="s">
        <v>53</v>
      </c>
      <c r="K2" s="3412"/>
      <c r="L2" s="3412"/>
      <c r="M2" s="3412"/>
    </row>
    <row r="3" spans="1:13" ht="28.5">
      <c r="A3" s="3411"/>
      <c r="B3" s="3411"/>
      <c r="C3" s="3411"/>
      <c r="D3" s="3412"/>
      <c r="E3" s="34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2" t="s">
        <v>69</v>
      </c>
      <c r="B9" s="3412"/>
      <c r="C9" s="34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1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2981</v>
      </c>
      <c r="C3" s="1655"/>
      <c r="D3" s="3414"/>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437.43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55468</v>
      </c>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29.69</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0.89200000000000002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1968435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0.85</v>
      </c>
      <c r="F20" s="947"/>
      <c r="G20" s="1655">
        <f>2022-2013</f>
        <v>9</v>
      </c>
      <c r="H20" s="1655">
        <f>51/60</f>
        <v>0.85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2013</v>
      </c>
      <c r="C27" s="1655"/>
      <c r="D27" s="3127" t="s">
        <v>2984</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2983</v>
      </c>
      <c r="D29" s="2905" t="s">
        <v>1605</v>
      </c>
      <c r="E29" s="2924">
        <f>E30+E31</f>
        <v>5.5000000000000007E-2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5.000000000000001E-3</v>
      </c>
      <c r="F31" s="1280"/>
      <c r="G31" s="2939"/>
      <c r="H31" s="2939"/>
      <c r="K31" s="1655"/>
      <c r="N31" s="1655"/>
    </row>
    <row r="32" spans="1:41" ht="14.25">
      <c r="A32" s="2900" t="s">
        <v>1608</v>
      </c>
      <c r="B32" s="2625">
        <v>0.03</v>
      </c>
      <c r="D32" s="2907" t="s">
        <v>1611</v>
      </c>
      <c r="E32" s="2642">
        <v>0.05</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29.69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5" t="s">
        <v>1645</v>
      </c>
      <c r="B1" s="3416"/>
      <c r="C1" s="3416"/>
      <c r="D1" s="3416"/>
      <c r="E1" s="3416"/>
      <c r="F1" s="3416"/>
      <c r="G1" s="341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321" t="s">
        <v>3011</v>
      </c>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082"/>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322"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322"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322"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321" t="s">
        <v>3014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2797</v>
      </c>
      <c r="C16" s="3106" t="str">
        <f>C4</f>
        <v>较好</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2799</v>
      </c>
      <c r="C17" s="3106">
        <f>C5</f>
        <v>0</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553" customWidth="1"/>
    <col min="2" max="16384" width="14.625" style="2553"/>
  </cols>
  <sheetData>
    <row r="1" spans="1:9" ht="16.5">
      <c r="A1" s="2551" t="s">
        <v>1155</v>
      </c>
      <c r="B1" s="2551">
        <f>SUM(B14:B23)</f>
        <v>437.43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1389</v>
      </c>
      <c r="C5" s="2551">
        <f ca="1">ROUND(B5*10000/$B$1,0)</f>
        <v>31754</v>
      </c>
      <c r="D5" s="2551" t="e">
        <f ca="1">ROUND(B5*10000/$B$2,0)</f>
        <v>#DIV/0!</v>
      </c>
      <c r="E5" s="1604"/>
      <c r="F5" s="2552"/>
      <c r="G5" s="2552"/>
    </row>
    <row r="6" spans="1:9" ht="16.5">
      <c r="A6" s="2551" t="s">
        <v>1163</v>
      </c>
      <c r="B6" s="2551">
        <f ca="1">SUM(G14:G23)</f>
        <v>1389</v>
      </c>
      <c r="C6" s="2551">
        <f t="shared" ref="C6:C8" ca="1" si="0">ROUND(B6*10000/$B$1,0)</f>
        <v>31754</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2985</v>
      </c>
      <c r="B14" s="2887">
        <f>项目基本情况!C12</f>
        <v>437.43</v>
      </c>
      <c r="C14" s="2887">
        <f>项目基本情况!C13</f>
        <v>0</v>
      </c>
      <c r="D14" s="2887">
        <f ca="1">IF('数据-取费表'!B3="万元",IF(A14="估价对象1（结果表）",结果表!H121,'结果表 (1修多)'!H125),IF(A14="估价对象1（结果表）",结果表!H121,'结果表 (1修多)'!H125)/10000)</f>
        <v>1389</v>
      </c>
      <c r="E14" s="2887">
        <f ca="1">ROUND(D14*10000/B14,0)</f>
        <v>31754</v>
      </c>
      <c r="F14" s="2887" t="e">
        <f ca="1">ROUND(D14*10000/C14,0)</f>
        <v>#DIV/0!</v>
      </c>
      <c r="G14" s="2887">
        <f ca="1">IF('数据-取费表'!B3="万元",IF(A14="估价对象1（结果表）",结果表!D125,'结果表 (1修多)'!D129),IF(A14="估价对象1（结果表）",结果表!D125,'结果表 (1修多)'!D129)/10000)</f>
        <v>1389</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5" zoomScaleNormal="100" zoomScaleSheetLayoutView="100" zoomScalePageLayoutView="80" workbookViewId="0">
      <selection activeCell="E29" sqref="E29"/>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2" t="str">
        <f>项目基本情况!B1</f>
        <v>北京市房地产抵押价值预评估</v>
      </c>
      <c r="B2" s="3472"/>
      <c r="C2" s="3472"/>
      <c r="D2" s="3472"/>
      <c r="E2" s="3472"/>
      <c r="F2" s="3472"/>
      <c r="G2" s="3472"/>
      <c r="H2" s="3472"/>
      <c r="I2" s="3472"/>
      <c r="J2" s="2814"/>
    </row>
    <row r="3" spans="1:15" ht="12.75">
      <c r="A3" s="3475" t="s">
        <v>1653</v>
      </c>
      <c r="B3" s="3476"/>
      <c r="C3" s="3476"/>
      <c r="D3" s="3476"/>
      <c r="E3" s="3476"/>
      <c r="F3" s="3476"/>
      <c r="G3" s="3476"/>
      <c r="H3" s="3476"/>
      <c r="I3" s="3476"/>
      <c r="J3" s="2815"/>
    </row>
    <row r="4" spans="1:15" ht="14.25">
      <c r="A4" s="2683" t="s">
        <v>1654</v>
      </c>
      <c r="B4" s="2683" t="s">
        <v>1655</v>
      </c>
      <c r="C4" s="2684" t="s">
        <v>2990</v>
      </c>
      <c r="D4" s="2684" t="s">
        <v>2991</v>
      </c>
      <c r="E4" s="3421" t="s">
        <v>1656</v>
      </c>
      <c r="F4" s="3459"/>
      <c r="G4" s="3459"/>
      <c r="H4" s="3459"/>
      <c r="I4" s="3460"/>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52" t="s">
        <v>1657</v>
      </c>
      <c r="B5" s="3452">
        <v>25</v>
      </c>
      <c r="C5" s="3461"/>
      <c r="D5" s="3474"/>
      <c r="E5" s="12" t="s">
        <v>1658</v>
      </c>
      <c r="F5" s="2059"/>
      <c r="G5" s="2059"/>
      <c r="H5" s="2059"/>
      <c r="I5" s="2054"/>
      <c r="J5" s="2816"/>
    </row>
    <row r="6" spans="1:15" ht="12.75">
      <c r="A6" s="3452"/>
      <c r="B6" s="3452"/>
      <c r="C6" s="3477"/>
      <c r="D6" s="3474"/>
      <c r="E6" s="12" t="s">
        <v>1659</v>
      </c>
      <c r="F6" s="2059"/>
      <c r="G6" s="2059"/>
      <c r="H6" s="2059"/>
      <c r="I6" s="2054"/>
      <c r="J6" s="2816"/>
    </row>
    <row r="7" spans="1:15" ht="12.75">
      <c r="A7" s="3452"/>
      <c r="B7" s="3452"/>
      <c r="C7" s="3462"/>
      <c r="D7" s="3474"/>
      <c r="E7" s="12" t="s">
        <v>1660</v>
      </c>
      <c r="F7" s="2059"/>
      <c r="G7" s="2059"/>
      <c r="H7" s="2059"/>
      <c r="I7" s="2054"/>
      <c r="J7" s="2816"/>
    </row>
    <row r="8" spans="1:15" ht="12.75">
      <c r="A8" s="3452" t="s">
        <v>1661</v>
      </c>
      <c r="B8" s="3452">
        <v>15</v>
      </c>
      <c r="C8" s="3461"/>
      <c r="D8" s="3474"/>
      <c r="E8" s="12" t="s">
        <v>1662</v>
      </c>
      <c r="F8" s="2059"/>
      <c r="G8" s="2059"/>
      <c r="H8" s="2059"/>
      <c r="I8" s="2054"/>
      <c r="J8" s="2816"/>
    </row>
    <row r="9" spans="1:15" ht="12.75">
      <c r="A9" s="3452"/>
      <c r="B9" s="3452"/>
      <c r="C9" s="3462"/>
      <c r="D9" s="3474"/>
      <c r="E9" s="12" t="s">
        <v>1663</v>
      </c>
      <c r="F9" s="2059"/>
      <c r="G9" s="2059"/>
      <c r="H9" s="2059"/>
      <c r="I9" s="2054"/>
      <c r="J9" s="2816"/>
    </row>
    <row r="10" spans="1:15" ht="12.75">
      <c r="A10" s="3452" t="s">
        <v>1664</v>
      </c>
      <c r="B10" s="3452">
        <v>15</v>
      </c>
      <c r="C10" s="3461"/>
      <c r="D10" s="3474"/>
      <c r="E10" s="12" t="s">
        <v>1665</v>
      </c>
      <c r="F10" s="2059"/>
      <c r="G10" s="2059"/>
      <c r="H10" s="2059"/>
      <c r="I10" s="2054"/>
      <c r="J10" s="2816"/>
    </row>
    <row r="11" spans="1:15" ht="12.75">
      <c r="A11" s="3452"/>
      <c r="B11" s="3452"/>
      <c r="C11" s="3462"/>
      <c r="D11" s="3474"/>
      <c r="E11" s="12" t="s">
        <v>1666</v>
      </c>
      <c r="F11" s="2059"/>
      <c r="G11" s="2059"/>
      <c r="H11" s="2059"/>
      <c r="I11" s="2054"/>
      <c r="J11" s="2816"/>
    </row>
    <row r="12" spans="1:15" ht="12.75">
      <c r="A12" s="3452" t="s">
        <v>1667</v>
      </c>
      <c r="B12" s="3452">
        <v>15</v>
      </c>
      <c r="C12" s="3461"/>
      <c r="D12" s="3474"/>
      <c r="E12" s="12" t="s">
        <v>1668</v>
      </c>
      <c r="F12" s="2059"/>
      <c r="G12" s="2059"/>
      <c r="H12" s="2059"/>
      <c r="I12" s="2054"/>
      <c r="J12" s="2816"/>
    </row>
    <row r="13" spans="1:15" ht="12.75">
      <c r="A13" s="3452"/>
      <c r="B13" s="3452"/>
      <c r="C13" s="3462"/>
      <c r="D13" s="3474"/>
      <c r="E13" s="12" t="s">
        <v>1669</v>
      </c>
      <c r="F13" s="2059"/>
      <c r="G13" s="2059"/>
      <c r="H13" s="2059"/>
      <c r="I13" s="2054"/>
      <c r="J13" s="2816"/>
    </row>
    <row r="14" spans="1:15" ht="12.75">
      <c r="A14" s="3452" t="s">
        <v>1670</v>
      </c>
      <c r="B14" s="3452">
        <v>30</v>
      </c>
      <c r="C14" s="3461">
        <v>5</v>
      </c>
      <c r="D14" s="3474">
        <f>10-C14</f>
        <v>5</v>
      </c>
      <c r="E14" s="12" t="s">
        <v>1671</v>
      </c>
      <c r="F14" s="2059"/>
      <c r="G14" s="2059"/>
      <c r="H14" s="2059"/>
      <c r="I14" s="2054"/>
      <c r="J14" s="2816"/>
    </row>
    <row r="15" spans="1:15" ht="12.75">
      <c r="A15" s="3452"/>
      <c r="B15" s="3452"/>
      <c r="C15" s="3477"/>
      <c r="D15" s="3474"/>
      <c r="E15" s="12" t="s">
        <v>1672</v>
      </c>
      <c r="F15" s="2059"/>
      <c r="G15" s="2059"/>
      <c r="H15" s="2059"/>
      <c r="I15" s="2054"/>
      <c r="J15" s="2816"/>
    </row>
    <row r="16" spans="1:15" ht="12.75">
      <c r="A16" s="3452"/>
      <c r="B16" s="3452"/>
      <c r="C16" s="3462"/>
      <c r="D16" s="3474"/>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70" t="s">
        <v>2760</v>
      </c>
      <c r="F18" s="3471"/>
      <c r="G18" s="3471"/>
      <c r="H18" s="3471"/>
      <c r="I18" s="3471"/>
      <c r="J18" s="2817"/>
    </row>
    <row r="19" spans="1:36" ht="15">
      <c r="A19" s="2690" t="s">
        <v>1676</v>
      </c>
      <c r="B19" s="2691" t="s">
        <v>1677</v>
      </c>
      <c r="C19" s="2692">
        <f ca="1">SUMIF(INDIRECT("'"&amp;C4&amp;"'"&amp;"!A:A"),结果表!B19,INDIRECT("'"&amp;C4&amp;"'"&amp;"!B:B"))</f>
        <v>1346</v>
      </c>
      <c r="D19" s="2693">
        <f ca="1">SUMIF(INDIRECT("'"&amp;D4&amp;"'"&amp;"!A:A"),结果表!B19,INDIRECT("'"&amp;D4&amp;"'"&amp;"!B:B"))</f>
        <v>1432</v>
      </c>
      <c r="E19" s="2690" t="s">
        <v>1678</v>
      </c>
      <c r="F19" s="2691" t="s">
        <v>1677</v>
      </c>
      <c r="G19" s="2694">
        <f ca="1">ROUND(C19*$C$18+D19*$D$18,0)</f>
        <v>1389</v>
      </c>
      <c r="H19" s="2695" t="str">
        <f>'数据-取费表'!B3</f>
        <v>万元</v>
      </c>
      <c r="I19" s="2743"/>
      <c r="J19" s="2818"/>
    </row>
    <row r="20" spans="1:36" ht="15">
      <c r="A20" s="2696"/>
      <c r="B20" s="1664" t="s">
        <v>1679</v>
      </c>
      <c r="C20" s="1889">
        <f ca="1">SUMIF(INDIRECT("'"&amp;C4&amp;"'"&amp;"!A:A"),结果表!B20,INDIRECT("'"&amp;C4&amp;"'"&amp;"!B:B"))</f>
        <v>30768</v>
      </c>
      <c r="D20" s="1892">
        <f ca="1">SUMIF(INDIRECT("'"&amp;D4&amp;"'"&amp;"!A:A"),结果表!B20,INDIRECT("'"&amp;D4&amp;"'"&amp;"!B:B"))</f>
        <v>32741</v>
      </c>
      <c r="E20" s="2696"/>
      <c r="F20" s="1664" t="s">
        <v>1679</v>
      </c>
      <c r="G20" s="2063">
        <f ca="1">ROUND(C20*$C$18+D20*$D$18,0)</f>
        <v>31755</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6.3893016344725106E-2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63" t="s">
        <v>1682</v>
      </c>
      <c r="B24" s="2691" t="s">
        <v>1677</v>
      </c>
      <c r="C24" s="2694">
        <f>D30</f>
        <v>0</v>
      </c>
      <c r="D24" s="2646"/>
      <c r="E24" s="947"/>
      <c r="F24" s="947"/>
      <c r="G24" s="947"/>
      <c r="H24" s="947"/>
      <c r="I24" s="947"/>
      <c r="J24" s="2817"/>
    </row>
    <row r="25" spans="1:36" ht="21.75" customHeight="1">
      <c r="A25" s="348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1389</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1145</v>
      </c>
      <c r="D34" s="2720">
        <f ca="1">IF(D33="自定义",ROUND(C34/C32,3),1-D35)</f>
        <v>0.82400000000000007</v>
      </c>
      <c r="E34" s="1405" t="s">
        <v>1692</v>
      </c>
      <c r="F34" s="2721">
        <v>2000</v>
      </c>
      <c r="G34" s="947"/>
      <c r="H34" s="947"/>
      <c r="I34" s="947"/>
      <c r="J34" s="2817"/>
    </row>
    <row r="35" spans="1:17" ht="15.75" thickBot="1">
      <c r="A35" s="1437"/>
      <c r="B35" s="2722" t="s">
        <v>1693</v>
      </c>
      <c r="C35" s="2723">
        <f ca="1">IF(D33="自定义",F35,ROUND(C32*D35,0))</f>
        <v>244</v>
      </c>
      <c r="D35" s="2724">
        <f ca="1">IF(D33="自定义",ROUND(C35/C32,3),IF(D33="成本法成本比率",成本法!C56,IF(D33="收益法收益比率",收益法!J38,收益法!J41)))</f>
        <v>0.17599999999999999</v>
      </c>
      <c r="E35" s="2725" t="s">
        <v>1694</v>
      </c>
      <c r="F35" s="2726">
        <v>4460</v>
      </c>
      <c r="G35" s="947"/>
      <c r="H35" s="947"/>
      <c r="I35" s="947"/>
      <c r="J35" s="2817"/>
    </row>
    <row r="36" spans="1:17" ht="15.75" thickBot="1">
      <c r="A36" s="3463" t="s">
        <v>1695</v>
      </c>
      <c r="B36" s="1438" t="s">
        <v>1696</v>
      </c>
      <c r="C36" s="2727">
        <v>0</v>
      </c>
      <c r="D36" s="2728"/>
      <c r="E36" s="1650"/>
      <c r="F36" s="1650"/>
      <c r="G36" s="947"/>
      <c r="H36" s="947"/>
      <c r="I36" s="947"/>
      <c r="J36" s="2817"/>
    </row>
    <row r="37" spans="1:17" ht="15.75" thickBot="1">
      <c r="A37" s="3464"/>
      <c r="B37" s="2064" t="s">
        <v>1697</v>
      </c>
      <c r="C37" s="2729">
        <v>0</v>
      </c>
      <c r="D37" s="1281"/>
      <c r="E37" s="1281"/>
      <c r="F37" s="1650"/>
      <c r="G37" s="1281"/>
      <c r="H37" s="1281"/>
      <c r="I37" s="1281"/>
      <c r="J37" s="2821"/>
    </row>
    <row r="38" spans="1:17" ht="15.75" thickBot="1">
      <c r="A38" s="3465"/>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67" t="s">
        <v>1706</v>
      </c>
      <c r="B45" s="3468"/>
      <c r="C45" s="3427"/>
      <c r="D45" s="246">
        <f ca="1">ROUND(I102*F45,0)</f>
        <v>1389</v>
      </c>
      <c r="E45" s="1512" t="s">
        <v>1707</v>
      </c>
      <c r="F45" s="2531">
        <v>1</v>
      </c>
      <c r="G45" s="2532" t="s">
        <v>1708</v>
      </c>
      <c r="H45" s="947"/>
      <c r="I45" s="947"/>
      <c r="J45" s="2817"/>
      <c r="K45" s="3521" t="s">
        <v>2689</v>
      </c>
      <c r="L45" s="3521"/>
      <c r="M45" s="3521"/>
      <c r="N45" s="3521"/>
      <c r="O45" s="3521"/>
      <c r="P45" s="3521"/>
      <c r="Q45" s="1278"/>
    </row>
    <row r="46" spans="1:17" ht="14.25" customHeight="1">
      <c r="A46" s="3456" t="s">
        <v>1710</v>
      </c>
      <c r="B46" s="3457"/>
      <c r="C46" s="3457"/>
      <c r="D46" s="3457"/>
      <c r="E46" s="3457"/>
      <c r="F46" s="3457"/>
      <c r="G46" s="3458"/>
      <c r="H46" s="2949"/>
      <c r="I46" s="947"/>
      <c r="J46" s="2817"/>
      <c r="K46" s="2506">
        <v>1</v>
      </c>
      <c r="L46" s="3522" t="s">
        <v>2690</v>
      </c>
      <c r="M46" s="3522"/>
      <c r="N46" s="3523" t="str">
        <f>项目基本情况!B1</f>
        <v>北京市房地产抵押价值预评估</v>
      </c>
      <c r="O46" s="3523"/>
      <c r="P46" s="3523"/>
      <c r="Q46" s="1278"/>
    </row>
    <row r="47" spans="1:17" ht="12" customHeight="1">
      <c r="A47" s="38" t="s">
        <v>1712</v>
      </c>
      <c r="B47" s="39"/>
      <c r="C47" s="40"/>
      <c r="D47" s="1070" t="s">
        <v>1713</v>
      </c>
      <c r="E47" s="235" t="s">
        <v>1714</v>
      </c>
      <c r="F47" s="41" t="s">
        <v>1715</v>
      </c>
      <c r="G47" s="2534" t="s">
        <v>1716</v>
      </c>
      <c r="H47" s="2949"/>
      <c r="I47" s="947"/>
      <c r="J47" s="2817"/>
      <c r="K47" s="2506">
        <v>2</v>
      </c>
      <c r="L47" s="3522" t="s">
        <v>2691</v>
      </c>
      <c r="M47" s="3522"/>
      <c r="N47" s="3524">
        <f>'数据-取费表'!B2</f>
        <v>44631</v>
      </c>
      <c r="O47" s="3524"/>
      <c r="P47" s="3524"/>
      <c r="Q47" s="1278"/>
    </row>
    <row r="48" spans="1:17" ht="25.5">
      <c r="A48" s="3466" t="s">
        <v>1718</v>
      </c>
      <c r="B48" s="3420"/>
      <c r="C48" s="3420"/>
      <c r="D48" s="12">
        <f ca="1">IF(H48="情况1",0,IF(H48="情况2",D52,IF(H48="情况3",D53,IF(H48="情况4",D54))))</f>
        <v>73</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522" t="s">
        <v>2692</v>
      </c>
      <c r="M48" s="3522"/>
      <c r="N48" s="3523">
        <f ca="1">I102</f>
        <v>1389</v>
      </c>
      <c r="O48" s="3523"/>
      <c r="P48" s="3523"/>
      <c r="Q48" s="1278"/>
    </row>
    <row r="49" spans="1:17" ht="25.5" customHeight="1">
      <c r="A49" s="2061" t="s">
        <v>1722</v>
      </c>
      <c r="B49" s="3459" t="s">
        <v>1723</v>
      </c>
      <c r="C49" s="3459"/>
      <c r="D49" s="2538">
        <v>0</v>
      </c>
      <c r="E49" s="261" t="s">
        <v>1724</v>
      </c>
      <c r="F49" s="2539" t="s">
        <v>48</v>
      </c>
      <c r="G49" s="3516"/>
      <c r="H49" s="2540" t="s">
        <v>2766</v>
      </c>
      <c r="I49" s="2541"/>
      <c r="J49" s="2825"/>
      <c r="K49" s="2506">
        <v>4</v>
      </c>
      <c r="L49" s="3522" t="str">
        <f>IF(项目基本情况!F5="房地产抵押价值","房地产抵押价值","抵押担保权已注销时的房地产抵押价值")</f>
        <v>抵押担保权已注销时的房地产抵押价值</v>
      </c>
      <c r="M49" s="3522"/>
      <c r="N49" s="3523" t="str">
        <f>IF(项目基本情况!F5="房地产抵押价值",I110,I112)</f>
        <v>——</v>
      </c>
      <c r="O49" s="3523"/>
      <c r="P49" s="3523"/>
      <c r="Q49" s="1278"/>
    </row>
    <row r="50" spans="1:17" ht="25.5" customHeight="1">
      <c r="A50" s="2051"/>
      <c r="B50" s="3459" t="s">
        <v>1725</v>
      </c>
      <c r="C50" s="3459"/>
      <c r="D50" s="2542"/>
      <c r="E50" s="269"/>
      <c r="F50" s="2539"/>
      <c r="G50" s="3517"/>
      <c r="H50" s="2543" t="s">
        <v>2685</v>
      </c>
      <c r="I50" s="2541"/>
      <c r="J50" s="2825"/>
      <c r="K50" s="3522" t="s">
        <v>2693</v>
      </c>
      <c r="L50" s="3522"/>
      <c r="M50" s="3522"/>
      <c r="N50" s="3522"/>
      <c r="O50" s="3522"/>
      <c r="P50" s="3522"/>
      <c r="Q50" s="1278"/>
    </row>
    <row r="51" spans="1:17" ht="20.45" customHeight="1">
      <c r="A51" s="2544"/>
      <c r="B51" s="3459" t="s">
        <v>1727</v>
      </c>
      <c r="C51" s="3459"/>
      <c r="D51" s="1070"/>
      <c r="E51" s="264"/>
      <c r="F51" s="2539"/>
      <c r="G51" s="3518"/>
      <c r="H51" s="2543" t="s">
        <v>2686</v>
      </c>
      <c r="I51" s="2541"/>
      <c r="J51" s="2825"/>
      <c r="K51" s="2507" t="s">
        <v>2694</v>
      </c>
      <c r="L51" s="3522" t="s">
        <v>2695</v>
      </c>
      <c r="M51" s="3522"/>
      <c r="N51" s="2507" t="s">
        <v>2696</v>
      </c>
      <c r="O51" s="2507" t="s">
        <v>2697</v>
      </c>
      <c r="P51" s="2507" t="s">
        <v>2698</v>
      </c>
      <c r="Q51" s="1278"/>
    </row>
    <row r="52" spans="1:17" ht="24" customHeight="1">
      <c r="A52" s="2052" t="s">
        <v>1733</v>
      </c>
      <c r="B52" s="3459" t="s">
        <v>1734</v>
      </c>
      <c r="C52" s="3459"/>
      <c r="D52" s="1070">
        <f ca="1">ROUND(D45*'数据-取费表'!E29/(1+'数据-取费表'!F30),0)</f>
        <v>73</v>
      </c>
      <c r="E52" s="2062" t="s">
        <v>1735</v>
      </c>
      <c r="F52" s="2545">
        <f>'数据-取费表'!E29</f>
        <v>5.5000000000000007E-2</v>
      </c>
      <c r="G52" s="2546"/>
      <c r="H52" s="947"/>
      <c r="I52" s="2950"/>
      <c r="J52" s="2825"/>
      <c r="K52" s="2506">
        <v>1</v>
      </c>
      <c r="L52" s="3489" t="s">
        <v>2699</v>
      </c>
      <c r="M52" s="3489"/>
      <c r="N52" s="2508">
        <f ca="1">D48</f>
        <v>73</v>
      </c>
      <c r="O52" s="2506" t="str">
        <f>E48</f>
        <v>销售额×税（费）率</v>
      </c>
      <c r="P52" s="2509">
        <f>F48</f>
        <v>5.5000000000000007E-2</v>
      </c>
      <c r="Q52" s="1278"/>
    </row>
    <row r="53" spans="1:17" ht="12" customHeight="1">
      <c r="A53" s="2052" t="s">
        <v>1737</v>
      </c>
      <c r="B53" s="3421" t="s">
        <v>2778</v>
      </c>
      <c r="C53" s="3460"/>
      <c r="D53" s="1070">
        <f ca="1">ROUND(D45*'数据-取费表'!E29/(1+'数据-取费表'!F30),0)</f>
        <v>73</v>
      </c>
      <c r="E53" s="2062" t="s">
        <v>1735</v>
      </c>
      <c r="F53" s="2545">
        <f>'数据-取费表'!E29</f>
        <v>5.5000000000000007E-2</v>
      </c>
      <c r="G53" s="2546"/>
      <c r="H53" s="947"/>
      <c r="I53" s="2950"/>
      <c r="J53" s="2825"/>
      <c r="K53" s="2506">
        <v>2</v>
      </c>
      <c r="L53" s="3489" t="s">
        <v>2700</v>
      </c>
      <c r="M53" s="3489"/>
      <c r="N53" s="2508">
        <f t="shared" ref="N53:P54" si="1">D55</f>
        <v>0</v>
      </c>
      <c r="O53" s="2506" t="str">
        <f t="shared" si="1"/>
        <v>销售额×税（费）率</v>
      </c>
      <c r="P53" s="2509" t="str">
        <f t="shared" si="1"/>
        <v>免征</v>
      </c>
      <c r="Q53" s="1278"/>
    </row>
    <row r="54" spans="1:17" ht="12" customHeight="1">
      <c r="A54" s="2052" t="s">
        <v>1739</v>
      </c>
      <c r="B54" s="3421" t="s">
        <v>2779</v>
      </c>
      <c r="C54" s="3460"/>
      <c r="D54" s="1070">
        <f ca="1">C68</f>
        <v>73</v>
      </c>
      <c r="E54" s="264" t="s">
        <v>1740</v>
      </c>
      <c r="F54" s="2545">
        <f>'数据-取费表'!E29</f>
        <v>5.5000000000000007E-2</v>
      </c>
      <c r="G54" s="2546"/>
      <c r="H54" s="2951"/>
      <c r="I54" s="2950"/>
      <c r="J54" s="2825"/>
      <c r="K54" s="2506">
        <v>3</v>
      </c>
      <c r="L54" s="3489" t="s">
        <v>2701</v>
      </c>
      <c r="M54" s="3489"/>
      <c r="N54" s="2508">
        <f t="shared" si="1"/>
        <v>0</v>
      </c>
      <c r="O54" s="2506" t="str">
        <f t="shared" si="1"/>
        <v>增值额×税（费）率</v>
      </c>
      <c r="P54" s="2510" t="str">
        <f t="shared" si="1"/>
        <v>免征</v>
      </c>
      <c r="Q54" s="1278"/>
    </row>
    <row r="55" spans="1:17" ht="24" customHeight="1">
      <c r="A55" s="3419" t="s">
        <v>1742</v>
      </c>
      <c r="B55" s="3420"/>
      <c r="C55" s="3420"/>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89" t="str">
        <f>IF(H59="非个人房产","——","个人所得税")</f>
        <v>——</v>
      </c>
      <c r="M55" s="3489"/>
      <c r="N55" s="2511" t="str">
        <f>D59</f>
        <v>——</v>
      </c>
      <c r="O55" s="2512" t="str">
        <f>E59</f>
        <v>——</v>
      </c>
      <c r="P55" s="2513" t="str">
        <f>F59</f>
        <v>——</v>
      </c>
      <c r="Q55" s="1278"/>
    </row>
    <row r="56" spans="1:17" ht="24.75">
      <c r="A56" s="3419" t="s">
        <v>1745</v>
      </c>
      <c r="B56" s="3420"/>
      <c r="C56" s="3420"/>
      <c r="D56" s="12">
        <f>IF(H56="个人住宅",D57,D58)</f>
        <v>0</v>
      </c>
      <c r="E56" s="2062" t="s">
        <v>1746</v>
      </c>
      <c r="F56" s="2545" t="str">
        <f>IF(H56="正常",F58,"免征")</f>
        <v>免征</v>
      </c>
      <c r="G56" s="2547" t="s">
        <v>1747</v>
      </c>
      <c r="H56" s="2548" t="s">
        <v>2682</v>
      </c>
      <c r="I56" s="2952"/>
      <c r="J56" s="2825"/>
      <c r="K56" s="2506" t="str">
        <f>IF(项目基本情况!I6="上海银行",IF(K55="",4,K55+1),"")</f>
        <v/>
      </c>
      <c r="L56" s="3503" t="str">
        <f>IF(项目基本情况!I6="上海银行","其他处置费用","")</f>
        <v/>
      </c>
      <c r="M56" s="3504"/>
      <c r="N56" s="2508" t="str">
        <f>IF(项目基本情况!I6="上海银行",N69,"")</f>
        <v/>
      </c>
      <c r="O56" s="3503" t="str">
        <f>IF(项目基本情况!I6="上海银行","包含处置中涉及的律师、诉讼、拍卖、评估等费用","")</f>
        <v/>
      </c>
      <c r="P56" s="3515"/>
      <c r="Q56" s="1278"/>
    </row>
    <row r="57" spans="1:17" ht="12.75">
      <c r="A57" s="2052" t="s">
        <v>1722</v>
      </c>
      <c r="B57" s="3421" t="s">
        <v>1748</v>
      </c>
      <c r="C57" s="3460"/>
      <c r="D57" s="2538">
        <v>0</v>
      </c>
      <c r="E57" s="261" t="s">
        <v>1724</v>
      </c>
      <c r="F57" s="235"/>
      <c r="G57" s="2546"/>
      <c r="H57" s="2952"/>
      <c r="I57" s="2952"/>
      <c r="J57" s="2825"/>
      <c r="K57" s="3489">
        <f>IF(AND(K55="",K56=""),4,IF(项目基本情况!I6="上海银行",K56+1,K55+1))</f>
        <v>4</v>
      </c>
      <c r="L57" s="3489" t="s">
        <v>2702</v>
      </c>
      <c r="M57" s="2514" t="s">
        <v>2703</v>
      </c>
      <c r="N57" s="2515"/>
      <c r="O57" s="2516">
        <f ca="1">SUMIF(N52:N56,"&lt;9e307")</f>
        <v>73</v>
      </c>
      <c r="P57" s="2517"/>
      <c r="Q57" s="1276" t="e">
        <f ca="1">O57/N49</f>
        <v>#VALUE!</v>
      </c>
    </row>
    <row r="58" spans="1:17" ht="24.75">
      <c r="A58" s="2052" t="s">
        <v>1733</v>
      </c>
      <c r="B58" s="3421" t="s">
        <v>1751</v>
      </c>
      <c r="C58" s="3459"/>
      <c r="D58" s="12">
        <f ca="1">IF(H58="转让取得",C81,C97)</f>
        <v>787</v>
      </c>
      <c r="E58" s="2062" t="s">
        <v>1746</v>
      </c>
      <c r="F58" s="235" t="s">
        <v>48</v>
      </c>
      <c r="G58" s="2546"/>
      <c r="H58" s="2548" t="s">
        <v>1752</v>
      </c>
      <c r="I58" s="2952"/>
      <c r="J58" s="2825"/>
      <c r="K58" s="3489"/>
      <c r="L58" s="3489"/>
      <c r="M58" s="2514" t="s">
        <v>2704</v>
      </c>
      <c r="N58" s="2518"/>
      <c r="O58" s="2519" t="str">
        <f ca="1">IF(H19="元",NUMBERSTRING(INT(O57),2)&amp;"元整",NUMBERSTRING(INT(O57*10000),2)&amp;"元整")</f>
        <v>柒拾叁万元整</v>
      </c>
      <c r="P58" s="2520"/>
      <c r="Q58" s="1278"/>
    </row>
    <row r="59" spans="1:17" ht="24.75" thickBot="1">
      <c r="A59" s="3443" t="s">
        <v>1754</v>
      </c>
      <c r="B59" s="3444"/>
      <c r="C59" s="344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7">
        <f>K57+1</f>
        <v>5</v>
      </c>
      <c r="L59" s="3489"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88"/>
      <c r="L60" s="3489"/>
      <c r="M60" s="2514" t="s">
        <v>2704</v>
      </c>
      <c r="N60" s="2518"/>
      <c r="O60" s="2519" t="e">
        <f ca="1">IF(H19="元",NUMBERSTRING(INT(O59),2)&amp;"元整",NUMBERSTRING(INT(O59*10000),2)&amp;"元整")</f>
        <v>#VALUE!</v>
      </c>
      <c r="P60" s="2520"/>
      <c r="Q60" s="1278"/>
    </row>
    <row r="61" spans="1:17" ht="13.5" thickBot="1">
      <c r="A61" s="3469" t="s">
        <v>1756</v>
      </c>
      <c r="B61" s="3469"/>
      <c r="C61" s="3469"/>
      <c r="D61" s="3469"/>
      <c r="E61" s="3469"/>
      <c r="F61" s="2953"/>
      <c r="G61" s="2953"/>
      <c r="H61" s="2955"/>
      <c r="I61" s="31"/>
      <c r="K61" s="2506">
        <f>K59+1</f>
        <v>6</v>
      </c>
      <c r="L61" s="3489" t="s">
        <v>2706</v>
      </c>
      <c r="M61" s="3489"/>
      <c r="N61" s="2524"/>
      <c r="O61" s="2525" t="e">
        <f ca="1">IF(H19="元",ROUND(O59/项目基本情况!C12,0),ROUND(O59*10000/项目基本情况!C12,0))</f>
        <v>#VALUE!</v>
      </c>
      <c r="P61" s="2526"/>
      <c r="Q61" s="1278"/>
    </row>
    <row r="62" spans="1:17" ht="12.75">
      <c r="A62" s="3478" t="s">
        <v>1758</v>
      </c>
      <c r="B62" s="3479"/>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1323</v>
      </c>
      <c r="D63" s="47"/>
      <c r="E63" s="48"/>
      <c r="F63" s="2953"/>
      <c r="G63" s="2953"/>
      <c r="H63" s="2955"/>
      <c r="I63" s="31"/>
      <c r="K63" s="3505"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1389</v>
      </c>
      <c r="D64" s="50" t="s">
        <v>41</v>
      </c>
      <c r="E64" s="52"/>
      <c r="F64" s="2953"/>
      <c r="G64" s="2953"/>
      <c r="H64" s="2955"/>
      <c r="I64" s="31"/>
      <c r="K64" s="3505"/>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505"/>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505"/>
      <c r="L66" s="2528" t="s">
        <v>2712</v>
      </c>
      <c r="M66" s="2528" t="e">
        <f>N49*0.5%</f>
        <v>#VALUE!</v>
      </c>
      <c r="N66" s="2529" t="e">
        <f>IF(M66&gt;0.5,0.5,ROUND(M66,0))</f>
        <v>#VALUE!</v>
      </c>
      <c r="O66" s="2527" t="s">
        <v>2713</v>
      </c>
      <c r="P66" s="2527"/>
      <c r="Q66" s="1278"/>
    </row>
    <row r="67" spans="1:36" ht="12.75">
      <c r="A67" s="53" t="s">
        <v>42</v>
      </c>
      <c r="B67" s="54" t="s">
        <v>1773</v>
      </c>
      <c r="C67" s="2760">
        <f ca="1">C63-C66</f>
        <v>1323</v>
      </c>
      <c r="D67" s="50" t="s">
        <v>41</v>
      </c>
      <c r="E67" s="52"/>
      <c r="F67" s="2953"/>
      <c r="G67" s="2953"/>
      <c r="H67" s="2955"/>
      <c r="I67" s="31"/>
      <c r="K67" s="3505"/>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73</v>
      </c>
      <c r="D68" s="2212">
        <f>'数据-取费表'!E29</f>
        <v>5.5000000000000007E-2</v>
      </c>
      <c r="E68" s="57"/>
      <c r="F68" s="2953"/>
      <c r="G68" s="2953"/>
      <c r="H68" s="2955"/>
      <c r="I68" s="31"/>
      <c r="K68" s="3505"/>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5"/>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1" t="s">
        <v>1778</v>
      </c>
      <c r="B70" s="3482"/>
      <c r="C70" s="3482"/>
      <c r="D70" s="3482"/>
      <c r="E70" s="3482"/>
      <c r="F70" s="3482"/>
      <c r="G70" s="3482"/>
      <c r="H70" s="348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8" t="s">
        <v>1758</v>
      </c>
      <c r="B71" s="3479"/>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1323</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7</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21" t="s">
        <v>1788</v>
      </c>
      <c r="F76" s="3459"/>
      <c r="G76" s="3459"/>
      <c r="H76" s="347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7</v>
      </c>
      <c r="D78" s="2769">
        <f>'数据-取费表'!E31</f>
        <v>5.000000000000001E-3</v>
      </c>
      <c r="E78" s="3453" t="s">
        <v>1793</v>
      </c>
      <c r="F78" s="3454"/>
      <c r="G78" s="3454"/>
      <c r="H78" s="345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1316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188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787</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1" t="s">
        <v>1797</v>
      </c>
      <c r="B83" s="3482"/>
      <c r="C83" s="3482"/>
      <c r="D83" s="3482"/>
      <c r="E83" s="3482"/>
      <c r="F83" s="3482"/>
      <c r="G83" s="3482"/>
      <c r="H83" s="348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8" t="s">
        <v>1758</v>
      </c>
      <c r="B84" s="3479"/>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1323</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7</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4" t="s">
        <v>2677</v>
      </c>
      <c r="H90" s="3514"/>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53" t="s">
        <v>1805</v>
      </c>
      <c r="F91" s="3454"/>
      <c r="G91" s="3454"/>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53" t="s">
        <v>1808</v>
      </c>
      <c r="F92" s="3454"/>
      <c r="G92" s="3454"/>
      <c r="H92" s="3455"/>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7</v>
      </c>
      <c r="D93" s="2769">
        <f>'数据-取费表'!E31</f>
        <v>5.000000000000001E-3</v>
      </c>
      <c r="E93" s="3453" t="s">
        <v>1793</v>
      </c>
      <c r="F93" s="3454"/>
      <c r="G93" s="3454"/>
      <c r="H93" s="345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53" t="s">
        <v>1810</v>
      </c>
      <c r="F94" s="3454"/>
      <c r="G94" s="3454"/>
      <c r="H94" s="345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1316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188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787</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500" t="s">
        <v>1812</v>
      </c>
      <c r="B99" s="3501"/>
      <c r="C99" s="3501"/>
      <c r="D99" s="3502"/>
      <c r="E99" s="1431"/>
      <c r="F99" s="3509" t="s">
        <v>1813</v>
      </c>
      <c r="G99" s="3510"/>
      <c r="H99" s="3510"/>
      <c r="I99" s="3511"/>
      <c r="J99" s="2831"/>
    </row>
    <row r="100" spans="1:36" ht="15">
      <c r="A100" s="3512" t="s">
        <v>1814</v>
      </c>
      <c r="B100" s="3513"/>
      <c r="C100" s="1277" t="str">
        <f>C4</f>
        <v>比较法-商业</v>
      </c>
      <c r="D100" s="2779" t="str">
        <f>D4</f>
        <v>收益法</v>
      </c>
      <c r="E100" s="1431"/>
      <c r="F100" s="3424" t="s">
        <v>2721</v>
      </c>
      <c r="G100" s="3425"/>
      <c r="H100" s="3424" t="s">
        <v>2722</v>
      </c>
      <c r="I100" s="3423"/>
      <c r="J100" s="2832"/>
    </row>
    <row r="101" spans="1:36" ht="12.75">
      <c r="A101" s="3492" t="s">
        <v>2754</v>
      </c>
      <c r="B101" s="2277" t="str">
        <f>IF(H19="元","总价（元）","总价（万元）")</f>
        <v>总价（万元）</v>
      </c>
      <c r="C101" s="1277">
        <f ca="1">C19</f>
        <v>1346</v>
      </c>
      <c r="D101" s="2779">
        <f ca="1">D19</f>
        <v>1432</v>
      </c>
      <c r="E101" s="1431"/>
      <c r="F101" s="3424" t="str">
        <f>项目基本情况!I1</f>
        <v>北京市房地产</v>
      </c>
      <c r="G101" s="3425"/>
      <c r="H101" s="3422">
        <f>项目基本情况!C12</f>
        <v>437.43</v>
      </c>
      <c r="I101" s="3423"/>
      <c r="J101" s="2832"/>
    </row>
    <row r="102" spans="1:36" ht="12.75">
      <c r="A102" s="3492"/>
      <c r="B102" s="2277" t="s">
        <v>2755</v>
      </c>
      <c r="C102" s="2780">
        <f ca="1">C20</f>
        <v>30768</v>
      </c>
      <c r="D102" s="2781">
        <f ca="1">D20</f>
        <v>32741</v>
      </c>
      <c r="E102" s="1431"/>
      <c r="F102" s="3434" t="s">
        <v>2751</v>
      </c>
      <c r="G102" s="3435"/>
      <c r="H102" s="2789" t="str">
        <f>C106</f>
        <v>总价（万元）</v>
      </c>
      <c r="I102" s="2790">
        <f ca="1">H121</f>
        <v>1389</v>
      </c>
      <c r="J102" s="2832"/>
    </row>
    <row r="103" spans="1:36" ht="12.75">
      <c r="A103" s="3492" t="s">
        <v>2756</v>
      </c>
      <c r="B103" s="2215" t="str">
        <f>B101</f>
        <v>总价（万元）</v>
      </c>
      <c r="C103" s="2784">
        <f ca="1">H121</f>
        <v>1389</v>
      </c>
      <c r="D103" s="2782"/>
      <c r="E103" s="1431"/>
      <c r="F103" s="3434"/>
      <c r="G103" s="3435"/>
      <c r="H103" s="2789" t="s">
        <v>2724</v>
      </c>
      <c r="I103" s="52">
        <f ca="1">I121</f>
        <v>31754</v>
      </c>
      <c r="J103" s="2816"/>
    </row>
    <row r="104" spans="1:36" ht="13.5" thickBot="1">
      <c r="A104" s="3493"/>
      <c r="B104" s="2786" t="s">
        <v>2755</v>
      </c>
      <c r="C104" s="2787">
        <f ca="1">I121</f>
        <v>31754</v>
      </c>
      <c r="D104" s="2788"/>
      <c r="E104" s="1431"/>
      <c r="F104" s="3434"/>
      <c r="G104" s="3435"/>
      <c r="H104" s="3494"/>
      <c r="I104" s="3495"/>
      <c r="J104" s="2833"/>
    </row>
    <row r="105" spans="1:36" ht="15">
      <c r="A105" s="3500" t="s">
        <v>1815</v>
      </c>
      <c r="B105" s="3501"/>
      <c r="C105" s="3501"/>
      <c r="D105" s="3502"/>
      <c r="E105" s="1431"/>
      <c r="F105" s="3498" t="s">
        <v>2725</v>
      </c>
      <c r="G105" s="3499"/>
      <c r="H105" s="2791" t="str">
        <f>C108</f>
        <v>总额（万元）</v>
      </c>
      <c r="I105" s="2790">
        <f>SUMIF(I106:I108,"&lt;9E307")</f>
        <v>0</v>
      </c>
      <c r="J105" s="2832"/>
    </row>
    <row r="106" spans="1:36" ht="14.25">
      <c r="A106" s="3434" t="s">
        <v>2748</v>
      </c>
      <c r="B106" s="3435"/>
      <c r="C106" s="2789" t="str">
        <f>B101</f>
        <v>总价（万元）</v>
      </c>
      <c r="D106" s="2790">
        <f ca="1">H121</f>
        <v>1389</v>
      </c>
      <c r="E106" s="1431"/>
      <c r="F106" s="3436" t="s">
        <v>2726</v>
      </c>
      <c r="G106" s="343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4"/>
      <c r="B107" s="3435"/>
      <c r="C107" s="2789" t="s">
        <v>2749</v>
      </c>
      <c r="D107" s="52">
        <f ca="1">I121</f>
        <v>31754</v>
      </c>
      <c r="E107" s="1431"/>
      <c r="F107" s="3436" t="s">
        <v>2727</v>
      </c>
      <c r="G107" s="3437"/>
      <c r="H107" s="2791" t="str">
        <f>C110</f>
        <v>总额（万元）</v>
      </c>
      <c r="I107" s="52">
        <f>C37</f>
        <v>0</v>
      </c>
      <c r="J107" s="2816"/>
    </row>
    <row r="108" spans="1:36" ht="12.75">
      <c r="A108" s="3441" t="s">
        <v>2725</v>
      </c>
      <c r="B108" s="3442"/>
      <c r="C108" s="2791" t="str">
        <f>IF(H19="元","总额（元）","总额（万元）")</f>
        <v>总额（万元）</v>
      </c>
      <c r="D108" s="2790">
        <f>IF(D36="正常操作",I106+I107+I108,I107+I108)</f>
        <v>0</v>
      </c>
      <c r="E108" s="1431"/>
      <c r="F108" s="3436" t="s">
        <v>2752</v>
      </c>
      <c r="G108" s="3437"/>
      <c r="H108" s="2791" t="str">
        <f>C111</f>
        <v>总额（万元）</v>
      </c>
      <c r="I108" s="52">
        <f>C38</f>
        <v>0</v>
      </c>
      <c r="J108" s="2816"/>
    </row>
    <row r="109" spans="1:36" ht="12.75">
      <c r="A109" s="3436" t="s">
        <v>2726</v>
      </c>
      <c r="B109" s="3437"/>
      <c r="C109" s="2791" t="str">
        <f>C108</f>
        <v>总额（万元）</v>
      </c>
      <c r="D109" s="52">
        <f>IF(D36="同一抵押权人同一抵押物续贷",C36&amp;"（未扣减，详见特别提示）",C36)</f>
        <v>0</v>
      </c>
      <c r="E109" s="1431"/>
      <c r="F109" s="3434"/>
      <c r="G109" s="3435"/>
      <c r="H109" s="3496"/>
      <c r="I109" s="3497"/>
      <c r="J109" s="2834"/>
    </row>
    <row r="110" spans="1:36" ht="28.5" customHeight="1">
      <c r="A110" s="3436" t="s">
        <v>2750</v>
      </c>
      <c r="B110" s="3437"/>
      <c r="C110" s="2791" t="str">
        <f>C108</f>
        <v>总额（万元）</v>
      </c>
      <c r="D110" s="52">
        <f>C37</f>
        <v>0</v>
      </c>
      <c r="E110" s="1431"/>
      <c r="F110" s="3426" t="str">
        <f>IF(项目基本情况!F5="已注销","——","3.房地产抵押价值")</f>
        <v>3.房地产抵押价值</v>
      </c>
      <c r="G110" s="3427"/>
      <c r="H110" s="2777" t="str">
        <f>C112</f>
        <v>总价（万元）</v>
      </c>
      <c r="I110" s="2790">
        <f ca="1">IF(F110="——","——",I102-I105)</f>
        <v>1389</v>
      </c>
      <c r="J110" s="2832"/>
    </row>
    <row r="111" spans="1:36" ht="12.75">
      <c r="A111" s="3436" t="s">
        <v>2729</v>
      </c>
      <c r="B111" s="3437"/>
      <c r="C111" s="2791" t="str">
        <f>C108</f>
        <v>总额（万元）</v>
      </c>
      <c r="D111" s="52">
        <f>C38</f>
        <v>0</v>
      </c>
      <c r="E111" s="1431"/>
      <c r="F111" s="3525"/>
      <c r="G111" s="3526"/>
      <c r="H111" s="2789" t="s">
        <v>2724</v>
      </c>
      <c r="I111" s="2793">
        <f ca="1">D113</f>
        <v>31754</v>
      </c>
      <c r="J111" s="2835"/>
    </row>
    <row r="112" spans="1:36" ht="26.25" customHeight="1">
      <c r="A112" s="3434" t="str">
        <f>IF(项目基本情况!F5="已注销","——","3.房地产抵押价值")</f>
        <v>3.房地产抵押价值</v>
      </c>
      <c r="B112" s="3435"/>
      <c r="C112" s="2789" t="str">
        <f>B101</f>
        <v>总价（万元）</v>
      </c>
      <c r="D112" s="2790">
        <f ca="1">IF(A112="——","——",D106-D108)</f>
        <v>1389</v>
      </c>
      <c r="E112" s="1431"/>
      <c r="F112" s="3426" t="str">
        <f>IF(项目基本情况!F5="已注销及未注销","4.抵押担保权已注销时的房地产抵押价值",IF(项目基本情况!F5="已注销","3.抵押担保权已注销时的房地产抵押价值","——"))</f>
        <v>——</v>
      </c>
      <c r="G112" s="3427"/>
      <c r="H112" s="2777" t="str">
        <f>C114</f>
        <v>总价（万元）</v>
      </c>
      <c r="I112" s="2790" t="str">
        <f>IF(F112="——","——",I102-I107-I108)</f>
        <v>——</v>
      </c>
      <c r="J112" s="2832"/>
    </row>
    <row r="113" spans="1:16" ht="12.75">
      <c r="A113" s="3434"/>
      <c r="B113" s="3435"/>
      <c r="C113" s="2789" t="s">
        <v>2717</v>
      </c>
      <c r="D113" s="52">
        <f ca="1">ROUND(IF(D112=D106,D107,IF(H19="元",D112/项目基本情况!C12,D112*10000/项目基本情况!C12)),0)</f>
        <v>31754</v>
      </c>
      <c r="E113" s="1431"/>
      <c r="F113" s="3525"/>
      <c r="G113" s="3526"/>
      <c r="H113" s="2789" t="s">
        <v>2753</v>
      </c>
      <c r="I113" s="52" t="str">
        <f>D115</f>
        <v>——</v>
      </c>
      <c r="J113" s="2816"/>
    </row>
    <row r="114" spans="1:16" ht="12.75">
      <c r="A114" s="3434" t="str">
        <f>IF(项目基本情况!F5="已注销及未注销","4.抵押担保权已注销时的房地产抵押价值",IF(项目基本情况!F5="已注销","3.抵押担保权已注销时的房地产抵押价值","——"))</f>
        <v>——</v>
      </c>
      <c r="B114" s="3435"/>
      <c r="C114" s="2789" t="str">
        <f>B101</f>
        <v>总价（万元）</v>
      </c>
      <c r="D114" s="2790" t="str">
        <f>IF(A114="——","——",D106-D110-D111)</f>
        <v>——</v>
      </c>
      <c r="E114" s="1431"/>
      <c r="F114" s="3426" t="str">
        <f>IF(项目基本情况!G5="抵押净值",IF(OR(项目基本情况!F5="已注销",项目基本情况!F5="房地产抵押价值"),"4.抵押净值","5.抵押净值"),"——")</f>
        <v>——</v>
      </c>
      <c r="G114" s="3427"/>
      <c r="H114" s="2789" t="str">
        <f>C116</f>
        <v>总价（万元）</v>
      </c>
      <c r="I114" s="2790" t="str">
        <f>IF(F114="——","——",O59)</f>
        <v>——</v>
      </c>
      <c r="J114" s="2832"/>
    </row>
    <row r="115" spans="1:16" ht="13.5" thickBot="1">
      <c r="A115" s="3434"/>
      <c r="B115" s="3435"/>
      <c r="C115" s="2789" t="s">
        <v>2717</v>
      </c>
      <c r="D115" s="52" t="str">
        <f>IF(A114="——","——",ROUND(IF(D114=D106,D107,IF(H19="元",D114/项目基本情况!C12,D114*10000/项目基本情况!C12)),0))</f>
        <v>——</v>
      </c>
      <c r="E115" s="1431"/>
      <c r="F115" s="3428"/>
      <c r="G115" s="3429"/>
      <c r="H115" s="2794" t="s">
        <v>2717</v>
      </c>
      <c r="I115" s="2778" t="str">
        <f ca="1">D117</f>
        <v>——</v>
      </c>
      <c r="J115" s="2816"/>
    </row>
    <row r="116" spans="1:16" ht="15.75">
      <c r="A116" s="3434" t="str">
        <f>IF(项目基本情况!G5="抵押净值",IF(OR(项目基本情况!F5="已注销",项目基本情况!F5="房地产抵押价值"),"4.抵押净值","5.抵押净值"),"——")</f>
        <v>——</v>
      </c>
      <c r="B116" s="3435"/>
      <c r="C116" s="2789" t="str">
        <f>B101</f>
        <v>总价（万元）</v>
      </c>
      <c r="D116" s="2790" t="str">
        <f>IF(A116="——","——",O59)</f>
        <v>——</v>
      </c>
      <c r="E116" s="1431"/>
      <c r="F116" s="3520"/>
      <c r="G116" s="3520"/>
      <c r="H116" s="3484"/>
      <c r="I116" s="3484"/>
      <c r="J116" s="2836"/>
      <c r="O116" s="32"/>
      <c r="P116" s="32"/>
    </row>
    <row r="117" spans="1:16" ht="13.5" thickBot="1">
      <c r="A117" s="3439"/>
      <c r="B117" s="3440"/>
      <c r="C117" s="2794" t="s">
        <v>2717</v>
      </c>
      <c r="D117" s="2778" t="str">
        <f ca="1">IF(D116=D112,D113,IF(A116="——","——",O61))</f>
        <v>——</v>
      </c>
      <c r="E117" s="1431"/>
      <c r="F117" s="3418" t="str">
        <f>IF(B32="总价","（以上估价结果中单价为总价除以建筑面积得出）","（以上估价结果中总价为楼面单价乘以建筑面积得出）")</f>
        <v>（以上估价结果中单价为总价除以建筑面积得出）</v>
      </c>
      <c r="G117" s="3418"/>
      <c r="H117" s="3418"/>
      <c r="I117" s="3418"/>
      <c r="J117" s="2837"/>
      <c r="O117" s="32"/>
      <c r="P117" s="32"/>
    </row>
    <row r="118" spans="1:16" ht="15">
      <c r="A118" s="3485" t="s">
        <v>1816</v>
      </c>
      <c r="B118" s="3486"/>
      <c r="C118" s="3486"/>
      <c r="D118" s="3486"/>
      <c r="E118" s="3486"/>
      <c r="F118" s="3486"/>
      <c r="G118" s="3486"/>
      <c r="H118" s="3486"/>
      <c r="I118" s="3486"/>
      <c r="J118" s="2838"/>
    </row>
    <row r="119" spans="1:16" ht="12.75">
      <c r="A119" s="3419" t="s">
        <v>2735</v>
      </c>
      <c r="B119" s="3445" t="s">
        <v>2745</v>
      </c>
      <c r="C119" s="3445" t="s">
        <v>2746</v>
      </c>
      <c r="D119" s="3507" t="s">
        <v>2737</v>
      </c>
      <c r="E119" s="3508"/>
      <c r="F119" s="3420" t="s">
        <v>2747</v>
      </c>
      <c r="G119" s="3420"/>
      <c r="H119" s="3420" t="s">
        <v>2738</v>
      </c>
      <c r="I119" s="3506"/>
      <c r="J119" s="2816"/>
    </row>
    <row r="120" spans="1:16" ht="12.75">
      <c r="A120" s="3419"/>
      <c r="B120" s="3446"/>
      <c r="C120" s="3446"/>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437.43</v>
      </c>
      <c r="C121" s="2062">
        <f>项目基本情况!C13</f>
        <v>0</v>
      </c>
      <c r="D121" s="2062">
        <f ca="1">ROUND(IF(B32="总价",C34,IF('数据-取费表'!B3="万元",E121*B121/10000,E121*B121)),0)</f>
        <v>1145</v>
      </c>
      <c r="E121" s="2062">
        <f ca="1">ROUND(IF(B32="楼面单价",C34,IF(H19="元",D121/B121,D121*10000/B121)),0)</f>
        <v>26176</v>
      </c>
      <c r="F121" s="2062">
        <f ca="1">ROUND(IF(B32="总价",C35,IF('数据-取费表'!B3="万元",G121*B121/10000,G121*B121)),0)</f>
        <v>244</v>
      </c>
      <c r="G121" s="2062">
        <f ca="1">ROUND(IF(B32="楼面单价",C35,IF(H19="元",F121/B121,F121*10000/B121)),0)</f>
        <v>5578</v>
      </c>
      <c r="H121" s="2062">
        <f ca="1">ROUND(IF(B32="总价",C32,IF('数据-取费表'!B3="万元",I121*B121/10000,I121*B121)),0)</f>
        <v>1389</v>
      </c>
      <c r="I121" s="52">
        <f ca="1">ROUND(IF(B32="楼面单价",C32,IF(H19="元",H121/B121,H121*10000/B121)),0)</f>
        <v>31754</v>
      </c>
      <c r="J121" s="2816"/>
    </row>
    <row r="122" spans="1:16" ht="12.75">
      <c r="A122" s="3419" t="s">
        <v>2741</v>
      </c>
      <c r="B122" s="3420"/>
      <c r="C122" s="3420"/>
      <c r="D122" s="3447" t="str">
        <f ca="1">IF(H19="元",NUMBERSTRING(INT(D121),2)&amp;"元整",NUMBERSTRING(INT(D121*10000),2)&amp;"元整")</f>
        <v>壹仟壹佰肆拾伍万元整</v>
      </c>
      <c r="E122" s="3490"/>
      <c r="F122" s="3447" t="str">
        <f ca="1">IF(H19="元",NUMBERSTRING(INT(F121),2)&amp;"元整",NUMBERSTRING(INT(F121*10000),2)&amp;"元整")</f>
        <v>贰佰肆拾肆万元整</v>
      </c>
      <c r="G122" s="3490"/>
      <c r="H122" s="3447" t="str">
        <f ca="1">IF(H19="元",NUMBERSTRING(INT(H121),2)&amp;"元整",NUMBERSTRING(INT(H121*10000),2)&amp;"元整")</f>
        <v>壹仟叁佰捌拾玖万元整</v>
      </c>
      <c r="I122" s="3448"/>
      <c r="J122" s="2839"/>
    </row>
    <row r="123" spans="1:16" ht="12.75">
      <c r="A123" s="3424" t="str">
        <f>IF(项目基本情况!D5="房地产市场价值","——",MID(A108,3,LEN(A108)-2))</f>
        <v>估价师所知悉的法定优先受偿款</v>
      </c>
      <c r="B123" s="3430"/>
      <c r="C123" s="3425"/>
      <c r="D123" s="3422">
        <f>I105</f>
        <v>0</v>
      </c>
      <c r="E123" s="3430"/>
      <c r="F123" s="3430"/>
      <c r="G123" s="3430"/>
      <c r="H123" s="3430"/>
      <c r="I123" s="3423"/>
      <c r="J123" s="2832"/>
    </row>
    <row r="124" spans="1:16" ht="12.75">
      <c r="A124" s="3491" t="s">
        <v>2741</v>
      </c>
      <c r="B124" s="3459"/>
      <c r="C124" s="3460"/>
      <c r="D124" s="3431">
        <f>H109</f>
        <v>0</v>
      </c>
      <c r="E124" s="3432"/>
      <c r="F124" s="3432"/>
      <c r="G124" s="3432"/>
      <c r="H124" s="3432"/>
      <c r="I124" s="3433"/>
      <c r="J124" s="2840"/>
    </row>
    <row r="125" spans="1:16" ht="12.75">
      <c r="A125" s="3434" t="str">
        <f>IF(项目基本情况!D5="房地产市场价值","——",MID(A112,3,LEN(A112)-2))</f>
        <v>房地产抵押价值</v>
      </c>
      <c r="B125" s="3435"/>
      <c r="C125" s="3435"/>
      <c r="D125" s="3422">
        <f ca="1">I110</f>
        <v>1389</v>
      </c>
      <c r="E125" s="3430"/>
      <c r="F125" s="3430"/>
      <c r="G125" s="3430"/>
      <c r="H125" s="3430"/>
      <c r="I125" s="3423"/>
      <c r="J125" s="2832"/>
    </row>
    <row r="126" spans="1:16" ht="12.75">
      <c r="A126" s="3419" t="s">
        <v>2741</v>
      </c>
      <c r="B126" s="3420"/>
      <c r="C126" s="3420"/>
      <c r="D126" s="3431">
        <f ca="1">I111</f>
        <v>31754</v>
      </c>
      <c r="E126" s="3432"/>
      <c r="F126" s="3432"/>
      <c r="G126" s="3432"/>
      <c r="H126" s="3432"/>
      <c r="I126" s="3433"/>
      <c r="J126" s="2840"/>
    </row>
    <row r="127" spans="1:16" ht="13.5" thickBot="1">
      <c r="A127" s="3434" t="str">
        <f>IF(项目基本情况!D5="房地产市场价值","——",MID(A114,3,LEN(A114)-2))</f>
        <v/>
      </c>
      <c r="B127" s="3435"/>
      <c r="C127" s="3435"/>
      <c r="D127" s="3467" t="str">
        <f>I112</f>
        <v>——</v>
      </c>
      <c r="E127" s="3468"/>
      <c r="F127" s="3468"/>
      <c r="G127" s="3468"/>
      <c r="H127" s="3468"/>
      <c r="I127" s="3519"/>
      <c r="J127" s="2832"/>
    </row>
    <row r="128" spans="1:16" ht="14.25" thickTop="1" thickBot="1">
      <c r="A128" s="3419" t="s">
        <v>2741</v>
      </c>
      <c r="B128" s="3420"/>
      <c r="C128" s="3421"/>
      <c r="D128" s="3483" t="str">
        <f>I113</f>
        <v>——</v>
      </c>
      <c r="E128" s="3483"/>
      <c r="F128" s="3483"/>
      <c r="G128" s="3483"/>
      <c r="H128" s="3483"/>
      <c r="I128" s="3483"/>
      <c r="J128" s="2840"/>
    </row>
    <row r="129" spans="1:10" ht="14.25" thickTop="1" thickBot="1">
      <c r="A129" s="3434" t="str">
        <f>IF(项目基本情况!D5="房地产市场价值","——",MID(F114,3,LEN(F114)-2))</f>
        <v/>
      </c>
      <c r="B129" s="3435"/>
      <c r="C129" s="3422"/>
      <c r="D129" s="3438" t="str">
        <f>I114</f>
        <v>——</v>
      </c>
      <c r="E129" s="3438"/>
      <c r="F129" s="3438"/>
      <c r="G129" s="3438"/>
      <c r="H129" s="3438"/>
      <c r="I129" s="3438"/>
      <c r="J129" s="2832"/>
    </row>
    <row r="130" spans="1:10" ht="14.25" thickTop="1" thickBot="1">
      <c r="A130" s="3443" t="s">
        <v>2741</v>
      </c>
      <c r="B130" s="3444"/>
      <c r="C130" s="3444"/>
      <c r="D130" s="3449">
        <f>H116</f>
        <v>0</v>
      </c>
      <c r="E130" s="3450"/>
      <c r="F130" s="3450"/>
      <c r="G130" s="3450"/>
      <c r="H130" s="3450"/>
      <c r="I130" s="3451"/>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7" t="str">
        <f>IF(B32="总价","（以上估价结果中楼面单价为总价除以建筑面积得出）","（以上估价结果中总价为楼面单价乘以建筑面积得出）")</f>
        <v>（以上估价结果中楼面单价为总价除以建筑面积得出）</v>
      </c>
      <c r="B132" s="3417"/>
      <c r="C132" s="3417"/>
      <c r="D132" s="3417"/>
      <c r="E132" s="3417"/>
      <c r="F132" s="3417"/>
      <c r="G132" s="3417"/>
      <c r="H132" s="3417"/>
      <c r="I132" s="3417"/>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pageSetUpPr fitToPage="1"/>
  </sheetPr>
  <dimension ref="A1:AC131"/>
  <sheetViews>
    <sheetView view="pageBreakPreview" topLeftCell="A19" zoomScale="80" zoomScaleNormal="70" zoomScaleSheetLayoutView="80" workbookViewId="0">
      <selection activeCell="H46" sqref="H46"/>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1346</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30768</v>
      </c>
      <c r="C3" s="1630" t="s">
        <v>2187</v>
      </c>
      <c r="D3" s="1630">
        <f>IF(C1="仅计算典型户型",'数据-取费表'!E5,'数据-取费表'!B5)</f>
        <v>437.43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2045"/>
      <c r="Y4" s="3539" t="s">
        <v>2194</v>
      </c>
      <c r="Z4" s="3540"/>
      <c r="AA4" s="3550" t="s">
        <v>2190</v>
      </c>
      <c r="AB4" s="3563" t="s">
        <v>2191</v>
      </c>
      <c r="AC4" s="3550" t="s">
        <v>2192</v>
      </c>
    </row>
    <row r="5" spans="1:29" ht="15">
      <c r="A5" s="1638"/>
      <c r="B5" s="1639"/>
      <c r="C5" s="3566" t="s">
        <v>2195</v>
      </c>
      <c r="D5" s="3567"/>
      <c r="E5" s="3564" t="s">
        <v>3009</v>
      </c>
      <c r="F5" s="3565"/>
      <c r="G5" s="3564" t="s">
        <v>3009</v>
      </c>
      <c r="H5" s="3565"/>
      <c r="I5" s="3570" t="s">
        <v>3010</v>
      </c>
      <c r="J5" s="3567"/>
      <c r="K5" s="1936"/>
      <c r="L5" s="2967"/>
      <c r="M5" s="2968"/>
      <c r="N5" s="2968"/>
      <c r="O5" s="2968"/>
      <c r="P5" s="3559"/>
      <c r="Q5" s="3560"/>
      <c r="R5" s="3541"/>
      <c r="S5" s="3542"/>
      <c r="T5" s="3541"/>
      <c r="U5" s="3542"/>
      <c r="V5" s="3563"/>
      <c r="W5" s="3563"/>
      <c r="X5" s="2045"/>
      <c r="Y5" s="3541"/>
      <c r="Z5" s="3542"/>
      <c r="AA5" s="3551"/>
      <c r="AB5" s="3563"/>
      <c r="AC5" s="3551"/>
    </row>
    <row r="6" spans="1:29" ht="15.7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2045"/>
      <c r="Y6" s="3543"/>
      <c r="Z6" s="3544"/>
      <c r="AA6" s="3552"/>
      <c r="AB6" s="3563"/>
      <c r="AC6" s="3552"/>
    </row>
    <row r="7" spans="1:29" s="1655" customFormat="1" ht="15.75" thickBot="1">
      <c r="A7" s="1643" t="s">
        <v>2201</v>
      </c>
      <c r="B7" s="1644"/>
      <c r="C7" s="1645">
        <f>'数据-取费表'!B2</f>
        <v>44631</v>
      </c>
      <c r="D7" s="1646">
        <v>100</v>
      </c>
      <c r="E7" s="1647">
        <f>C7</f>
        <v>44631</v>
      </c>
      <c r="F7" s="1648">
        <f>SUMIF(58:58,YEAR(E7)&amp;"-"&amp;MONTH(E7),59:59)</f>
        <v>100</v>
      </c>
      <c r="G7" s="1647">
        <f>C7</f>
        <v>44631</v>
      </c>
      <c r="H7" s="1646">
        <f>SUMIF(58:58,YEAR(G7)&amp;"-"&amp;MONTH(G7),59:59)</f>
        <v>100</v>
      </c>
      <c r="I7" s="1647">
        <f>C7</f>
        <v>44631</v>
      </c>
      <c r="J7" s="1646">
        <f>SUMIF(58:58,YEAR(I7)&amp;"-"&amp;MONTH(I7),59:59)</f>
        <v>100</v>
      </c>
      <c r="K7" s="1938"/>
      <c r="L7" s="2967"/>
      <c r="M7" s="2940"/>
      <c r="N7" s="2940"/>
      <c r="O7" s="2940"/>
      <c r="P7" s="3537" t="s">
        <v>2202</v>
      </c>
      <c r="Q7" s="3545"/>
      <c r="R7" s="1651" t="s">
        <v>25</v>
      </c>
      <c r="S7" s="1652">
        <f t="shared" ref="S7:S15" si="0">F7</f>
        <v>100</v>
      </c>
      <c r="T7" s="1651" t="s">
        <v>25</v>
      </c>
      <c r="U7" s="1652">
        <f t="shared" ref="U7:U15" si="1">H7</f>
        <v>100</v>
      </c>
      <c r="V7" s="1651" t="s">
        <v>25</v>
      </c>
      <c r="W7" s="1652">
        <f t="shared" ref="W7:W15" si="2">J7</f>
        <v>100</v>
      </c>
      <c r="X7" s="1653"/>
      <c r="Y7" s="3537" t="s">
        <v>2202</v>
      </c>
      <c r="Z7" s="3538"/>
      <c r="AA7" s="1654">
        <f>D7/F7</f>
        <v>1</v>
      </c>
      <c r="AB7" s="1654">
        <f>D7/H7</f>
        <v>1</v>
      </c>
      <c r="AC7" s="1654">
        <f>D7/J7</f>
        <v>1</v>
      </c>
    </row>
    <row r="8" spans="1:29" s="1655" customFormat="1" ht="15.75" thickBot="1">
      <c r="A8" s="1643" t="s">
        <v>2203</v>
      </c>
      <c r="B8" s="1644"/>
      <c r="C8" s="1656" t="s">
        <v>2204</v>
      </c>
      <c r="D8" s="1646">
        <v>100</v>
      </c>
      <c r="E8" s="1656" t="s">
        <v>2817</v>
      </c>
      <c r="F8" s="1648">
        <f>SUMIF(61:61,E8,62:62)-SUMIF(61:61,C8,62:62)+100</f>
        <v>100</v>
      </c>
      <c r="G8" s="1656" t="s">
        <v>2817</v>
      </c>
      <c r="H8" s="1646">
        <f>SUMIF(61:61,G8,62:62)-SUMIF(61:61,C8,62:62)+100</f>
        <v>100</v>
      </c>
      <c r="I8" s="1656" t="s">
        <v>2817</v>
      </c>
      <c r="J8" s="1646">
        <f>SUMIF(61:61,I8,62:62)-SUMIF(61:61,C8,62:62)+100</f>
        <v>100</v>
      </c>
      <c r="K8" s="1938"/>
      <c r="L8" s="2967"/>
      <c r="M8" s="2940"/>
      <c r="N8" s="2940"/>
      <c r="O8" s="2940"/>
      <c r="P8" s="3537" t="s">
        <v>2205</v>
      </c>
      <c r="Q8" s="3538"/>
      <c r="R8" s="1651" t="s">
        <v>25</v>
      </c>
      <c r="S8" s="1652">
        <f t="shared" si="0"/>
        <v>100</v>
      </c>
      <c r="T8" s="1651" t="s">
        <v>25</v>
      </c>
      <c r="U8" s="1652">
        <f t="shared" si="1"/>
        <v>100</v>
      </c>
      <c r="V8" s="1651" t="s">
        <v>25</v>
      </c>
      <c r="W8" s="1652">
        <f t="shared" si="2"/>
        <v>100</v>
      </c>
      <c r="X8" s="1653"/>
      <c r="Y8" s="3537" t="s">
        <v>2205</v>
      </c>
      <c r="Z8" s="3538"/>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73" t="s">
        <v>2208</v>
      </c>
      <c r="Q9" s="2036"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7">
      <c r="A10" s="1665"/>
      <c r="B10" s="1666" t="s">
        <v>2210</v>
      </c>
      <c r="C10" s="1667" t="s">
        <v>2993</v>
      </c>
      <c r="D10" s="1668">
        <v>100</v>
      </c>
      <c r="E10" s="1669" t="s">
        <v>2993</v>
      </c>
      <c r="F10" s="1670">
        <f>SUMIF(65:65,E10,66:66)-SUMIF(65:65,C10,66:66)+100</f>
        <v>100</v>
      </c>
      <c r="G10" s="1667" t="s">
        <v>2993</v>
      </c>
      <c r="H10" s="1668">
        <f>SUMIF(65:65,G10,66:66)-SUMIF(65:65,C10,66:66)+100</f>
        <v>100</v>
      </c>
      <c r="I10" s="1667" t="s">
        <v>3026</v>
      </c>
      <c r="J10" s="1668">
        <f>SUMIF(65:65,I10,66:66)-SUMIF(65:65,C10,66:66)+100</f>
        <v>102</v>
      </c>
      <c r="K10" s="1963">
        <v>2</v>
      </c>
      <c r="L10" s="2969"/>
      <c r="M10" s="2970"/>
      <c r="N10" s="2970"/>
      <c r="O10" s="2970"/>
      <c r="P10" s="3573"/>
      <c r="Q10" s="2036" t="str">
        <f t="shared" si="6"/>
        <v>土地使用年限（年）</v>
      </c>
      <c r="R10" s="1651" t="s">
        <v>25</v>
      </c>
      <c r="S10" s="1652">
        <f t="shared" si="0"/>
        <v>100</v>
      </c>
      <c r="T10" s="1651" t="s">
        <v>25</v>
      </c>
      <c r="U10" s="1652">
        <f t="shared" si="1"/>
        <v>100</v>
      </c>
      <c r="V10" s="1651" t="s">
        <v>25</v>
      </c>
      <c r="W10" s="1652">
        <f t="shared" si="2"/>
        <v>102</v>
      </c>
      <c r="X10" s="1653"/>
      <c r="Y10" s="3452"/>
      <c r="Z10" s="1664" t="str">
        <f t="shared" si="7"/>
        <v>土地使用年限（年）</v>
      </c>
      <c r="AA10" s="1654">
        <f t="shared" si="3"/>
        <v>1</v>
      </c>
      <c r="AB10" s="1654">
        <f t="shared" si="4"/>
        <v>1</v>
      </c>
      <c r="AC10" s="1654">
        <f t="shared" si="5"/>
        <v>0.98039215686274506</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v>2</v>
      </c>
      <c r="L11" s="2971"/>
      <c r="M11" s="2968"/>
      <c r="N11" s="2968"/>
      <c r="O11" s="2968"/>
      <c r="P11" s="3573"/>
      <c r="Q11" s="2036" t="str">
        <f t="shared" si="6"/>
        <v>容积率</v>
      </c>
      <c r="R11" s="1651" t="s">
        <v>25</v>
      </c>
      <c r="S11" s="1652">
        <f t="shared" si="0"/>
        <v>100</v>
      </c>
      <c r="T11" s="1651" t="s">
        <v>25</v>
      </c>
      <c r="U11" s="1652">
        <f t="shared" si="1"/>
        <v>100</v>
      </c>
      <c r="V11" s="1651" t="s">
        <v>25</v>
      </c>
      <c r="W11" s="1652">
        <f t="shared" si="2"/>
        <v>100</v>
      </c>
      <c r="X11" s="1653"/>
      <c r="Y11" s="3452"/>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73"/>
      <c r="Q12" s="2036">
        <f t="shared" si="6"/>
        <v>111</v>
      </c>
      <c r="R12" s="1651" t="s">
        <v>25</v>
      </c>
      <c r="S12" s="1652">
        <f t="shared" si="0"/>
        <v>100</v>
      </c>
      <c r="T12" s="1651" t="s">
        <v>25</v>
      </c>
      <c r="U12" s="1652">
        <f t="shared" si="1"/>
        <v>100</v>
      </c>
      <c r="V12" s="1651" t="s">
        <v>25</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73"/>
      <c r="Q13" s="2036">
        <f t="shared" si="6"/>
        <v>111</v>
      </c>
      <c r="R13" s="1651" t="s">
        <v>25</v>
      </c>
      <c r="S13" s="1652">
        <f t="shared" si="0"/>
        <v>100</v>
      </c>
      <c r="T13" s="1651" t="s">
        <v>25</v>
      </c>
      <c r="U13" s="1652">
        <f t="shared" si="1"/>
        <v>100</v>
      </c>
      <c r="V13" s="1651" t="s">
        <v>25</v>
      </c>
      <c r="W13" s="1652">
        <f t="shared" si="2"/>
        <v>100</v>
      </c>
      <c r="X13" s="1653"/>
      <c r="Y13" s="345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73"/>
      <c r="Q14" s="2036">
        <f t="shared" si="6"/>
        <v>111</v>
      </c>
      <c r="R14" s="1651" t="s">
        <v>25</v>
      </c>
      <c r="S14" s="1652">
        <f t="shared" si="0"/>
        <v>100</v>
      </c>
      <c r="T14" s="1651" t="s">
        <v>25</v>
      </c>
      <c r="U14" s="1652">
        <f t="shared" si="1"/>
        <v>100</v>
      </c>
      <c r="V14" s="1651" t="s">
        <v>25</v>
      </c>
      <c r="W14" s="1652">
        <f t="shared" si="2"/>
        <v>100</v>
      </c>
      <c r="X14" s="1653"/>
      <c r="Y14" s="3452"/>
      <c r="Z14" s="1664">
        <f t="shared" si="7"/>
        <v>111</v>
      </c>
      <c r="AA14" s="1654">
        <f t="shared" si="3"/>
        <v>1</v>
      </c>
      <c r="AB14" s="1654">
        <f t="shared" si="4"/>
        <v>1</v>
      </c>
      <c r="AC14" s="1654">
        <f t="shared" si="5"/>
        <v>1</v>
      </c>
    </row>
    <row r="15" spans="1:29" ht="15">
      <c r="A15" s="1688" t="s">
        <v>2212</v>
      </c>
      <c r="B15" s="1689" t="s">
        <v>2298</v>
      </c>
      <c r="C15" s="1690" t="str">
        <f>估价对象房地状况!C4</f>
        <v>较好</v>
      </c>
      <c r="D15" s="1691">
        <v>100</v>
      </c>
      <c r="E15" s="1692"/>
      <c r="F15" s="1693">
        <f>SUMIF(76:76,E16,77:77)-SUMIF(76:76,C16,77:77)+100</f>
        <v>100</v>
      </c>
      <c r="G15" s="1694"/>
      <c r="H15" s="1691">
        <f>SUMIF(76:76,G16,77:77)-SUMIF(76:76,C16,77:77)+100</f>
        <v>100</v>
      </c>
      <c r="I15" s="1692"/>
      <c r="J15" s="1691">
        <f>SUMIF(76:76,I16,77:77)-SUMIF(76:76,C16,77:77)+100</f>
        <v>100</v>
      </c>
      <c r="K15" s="2443">
        <v>3</v>
      </c>
      <c r="L15" s="2972"/>
      <c r="M15" s="2968"/>
      <c r="N15" s="2968"/>
      <c r="O15" s="2968"/>
      <c r="P15" s="3546" t="s">
        <v>2213</v>
      </c>
      <c r="Q15" s="2042" t="str">
        <f t="shared" si="6"/>
        <v>商业繁华度</v>
      </c>
      <c r="R15" s="1696" t="s">
        <v>25</v>
      </c>
      <c r="S15" s="1697">
        <f t="shared" si="0"/>
        <v>100</v>
      </c>
      <c r="T15" s="1696" t="s">
        <v>25</v>
      </c>
      <c r="U15" s="1697">
        <f t="shared" si="1"/>
        <v>100</v>
      </c>
      <c r="V15" s="1696" t="s">
        <v>25</v>
      </c>
      <c r="W15" s="1697">
        <f t="shared" si="2"/>
        <v>100</v>
      </c>
      <c r="X15" s="2045"/>
      <c r="Y15" s="3548"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2"/>
      <c r="M16" s="2968"/>
      <c r="N16" s="2968"/>
      <c r="O16" s="2968"/>
      <c r="P16" s="3547"/>
      <c r="Q16" s="2042"/>
      <c r="R16" s="1696"/>
      <c r="S16" s="1697"/>
      <c r="T16" s="1696"/>
      <c r="U16" s="1697"/>
      <c r="V16" s="1696"/>
      <c r="W16" s="1697"/>
      <c r="X16" s="2045"/>
      <c r="Y16" s="3549"/>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v>2</v>
      </c>
      <c r="L17" s="2972"/>
      <c r="M17" s="2968"/>
      <c r="N17" s="2968"/>
      <c r="O17" s="2968"/>
      <c r="P17" s="3547"/>
      <c r="Q17" s="2042" t="str">
        <f>B17</f>
        <v>交通便捷度</v>
      </c>
      <c r="R17" s="1696" t="s">
        <v>25</v>
      </c>
      <c r="S17" s="1697">
        <f>F17</f>
        <v>100</v>
      </c>
      <c r="T17" s="1696" t="s">
        <v>25</v>
      </c>
      <c r="U17" s="1697">
        <f>H17</f>
        <v>100</v>
      </c>
      <c r="V17" s="1696" t="s">
        <v>25</v>
      </c>
      <c r="W17" s="1697">
        <f>J17</f>
        <v>100</v>
      </c>
      <c r="X17" s="2045"/>
      <c r="Y17" s="3549"/>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2"/>
      <c r="M18" s="2968"/>
      <c r="N18" s="2968"/>
      <c r="O18" s="2968"/>
      <c r="P18" s="3547"/>
      <c r="Q18" s="2042"/>
      <c r="R18" s="1696"/>
      <c r="S18" s="1697"/>
      <c r="T18" s="1696"/>
      <c r="U18" s="1697"/>
      <c r="V18" s="1696"/>
      <c r="W18" s="1697"/>
      <c r="X18" s="2045"/>
      <c r="Y18" s="3549"/>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47"/>
      <c r="Q19" s="2042" t="str">
        <f>B19</f>
        <v>公共配套设施</v>
      </c>
      <c r="R19" s="1696" t="s">
        <v>25</v>
      </c>
      <c r="S19" s="1697">
        <f>F19</f>
        <v>100</v>
      </c>
      <c r="T19" s="1696" t="s">
        <v>25</v>
      </c>
      <c r="U19" s="1697">
        <f>H19</f>
        <v>100</v>
      </c>
      <c r="V19" s="1696" t="s">
        <v>25</v>
      </c>
      <c r="W19" s="1697">
        <f>J19</f>
        <v>100</v>
      </c>
      <c r="X19" s="2045"/>
      <c r="Y19" s="3549"/>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2"/>
      <c r="M20" s="2968"/>
      <c r="N20" s="2968"/>
      <c r="O20" s="2968"/>
      <c r="P20" s="3547"/>
      <c r="Q20" s="2042"/>
      <c r="R20" s="1696"/>
      <c r="S20" s="1697"/>
      <c r="T20" s="1696"/>
      <c r="U20" s="1697"/>
      <c r="V20" s="1696"/>
      <c r="W20" s="1697"/>
      <c r="X20" s="2045"/>
      <c r="Y20" s="3549"/>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47"/>
      <c r="Q21" s="2042" t="str">
        <f>B21</f>
        <v>基础设施水平</v>
      </c>
      <c r="R21" s="1696" t="s">
        <v>25</v>
      </c>
      <c r="S21" s="1697">
        <f>F21</f>
        <v>100</v>
      </c>
      <c r="T21" s="1696" t="s">
        <v>25</v>
      </c>
      <c r="U21" s="1697">
        <f>H21</f>
        <v>100</v>
      </c>
      <c r="V21" s="1696" t="s">
        <v>25</v>
      </c>
      <c r="W21" s="1697">
        <f>J21</f>
        <v>100</v>
      </c>
      <c r="X21" s="2045"/>
      <c r="Y21" s="3549"/>
      <c r="Z21" s="2049" t="str">
        <f>Q21</f>
        <v>基础设施水平</v>
      </c>
      <c r="AA21" s="2040">
        <f t="shared" ref="AA21" si="8">D21/F21</f>
        <v>1</v>
      </c>
      <c r="AB21" s="2040">
        <f t="shared" ref="AB21" si="9">D21/H21</f>
        <v>1</v>
      </c>
      <c r="AC21" s="2040">
        <f t="shared" ref="AC21" si="10">D21/J21</f>
        <v>1</v>
      </c>
    </row>
    <row r="22" spans="1:29" ht="15">
      <c r="A22" s="1673"/>
      <c r="B22" s="1721"/>
      <c r="C22" s="1715" t="s">
        <v>3012</v>
      </c>
      <c r="D22" s="1702"/>
      <c r="E22" s="1715" t="s">
        <v>3012</v>
      </c>
      <c r="F22" s="1704"/>
      <c r="G22" s="1715" t="s">
        <v>3012</v>
      </c>
      <c r="H22" s="1702"/>
      <c r="I22" s="1715" t="s">
        <v>3012</v>
      </c>
      <c r="J22" s="1702"/>
      <c r="K22" s="2445"/>
      <c r="L22" s="2972"/>
      <c r="M22" s="2968"/>
      <c r="N22" s="2968"/>
      <c r="O22" s="2968"/>
      <c r="P22" s="3547"/>
      <c r="Q22" s="2042"/>
      <c r="R22" s="1696"/>
      <c r="S22" s="1697"/>
      <c r="T22" s="1696"/>
      <c r="U22" s="1697"/>
      <c r="V22" s="1696"/>
      <c r="W22" s="1697"/>
      <c r="X22" s="2045"/>
      <c r="Y22" s="3549"/>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47"/>
      <c r="Q23" s="2042" t="str">
        <f>B23</f>
        <v>自然及人文环境</v>
      </c>
      <c r="R23" s="1696" t="s">
        <v>25</v>
      </c>
      <c r="S23" s="1697">
        <f>F23</f>
        <v>100</v>
      </c>
      <c r="T23" s="1696" t="s">
        <v>25</v>
      </c>
      <c r="U23" s="1697">
        <f>H23</f>
        <v>100</v>
      </c>
      <c r="V23" s="1696" t="s">
        <v>25</v>
      </c>
      <c r="W23" s="1697">
        <f>J23</f>
        <v>100</v>
      </c>
      <c r="X23" s="2045"/>
      <c r="Y23" s="3549"/>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2"/>
      <c r="M24" s="2968"/>
      <c r="N24" s="2968"/>
      <c r="O24" s="2968"/>
      <c r="P24" s="3547"/>
      <c r="Q24" s="2042"/>
      <c r="R24" s="1696"/>
      <c r="S24" s="1697"/>
      <c r="T24" s="1696"/>
      <c r="U24" s="1697"/>
      <c r="V24" s="1696"/>
      <c r="W24" s="1697"/>
      <c r="X24" s="2045"/>
      <c r="Y24" s="3549"/>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v>2</v>
      </c>
      <c r="L25" s="2972"/>
      <c r="M25" s="2968"/>
      <c r="N25" s="2968"/>
      <c r="O25" s="2968"/>
      <c r="P25" s="3547"/>
      <c r="Q25" s="2042" t="str">
        <f t="shared" ref="Q25:Q46" si="11">B25</f>
        <v>临街状况</v>
      </c>
      <c r="R25" s="1696" t="s">
        <v>25</v>
      </c>
      <c r="S25" s="1697">
        <f>F25</f>
        <v>100</v>
      </c>
      <c r="T25" s="1696" t="s">
        <v>25</v>
      </c>
      <c r="U25" s="1697">
        <f>H25</f>
        <v>100</v>
      </c>
      <c r="V25" s="1696" t="s">
        <v>25</v>
      </c>
      <c r="W25" s="1697">
        <f>J25</f>
        <v>100</v>
      </c>
      <c r="X25" s="2045"/>
      <c r="Y25" s="3549"/>
      <c r="Z25" s="2049" t="str">
        <f>Q25</f>
        <v>临街状况</v>
      </c>
      <c r="AA25" s="2040">
        <f t="shared" si="3"/>
        <v>1</v>
      </c>
      <c r="AB25" s="2040">
        <f t="shared" si="4"/>
        <v>1</v>
      </c>
      <c r="AC25" s="2040">
        <f t="shared" si="5"/>
        <v>1</v>
      </c>
    </row>
    <row r="26" spans="1:29" ht="15">
      <c r="A26" s="1673"/>
      <c r="B26" s="1731" t="s">
        <v>2302</v>
      </c>
      <c r="C26" s="3324" t="s">
        <v>2995</v>
      </c>
      <c r="D26" s="1682">
        <v>100</v>
      </c>
      <c r="E26" s="3324" t="s">
        <v>2995</v>
      </c>
      <c r="F26" s="1725">
        <f>SUMIF(88:88,E26,89:89)-SUMIF(88:88,C26,89:89)+100</f>
        <v>100</v>
      </c>
      <c r="G26" s="3324" t="s">
        <v>2995</v>
      </c>
      <c r="H26" s="1682">
        <f>SUMIF(88:88,G26,89:89)-SUMIF(88:88,C26,89:89)+100</f>
        <v>100</v>
      </c>
      <c r="I26" s="3324" t="s">
        <v>2995</v>
      </c>
      <c r="J26" s="1682">
        <f>SUMIF(88:88,I26,89:89)-SUMIF(88:88,C26,89:89)+100</f>
        <v>100</v>
      </c>
      <c r="K26" s="1960"/>
      <c r="L26" s="2972"/>
      <c r="M26" s="2968"/>
      <c r="N26" s="2968"/>
      <c r="O26" s="2968"/>
      <c r="P26" s="3547"/>
      <c r="Q26" s="2042" t="str">
        <f t="shared" si="11"/>
        <v>平面位置/可视性</v>
      </c>
      <c r="R26" s="1696" t="s">
        <v>25</v>
      </c>
      <c r="S26" s="1697">
        <f>F26</f>
        <v>100</v>
      </c>
      <c r="T26" s="1696" t="s">
        <v>25</v>
      </c>
      <c r="U26" s="1697">
        <f>H26</f>
        <v>100</v>
      </c>
      <c r="V26" s="1696" t="s">
        <v>25</v>
      </c>
      <c r="W26" s="1697">
        <f>J26</f>
        <v>100</v>
      </c>
      <c r="X26" s="2045"/>
      <c r="Y26" s="3549"/>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v>2</v>
      </c>
      <c r="L27" s="2967"/>
      <c r="M27" s="2940"/>
      <c r="N27" s="2940"/>
      <c r="O27" s="2940"/>
      <c r="P27" s="3547"/>
      <c r="Q27" s="2036" t="str">
        <f t="shared" si="11"/>
        <v>人流量</v>
      </c>
      <c r="R27" s="1651" t="s">
        <v>25</v>
      </c>
      <c r="S27" s="1652">
        <f>F27</f>
        <v>100</v>
      </c>
      <c r="T27" s="1651" t="s">
        <v>25</v>
      </c>
      <c r="U27" s="1652">
        <f>H27</f>
        <v>100</v>
      </c>
      <c r="V27" s="1651" t="s">
        <v>25</v>
      </c>
      <c r="W27" s="1652">
        <f>J27</f>
        <v>100</v>
      </c>
      <c r="X27" s="1653"/>
      <c r="Y27" s="3549"/>
      <c r="Z27" s="1664" t="str">
        <f>Q27</f>
        <v>人流量</v>
      </c>
      <c r="AA27" s="2040">
        <f>D27/F27</f>
        <v>1</v>
      </c>
      <c r="AB27" s="2040">
        <f>D27/H27</f>
        <v>1</v>
      </c>
      <c r="AC27" s="2040">
        <f>D27/J27</f>
        <v>1</v>
      </c>
    </row>
    <row r="28" spans="1:29" ht="15">
      <c r="A28" s="1673"/>
      <c r="B28" s="1666" t="s">
        <v>2304</v>
      </c>
      <c r="C28" s="1962" t="s">
        <v>3007</v>
      </c>
      <c r="D28" s="1682">
        <v>100</v>
      </c>
      <c r="E28" s="1962" t="s">
        <v>3007</v>
      </c>
      <c r="F28" s="1725">
        <f>SUMIF(92:92,E28,93:93)-SUMIF(92:92,C28,93:93)+100</f>
        <v>100</v>
      </c>
      <c r="G28" s="1962" t="s">
        <v>3008</v>
      </c>
      <c r="H28" s="1682">
        <f>SUMIF(92:92,G28,93:93)-SUMIF(92:92,C28,93:93)+100</f>
        <v>80</v>
      </c>
      <c r="I28" s="1962" t="s">
        <v>3007</v>
      </c>
      <c r="J28" s="1682">
        <f>SUMIF(92:92,I28,93:93)-SUMIF(92:92,C28,93:93)+100</f>
        <v>100</v>
      </c>
      <c r="K28" s="1960"/>
      <c r="L28" s="2972"/>
      <c r="M28" s="2968"/>
      <c r="N28" s="2968"/>
      <c r="O28" s="2968"/>
      <c r="P28" s="3547"/>
      <c r="Q28" s="2042" t="str">
        <f t="shared" si="11"/>
        <v>楼层</v>
      </c>
      <c r="R28" s="1696" t="s">
        <v>25</v>
      </c>
      <c r="S28" s="1697">
        <f t="shared" ref="S28:S46" si="12">F28</f>
        <v>100</v>
      </c>
      <c r="T28" s="1696" t="s">
        <v>25</v>
      </c>
      <c r="U28" s="1697">
        <f t="shared" ref="U28:U46" si="13">H28</f>
        <v>80</v>
      </c>
      <c r="V28" s="1696" t="s">
        <v>25</v>
      </c>
      <c r="W28" s="1697">
        <f t="shared" ref="W28:W46" si="14">J28</f>
        <v>100</v>
      </c>
      <c r="X28" s="2045"/>
      <c r="Y28" s="3549"/>
      <c r="Z28" s="2049" t="str">
        <f t="shared" ref="Z28:Z46" si="15">Q28</f>
        <v>楼层</v>
      </c>
      <c r="AA28" s="2040">
        <f t="shared" si="3"/>
        <v>1</v>
      </c>
      <c r="AB28" s="2040">
        <f t="shared" si="4"/>
        <v>1.25</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47"/>
      <c r="Q29" s="2042">
        <f t="shared" si="11"/>
        <v>111</v>
      </c>
      <c r="R29" s="1696" t="s">
        <v>25</v>
      </c>
      <c r="S29" s="1697">
        <f t="shared" si="12"/>
        <v>100</v>
      </c>
      <c r="T29" s="1696" t="s">
        <v>25</v>
      </c>
      <c r="U29" s="1697">
        <f t="shared" si="13"/>
        <v>100</v>
      </c>
      <c r="V29" s="1696" t="s">
        <v>25</v>
      </c>
      <c r="W29" s="1697">
        <f t="shared" si="14"/>
        <v>100</v>
      </c>
      <c r="X29" s="2045"/>
      <c r="Y29" s="354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47"/>
      <c r="Q30" s="2042">
        <f t="shared" si="11"/>
        <v>111</v>
      </c>
      <c r="R30" s="1696" t="s">
        <v>25</v>
      </c>
      <c r="S30" s="1697">
        <f t="shared" si="12"/>
        <v>100</v>
      </c>
      <c r="T30" s="1696" t="s">
        <v>25</v>
      </c>
      <c r="U30" s="1697">
        <f t="shared" si="13"/>
        <v>100</v>
      </c>
      <c r="V30" s="1696" t="s">
        <v>25</v>
      </c>
      <c r="W30" s="1697">
        <f t="shared" si="14"/>
        <v>100</v>
      </c>
      <c r="X30" s="2045"/>
      <c r="Y30" s="354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47"/>
      <c r="Q31" s="2042">
        <f t="shared" si="11"/>
        <v>111</v>
      </c>
      <c r="R31" s="1696" t="s">
        <v>25</v>
      </c>
      <c r="S31" s="1697">
        <f t="shared" si="12"/>
        <v>100</v>
      </c>
      <c r="T31" s="1696" t="s">
        <v>25</v>
      </c>
      <c r="U31" s="1697">
        <f t="shared" si="13"/>
        <v>100</v>
      </c>
      <c r="V31" s="1696" t="s">
        <v>25</v>
      </c>
      <c r="W31" s="1697">
        <f t="shared" si="14"/>
        <v>100</v>
      </c>
      <c r="X31" s="2045"/>
      <c r="Y31" s="3549"/>
      <c r="Z31" s="2049">
        <f t="shared" si="15"/>
        <v>111</v>
      </c>
      <c r="AA31" s="2040">
        <f t="shared" si="3"/>
        <v>1</v>
      </c>
      <c r="AB31" s="2040">
        <f t="shared" si="4"/>
        <v>1</v>
      </c>
      <c r="AC31" s="2040">
        <f t="shared" si="5"/>
        <v>1</v>
      </c>
    </row>
    <row r="32" spans="1:29" ht="15">
      <c r="A32" s="1688" t="s">
        <v>2217</v>
      </c>
      <c r="B32" s="1658" t="s">
        <v>2305</v>
      </c>
      <c r="C32" s="1732" t="s">
        <v>3015</v>
      </c>
      <c r="D32" s="1733">
        <v>100</v>
      </c>
      <c r="E32" s="1732" t="s">
        <v>3015</v>
      </c>
      <c r="F32" s="1725">
        <f>SUMIF(100:100,E32,101:101)-SUMIF(100:100,C32,101:101)+100</f>
        <v>100</v>
      </c>
      <c r="G32" s="1732" t="s">
        <v>3015</v>
      </c>
      <c r="H32" s="1682">
        <f>SUMIF(100:100,G32,101:101)-SUMIF(100:100,C32,101:101)+100</f>
        <v>100</v>
      </c>
      <c r="I32" s="1732" t="s">
        <v>3015</v>
      </c>
      <c r="J32" s="1733">
        <f>SUMIF(100:100,I32,101:101)-SUMIF(100:100,C32,101:101)+100</f>
        <v>100</v>
      </c>
      <c r="K32" s="1963">
        <v>3</v>
      </c>
      <c r="L32" s="2972"/>
      <c r="M32" s="2968"/>
      <c r="N32" s="2968"/>
      <c r="O32" s="2968"/>
      <c r="P32" s="3532" t="s">
        <v>2219</v>
      </c>
      <c r="Q32" s="2042" t="str">
        <f t="shared" si="11"/>
        <v>商业类型</v>
      </c>
      <c r="R32" s="1696" t="s">
        <v>25</v>
      </c>
      <c r="S32" s="1697">
        <f t="shared" si="12"/>
        <v>100</v>
      </c>
      <c r="T32" s="1696" t="s">
        <v>25</v>
      </c>
      <c r="U32" s="1697">
        <f t="shared" si="13"/>
        <v>100</v>
      </c>
      <c r="V32" s="1696" t="s">
        <v>25</v>
      </c>
      <c r="W32" s="1697">
        <f t="shared" si="14"/>
        <v>100</v>
      </c>
      <c r="X32" s="2045"/>
      <c r="Y32" s="3535"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437.43</v>
      </c>
      <c r="D33" s="1668">
        <v>100</v>
      </c>
      <c r="E33" s="1675">
        <v>277</v>
      </c>
      <c r="F33" s="1670">
        <f>LOOKUP(E33,103:103,104:104)-LOOKUP(C33,103:103,104:104)+100</f>
        <v>100</v>
      </c>
      <c r="G33" s="1674">
        <v>99</v>
      </c>
      <c r="H33" s="1668">
        <f>LOOKUP(G33,103:103,104:104)-LOOKUP(C33,103:103,104:104)+100</f>
        <v>104</v>
      </c>
      <c r="I33" s="1674">
        <v>156</v>
      </c>
      <c r="J33" s="1668">
        <f>LOOKUP(I33,103:103,104:104)-LOOKUP(C33,103:103,104:104)+100</f>
        <v>102</v>
      </c>
      <c r="K33" s="1960"/>
      <c r="L33" s="2971"/>
      <c r="M33" s="2030"/>
      <c r="N33" s="2030"/>
      <c r="O33" s="2030"/>
      <c r="P33" s="3533"/>
      <c r="Q33" s="1737" t="str">
        <f t="shared" si="11"/>
        <v>项目建筑规模</v>
      </c>
      <c r="R33" s="1738" t="s">
        <v>25</v>
      </c>
      <c r="S33" s="1739">
        <f t="shared" si="12"/>
        <v>100</v>
      </c>
      <c r="T33" s="1738" t="s">
        <v>25</v>
      </c>
      <c r="U33" s="1739">
        <f t="shared" si="13"/>
        <v>104</v>
      </c>
      <c r="V33" s="1738" t="s">
        <v>25</v>
      </c>
      <c r="W33" s="1739">
        <f t="shared" si="14"/>
        <v>102</v>
      </c>
      <c r="X33" s="1740"/>
      <c r="Y33" s="3535"/>
      <c r="Z33" s="1741" t="str">
        <f t="shared" si="15"/>
        <v>项目建筑规模</v>
      </c>
      <c r="AA33" s="2040">
        <f t="shared" si="3"/>
        <v>1</v>
      </c>
      <c r="AB33" s="2040">
        <f t="shared" si="4"/>
        <v>0.96153846153846156</v>
      </c>
      <c r="AC33" s="2040">
        <f t="shared" si="5"/>
        <v>0.98039215686274506</v>
      </c>
    </row>
    <row r="34" spans="1:29" ht="15">
      <c r="A34" s="1743"/>
      <c r="B34" s="1666" t="s">
        <v>2221</v>
      </c>
      <c r="C34" s="1744" t="s">
        <v>2986</v>
      </c>
      <c r="D34" s="1682">
        <v>100</v>
      </c>
      <c r="E34" s="1744" t="s">
        <v>2986</v>
      </c>
      <c r="F34" s="1725">
        <f>SUMIF(105:105,E34,106:106)-SUMIF(105:105,C34,106:106)+100</f>
        <v>100</v>
      </c>
      <c r="G34" s="1744" t="s">
        <v>2986</v>
      </c>
      <c r="H34" s="1682">
        <f>SUMIF(105:105,G34,106:106)-SUMIF(105:105,C34,106:106)+100</f>
        <v>100</v>
      </c>
      <c r="I34" s="1744" t="s">
        <v>2986</v>
      </c>
      <c r="J34" s="1682">
        <f>SUMIF(105:105,I34,106:106)-SUMIF(105:105,C34,106:106)+100</f>
        <v>100</v>
      </c>
      <c r="K34" s="1963">
        <v>2</v>
      </c>
      <c r="L34" s="2972"/>
      <c r="M34" s="2968"/>
      <c r="N34" s="2968"/>
      <c r="O34" s="2968"/>
      <c r="P34" s="3533"/>
      <c r="Q34" s="2042" t="str">
        <f t="shared" si="11"/>
        <v>建筑结构</v>
      </c>
      <c r="R34" s="1696" t="s">
        <v>25</v>
      </c>
      <c r="S34" s="1697">
        <f t="shared" si="12"/>
        <v>100</v>
      </c>
      <c r="T34" s="1696" t="s">
        <v>25</v>
      </c>
      <c r="U34" s="1697">
        <f t="shared" si="13"/>
        <v>100</v>
      </c>
      <c r="V34" s="1696" t="s">
        <v>25</v>
      </c>
      <c r="W34" s="1697">
        <f t="shared" si="14"/>
        <v>100</v>
      </c>
      <c r="X34" s="2045"/>
      <c r="Y34" s="3535"/>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2"/>
      <c r="M35" s="2968"/>
      <c r="N35" s="2968"/>
      <c r="O35" s="2968"/>
      <c r="P35" s="3533"/>
      <c r="Q35" s="2042" t="str">
        <f t="shared" si="11"/>
        <v>公共部分装修</v>
      </c>
      <c r="R35" s="1696" t="s">
        <v>25</v>
      </c>
      <c r="S35" s="1697">
        <f t="shared" si="12"/>
        <v>100</v>
      </c>
      <c r="T35" s="1696" t="s">
        <v>25</v>
      </c>
      <c r="U35" s="1697">
        <f t="shared" si="13"/>
        <v>100</v>
      </c>
      <c r="V35" s="1696" t="s">
        <v>25</v>
      </c>
      <c r="W35" s="1697">
        <f t="shared" si="14"/>
        <v>100</v>
      </c>
      <c r="X35" s="2045"/>
      <c r="Y35" s="3535"/>
      <c r="Z35" s="2049" t="str">
        <f t="shared" si="15"/>
        <v>公共部分装修</v>
      </c>
      <c r="AA35" s="2040">
        <f t="shared" si="3"/>
        <v>1</v>
      </c>
      <c r="AB35" s="2040">
        <f t="shared" si="4"/>
        <v>1</v>
      </c>
      <c r="AC35" s="2040">
        <f t="shared" si="5"/>
        <v>1</v>
      </c>
    </row>
    <row r="36" spans="1:29" ht="15">
      <c r="A36" s="1743"/>
      <c r="B36" s="1666" t="s">
        <v>2307</v>
      </c>
      <c r="C36" s="1747">
        <f>'数据-取费表'!E20</f>
        <v>0.85</v>
      </c>
      <c r="D36" s="1682">
        <v>100</v>
      </c>
      <c r="E36" s="1747">
        <f>C36</f>
        <v>0.85</v>
      </c>
      <c r="F36" s="1725">
        <f>LOOKUP(E36,110:110,111:111)-LOOKUP(C36,110:110,111:111)+100</f>
        <v>100</v>
      </c>
      <c r="G36" s="1747">
        <f>C36</f>
        <v>0.85</v>
      </c>
      <c r="H36" s="1725">
        <f>LOOKUP(G36,110:110,111:111)-LOOKUP(C36,110:110,111:111)+100</f>
        <v>100</v>
      </c>
      <c r="I36" s="1747">
        <f>C36</f>
        <v>0.85</v>
      </c>
      <c r="J36" s="1682">
        <f>LOOKUP(I36,110:110,111:111)-LOOKUP(C36,110:110,111:111)+100</f>
        <v>100</v>
      </c>
      <c r="K36" s="1963">
        <v>2</v>
      </c>
      <c r="L36" s="2972"/>
      <c r="M36" s="2968"/>
      <c r="N36" s="2968"/>
      <c r="O36" s="2968"/>
      <c r="P36" s="3533"/>
      <c r="Q36" s="2042" t="str">
        <f t="shared" si="11"/>
        <v>成新度</v>
      </c>
      <c r="R36" s="1696" t="s">
        <v>25</v>
      </c>
      <c r="S36" s="1697">
        <f t="shared" si="12"/>
        <v>100</v>
      </c>
      <c r="T36" s="1696" t="s">
        <v>25</v>
      </c>
      <c r="U36" s="1697">
        <f t="shared" si="13"/>
        <v>100</v>
      </c>
      <c r="V36" s="1696" t="s">
        <v>25</v>
      </c>
      <c r="W36" s="1697">
        <f t="shared" si="14"/>
        <v>100</v>
      </c>
      <c r="X36" s="2045"/>
      <c r="Y36" s="3535"/>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v>2</v>
      </c>
      <c r="L37" s="2967"/>
      <c r="M37" s="2940"/>
      <c r="N37" s="2940"/>
      <c r="O37" s="2940"/>
      <c r="P37" s="3533"/>
      <c r="Q37" s="2036" t="str">
        <f t="shared" si="11"/>
        <v>市政基础设施</v>
      </c>
      <c r="R37" s="1651" t="s">
        <v>25</v>
      </c>
      <c r="S37" s="1652">
        <f t="shared" si="12"/>
        <v>100</v>
      </c>
      <c r="T37" s="1651" t="s">
        <v>25</v>
      </c>
      <c r="U37" s="1652">
        <f t="shared" si="13"/>
        <v>100</v>
      </c>
      <c r="V37" s="1651" t="s">
        <v>25</v>
      </c>
      <c r="W37" s="1652">
        <f t="shared" si="14"/>
        <v>100</v>
      </c>
      <c r="X37" s="1653"/>
      <c r="Y37" s="3535"/>
      <c r="Z37" s="1664" t="str">
        <f t="shared" si="15"/>
        <v>市政基础设施</v>
      </c>
      <c r="AA37" s="1654">
        <f t="shared" si="3"/>
        <v>1</v>
      </c>
      <c r="AB37" s="1654">
        <f t="shared" si="4"/>
        <v>1</v>
      </c>
      <c r="AC37" s="1654">
        <f t="shared" si="5"/>
        <v>1</v>
      </c>
    </row>
    <row r="38" spans="1:29" ht="15">
      <c r="A38" s="1743"/>
      <c r="B38" s="1666" t="s">
        <v>2309</v>
      </c>
      <c r="C38" s="1726" t="s">
        <v>3023</v>
      </c>
      <c r="D38" s="1682">
        <v>100</v>
      </c>
      <c r="E38" s="1726" t="s">
        <v>3023</v>
      </c>
      <c r="F38" s="1725">
        <f>SUMIF(114:114,E38,115:115)-SUMIF(114:114,C38,115:115)+100</f>
        <v>100</v>
      </c>
      <c r="G38" s="1726" t="s">
        <v>3023</v>
      </c>
      <c r="H38" s="1682">
        <f>SUMIF(114:114,G38,115:115)-SUMIF(114:114,C38,115:115)+100</f>
        <v>100</v>
      </c>
      <c r="I38" s="1726" t="s">
        <v>3023</v>
      </c>
      <c r="J38" s="1682">
        <f>SUMIF(114:114,I38,115:115)-SUMIF(114:114,C38,115:115)+100</f>
        <v>100</v>
      </c>
      <c r="K38" s="1963">
        <v>2</v>
      </c>
      <c r="L38" s="2972"/>
      <c r="M38" s="2968"/>
      <c r="N38" s="2968"/>
      <c r="O38" s="2968"/>
      <c r="P38" s="3533" t="s">
        <v>2219</v>
      </c>
      <c r="Q38" s="2042" t="str">
        <f t="shared" si="11"/>
        <v>业态</v>
      </c>
      <c r="R38" s="1696" t="s">
        <v>25</v>
      </c>
      <c r="S38" s="1697">
        <f t="shared" si="12"/>
        <v>100</v>
      </c>
      <c r="T38" s="1696" t="s">
        <v>25</v>
      </c>
      <c r="U38" s="1697">
        <f t="shared" si="13"/>
        <v>100</v>
      </c>
      <c r="V38" s="1696" t="s">
        <v>25</v>
      </c>
      <c r="W38" s="1697">
        <f t="shared" si="14"/>
        <v>100</v>
      </c>
      <c r="X38" s="2045"/>
      <c r="Y38" s="3535" t="s">
        <v>2219</v>
      </c>
      <c r="Z38" s="2049" t="str">
        <f t="shared" si="15"/>
        <v>业态</v>
      </c>
      <c r="AA38" s="2040">
        <f t="shared" si="3"/>
        <v>1</v>
      </c>
      <c r="AB38" s="2040">
        <f t="shared" si="4"/>
        <v>1</v>
      </c>
      <c r="AC38" s="2040">
        <f t="shared" si="5"/>
        <v>1</v>
      </c>
    </row>
    <row r="39" spans="1:29" ht="15" hidden="1">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2"/>
      <c r="M39" s="2968"/>
      <c r="N39" s="2968"/>
      <c r="O39" s="2968"/>
      <c r="P39" s="3533"/>
      <c r="Q39" s="2042" t="str">
        <f t="shared" si="11"/>
        <v>层高</v>
      </c>
      <c r="R39" s="1696" t="s">
        <v>25</v>
      </c>
      <c r="S39" s="1697">
        <f t="shared" si="12"/>
        <v>100</v>
      </c>
      <c r="T39" s="1696" t="s">
        <v>25</v>
      </c>
      <c r="U39" s="1697">
        <f t="shared" si="13"/>
        <v>100</v>
      </c>
      <c r="V39" s="1696" t="s">
        <v>25</v>
      </c>
      <c r="W39" s="1697">
        <f t="shared" si="14"/>
        <v>100</v>
      </c>
      <c r="X39" s="2045"/>
      <c r="Y39" s="3535"/>
      <c r="Z39" s="2049" t="str">
        <f t="shared" si="15"/>
        <v>层高</v>
      </c>
      <c r="AA39" s="2040">
        <f t="shared" si="3"/>
        <v>1</v>
      </c>
      <c r="AB39" s="2040">
        <f t="shared" si="4"/>
        <v>1</v>
      </c>
      <c r="AC39" s="2040">
        <f t="shared" si="5"/>
        <v>1</v>
      </c>
    </row>
    <row r="40" spans="1:29" ht="15" hidden="1">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33"/>
      <c r="Q40" s="2042" t="str">
        <f t="shared" si="11"/>
        <v>单套建筑面积</v>
      </c>
      <c r="R40" s="1696" t="s">
        <v>25</v>
      </c>
      <c r="S40" s="1697">
        <f t="shared" si="12"/>
        <v>100</v>
      </c>
      <c r="T40" s="1696" t="s">
        <v>25</v>
      </c>
      <c r="U40" s="1697">
        <f t="shared" si="13"/>
        <v>100</v>
      </c>
      <c r="V40" s="1696" t="s">
        <v>25</v>
      </c>
      <c r="W40" s="1697">
        <f t="shared" si="14"/>
        <v>100</v>
      </c>
      <c r="X40" s="2045"/>
      <c r="Y40" s="3535"/>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2</v>
      </c>
      <c r="L41" s="2971"/>
      <c r="M41" s="2030"/>
      <c r="N41" s="2030"/>
      <c r="O41" s="2030"/>
      <c r="P41" s="3533"/>
      <c r="Q41" s="1737" t="str">
        <f t="shared" si="11"/>
        <v>进深比</v>
      </c>
      <c r="R41" s="1738" t="s">
        <v>25</v>
      </c>
      <c r="S41" s="1739">
        <f t="shared" si="12"/>
        <v>100</v>
      </c>
      <c r="T41" s="1738" t="s">
        <v>25</v>
      </c>
      <c r="U41" s="1739">
        <f t="shared" si="13"/>
        <v>100</v>
      </c>
      <c r="V41" s="1738" t="s">
        <v>25</v>
      </c>
      <c r="W41" s="1739">
        <f t="shared" si="14"/>
        <v>100</v>
      </c>
      <c r="X41" s="1740"/>
      <c r="Y41" s="3535"/>
      <c r="Z41" s="1741" t="str">
        <f t="shared" si="15"/>
        <v>进深比</v>
      </c>
      <c r="AA41" s="2040">
        <f t="shared" si="3"/>
        <v>1</v>
      </c>
      <c r="AB41" s="2040">
        <f t="shared" si="4"/>
        <v>1</v>
      </c>
      <c r="AC41" s="2040">
        <f t="shared" si="5"/>
        <v>1</v>
      </c>
    </row>
    <row r="42" spans="1:29" ht="15">
      <c r="A42" s="1743"/>
      <c r="B42" s="1666" t="s">
        <v>2313</v>
      </c>
      <c r="C42" s="1726" t="s">
        <v>3003</v>
      </c>
      <c r="D42" s="1682">
        <v>100</v>
      </c>
      <c r="E42" s="1726" t="s">
        <v>3003</v>
      </c>
      <c r="F42" s="1725">
        <f>SUMIF(122:122,E42,123:123)-SUMIF(122:122,C42,123:123)+100</f>
        <v>100</v>
      </c>
      <c r="G42" s="1726" t="s">
        <v>3003</v>
      </c>
      <c r="H42" s="1682">
        <f>SUMIF(122:122,G42,123:123)-SUMIF(122:122,C42,123:123)+100</f>
        <v>100</v>
      </c>
      <c r="I42" s="1726" t="s">
        <v>3003</v>
      </c>
      <c r="J42" s="1682">
        <f>SUMIF(122:122,I42,123:123)-SUMIF(122:122,C42,123:123)+100</f>
        <v>100</v>
      </c>
      <c r="K42" s="1963">
        <v>2</v>
      </c>
      <c r="L42" s="2972"/>
      <c r="M42" s="2968"/>
      <c r="N42" s="2968"/>
      <c r="O42" s="2968"/>
      <c r="P42" s="3533"/>
      <c r="Q42" s="2042" t="str">
        <f t="shared" si="11"/>
        <v>内部装修</v>
      </c>
      <c r="R42" s="1696" t="s">
        <v>25</v>
      </c>
      <c r="S42" s="1697">
        <f t="shared" si="12"/>
        <v>100</v>
      </c>
      <c r="T42" s="1696" t="s">
        <v>25</v>
      </c>
      <c r="U42" s="1697">
        <f t="shared" si="13"/>
        <v>100</v>
      </c>
      <c r="V42" s="1696" t="s">
        <v>25</v>
      </c>
      <c r="W42" s="1697">
        <f t="shared" si="14"/>
        <v>100</v>
      </c>
      <c r="X42" s="2045"/>
      <c r="Y42" s="3535"/>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33"/>
      <c r="Q43" s="2042" t="str">
        <f t="shared" si="11"/>
        <v>内部装修维护情况</v>
      </c>
      <c r="R43" s="1696" t="s">
        <v>25</v>
      </c>
      <c r="S43" s="1697">
        <f t="shared" si="12"/>
        <v>100</v>
      </c>
      <c r="T43" s="1696" t="s">
        <v>25</v>
      </c>
      <c r="U43" s="1697">
        <f t="shared" si="13"/>
        <v>100</v>
      </c>
      <c r="V43" s="1696" t="s">
        <v>25</v>
      </c>
      <c r="W43" s="1697">
        <f t="shared" si="14"/>
        <v>100</v>
      </c>
      <c r="X43" s="2045"/>
      <c r="Y43" s="3535"/>
      <c r="Z43" s="2049" t="str">
        <f t="shared" si="15"/>
        <v>内部装修维护情况</v>
      </c>
      <c r="AA43" s="2040">
        <f t="shared" si="3"/>
        <v>1</v>
      </c>
      <c r="AB43" s="2040">
        <f t="shared" si="4"/>
        <v>1</v>
      </c>
      <c r="AC43" s="2040">
        <f t="shared" si="5"/>
        <v>1</v>
      </c>
    </row>
    <row r="44" spans="1:29" s="1655" customFormat="1" ht="15">
      <c r="A44" s="1746"/>
      <c r="B44" s="3325" t="s">
        <v>3018</v>
      </c>
      <c r="C44" s="3326" t="s">
        <v>3019</v>
      </c>
      <c r="D44" s="1668">
        <v>100</v>
      </c>
      <c r="E44" s="3324" t="s">
        <v>3019</v>
      </c>
      <c r="F44" s="1670">
        <f>SUMIF(126:126,E44,127:127)-SUMIF(126:126,C44,127:127)+100</f>
        <v>100</v>
      </c>
      <c r="G44" s="3324" t="s">
        <v>2996</v>
      </c>
      <c r="H44" s="1668">
        <f>SUMIF(126:126,G44,127:127)-SUMIF(126:126,C44,127:127)+100</f>
        <v>95</v>
      </c>
      <c r="I44" s="3324" t="s">
        <v>2996</v>
      </c>
      <c r="J44" s="1668">
        <f>SUMIF(126:126,I44,127:127)-SUMIF(126:126,C44,127:127)+100</f>
        <v>95</v>
      </c>
      <c r="K44" s="1960"/>
      <c r="L44" s="2967"/>
      <c r="M44" s="2940"/>
      <c r="N44" s="2940"/>
      <c r="O44" s="2940"/>
      <c r="P44" s="3533"/>
      <c r="Q44" s="2036" t="str">
        <f t="shared" si="11"/>
        <v>得房率</v>
      </c>
      <c r="R44" s="1651" t="s">
        <v>25</v>
      </c>
      <c r="S44" s="1652">
        <f t="shared" si="12"/>
        <v>100</v>
      </c>
      <c r="T44" s="1651" t="s">
        <v>25</v>
      </c>
      <c r="U44" s="1652">
        <f t="shared" si="13"/>
        <v>95</v>
      </c>
      <c r="V44" s="1651" t="s">
        <v>25</v>
      </c>
      <c r="W44" s="1652">
        <f t="shared" si="14"/>
        <v>95</v>
      </c>
      <c r="X44" s="1653"/>
      <c r="Y44" s="3535"/>
      <c r="Z44" s="1664" t="str">
        <f t="shared" si="15"/>
        <v>得房率</v>
      </c>
      <c r="AA44" s="1654">
        <f t="shared" si="3"/>
        <v>1</v>
      </c>
      <c r="AB44" s="1654">
        <f t="shared" si="4"/>
        <v>1.0526315789473684</v>
      </c>
      <c r="AC44" s="1654">
        <f t="shared" si="5"/>
        <v>1.0526315789473684</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33"/>
      <c r="Q45" s="2042">
        <f t="shared" si="11"/>
        <v>111</v>
      </c>
      <c r="R45" s="1696" t="s">
        <v>25</v>
      </c>
      <c r="S45" s="1697">
        <f t="shared" si="12"/>
        <v>100</v>
      </c>
      <c r="T45" s="1696" t="s">
        <v>25</v>
      </c>
      <c r="U45" s="1697">
        <f t="shared" si="13"/>
        <v>100</v>
      </c>
      <c r="V45" s="1696" t="s">
        <v>25</v>
      </c>
      <c r="W45" s="1697">
        <f t="shared" si="14"/>
        <v>100</v>
      </c>
      <c r="X45" s="2045"/>
      <c r="Y45" s="3535"/>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34"/>
      <c r="Q46" s="2042">
        <f t="shared" si="11"/>
        <v>111</v>
      </c>
      <c r="R46" s="1696" t="s">
        <v>25</v>
      </c>
      <c r="S46" s="1697">
        <f t="shared" si="12"/>
        <v>100</v>
      </c>
      <c r="T46" s="1696" t="s">
        <v>25</v>
      </c>
      <c r="U46" s="1697">
        <f t="shared" si="13"/>
        <v>100</v>
      </c>
      <c r="V46" s="1696" t="s">
        <v>25</v>
      </c>
      <c r="W46" s="1697">
        <f t="shared" si="14"/>
        <v>100</v>
      </c>
      <c r="X46" s="2045"/>
      <c r="Y46" s="3536"/>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25152</v>
      </c>
      <c r="H47" s="1759"/>
      <c r="I47" s="1756">
        <v>30128</v>
      </c>
      <c r="J47" s="1759"/>
      <c r="K47" s="1984"/>
      <c r="L47" s="2973"/>
      <c r="N47" s="2968"/>
      <c r="P47" s="3527" t="str">
        <f>A47</f>
        <v>成交单价（元/平方米）</v>
      </c>
      <c r="Q47" s="3527"/>
      <c r="R47" s="3528">
        <f>E47</f>
        <v>30000</v>
      </c>
      <c r="S47" s="3528"/>
      <c r="T47" s="3528">
        <f>G47</f>
        <v>25152</v>
      </c>
      <c r="U47" s="3528"/>
      <c r="V47" s="3528">
        <f>I47</f>
        <v>30128</v>
      </c>
      <c r="W47" s="3528"/>
      <c r="X47" s="1762"/>
      <c r="Y47" s="2044"/>
      <c r="Z47" s="1762"/>
      <c r="AA47" s="1762"/>
      <c r="AB47" s="1762"/>
      <c r="AC47" s="1762"/>
    </row>
    <row r="48" spans="1:29" ht="15.75" thickBot="1">
      <c r="A48" s="1764" t="s">
        <v>2314</v>
      </c>
      <c r="B48" s="1765"/>
      <c r="C48" s="1766">
        <f>R49</f>
        <v>30768</v>
      </c>
      <c r="D48" s="1767" t="s">
        <v>2687</v>
      </c>
      <c r="E48" s="1768">
        <f>R48</f>
        <v>30000</v>
      </c>
      <c r="F48" s="1769"/>
      <c r="G48" s="1766">
        <f>T48</f>
        <v>31822</v>
      </c>
      <c r="H48" s="1769"/>
      <c r="I48" s="1768">
        <f>V48</f>
        <v>30482</v>
      </c>
      <c r="J48" s="1769"/>
      <c r="K48" s="2481">
        <f>F48+H48+J48</f>
        <v>0</v>
      </c>
      <c r="L48" s="2973"/>
      <c r="N48" s="2968"/>
      <c r="P48" s="3527" t="str">
        <f>A48</f>
        <v>比较价值（元/平方米）</v>
      </c>
      <c r="Q48" s="3527"/>
      <c r="R48" s="3528">
        <f>IF(E1="售价",ROUND(PRODUCT(R47,AA7:AA46),0),ROUND(PRODUCT(R47,AA7:AA46),1))</f>
        <v>30000</v>
      </c>
      <c r="S48" s="3528"/>
      <c r="T48" s="3528">
        <f>IF(E1="售价",ROUND(PRODUCT(T47,AB7:AB46),0),ROUND(PRODUCT(T47,AB7:AB46),1))</f>
        <v>31822</v>
      </c>
      <c r="U48" s="3528"/>
      <c r="V48" s="3528">
        <f>IF(E1="售价",ROUND(PRODUCT(V47,AC7:AC46),0),ROUND(PRODUCT(V47,AC7:AC46),1))</f>
        <v>30482</v>
      </c>
      <c r="W48" s="3528"/>
      <c r="X48" s="1762"/>
      <c r="Y48" s="1762"/>
      <c r="Z48" s="1762"/>
      <c r="AA48" s="1762"/>
      <c r="AB48" s="1762"/>
      <c r="AC48" s="1762"/>
    </row>
    <row r="49" spans="1:29" ht="15.75" thickBot="1">
      <c r="A49" s="1770" t="s">
        <v>2315</v>
      </c>
      <c r="B49" s="1771"/>
      <c r="C49" s="1773">
        <f>R49</f>
        <v>30768</v>
      </c>
      <c r="D49" s="1773"/>
      <c r="E49" s="1773"/>
      <c r="F49" s="1773"/>
      <c r="G49" s="1773"/>
      <c r="H49" s="1773"/>
      <c r="I49" s="1773"/>
      <c r="J49" s="1773"/>
      <c r="K49" s="1989"/>
      <c r="L49" s="2973"/>
      <c r="N49" s="2968"/>
      <c r="P49" s="3529" t="str">
        <f>A49</f>
        <v>估价对象XX用房的比较价值（楼面单价，元/平方米）</v>
      </c>
      <c r="Q49" s="3530"/>
      <c r="R49" s="3531">
        <f>IF(E1="售价",ROUND(IF(D48="简单平均",AVERAGE(R48:V48),R48*F48+T48*H48+V48*J48),0),ROUND(IF(D48="简单平均",AVERAGE(R48:V48),R48*F48+T48*H48+V48*J48),1))</f>
        <v>30768</v>
      </c>
      <c r="S49" s="3531"/>
      <c r="T49" s="3531"/>
      <c r="U49" s="3531"/>
      <c r="V49" s="3531"/>
      <c r="W49" s="353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v>
      </c>
      <c r="F52" s="1780" t="str">
        <f>IF(OR(E52&gt;=0.3,E52&lt;=-0.3),"超过30%","")</f>
        <v/>
      </c>
      <c r="G52" s="1779">
        <f>IF(G47&lt;G48,G48/G47-1,G47/G48-1)</f>
        <v>0.26518765903307884</v>
      </c>
      <c r="H52" s="1780" t="str">
        <f>IF(OR(G52&gt;=0.3,G52&lt;=-0.3),"超过30%","")</f>
        <v/>
      </c>
      <c r="I52" s="1779">
        <f>IF(I47&lt;I48,I48/I47-1,I47/I48-1)</f>
        <v>1.1749867233138644E-2</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6.0733333333333306E-2</v>
      </c>
      <c r="F53" s="1780" t="str">
        <f>IF(OR(E53&gt;=0.2,E53&lt;=-0.2),"超过20%","")</f>
        <v/>
      </c>
      <c r="G53" s="1779">
        <f>IF(G48&lt;I48,I48/G48-1,G48/I48-1)</f>
        <v>4.3960370054458409E-2</v>
      </c>
      <c r="H53" s="1780" t="str">
        <f>IF(OR(G53&gt;=0.2,G53&lt;=-0.2),"超过20%","")</f>
        <v/>
      </c>
      <c r="I53" s="1779">
        <f>IF(I48&lt;E48,E48/I48-1,I48/E48-1)</f>
        <v>1.6066666666666674E-2</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0.19274809160305351</v>
      </c>
      <c r="F54" s="1780" t="str">
        <f>IF(OR(E54&gt;=0.3,E54&lt;=-0.3),"超过30%","")</f>
        <v/>
      </c>
      <c r="G54" s="1779">
        <f>IF(G47&lt;I47,I47/G47-1,G47/I47-1)</f>
        <v>0.19783715012722647</v>
      </c>
      <c r="H54" s="1780" t="str">
        <f>IF(OR(G54&gt;=0.3,G54&lt;=-0.3),"超过30%","")</f>
        <v/>
      </c>
      <c r="I54" s="1779">
        <f>IF(I47&lt;E47,E47/I47-1,I47/E47-1)</f>
        <v>4.2666666666666409E-3</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98</v>
      </c>
      <c r="E69" s="1833">
        <f t="shared" si="18"/>
        <v>96</v>
      </c>
      <c r="F69" s="1833">
        <f t="shared" si="18"/>
        <v>94</v>
      </c>
      <c r="G69" s="1833">
        <f t="shared" si="18"/>
        <v>92</v>
      </c>
      <c r="H69" s="1833">
        <f t="shared" si="18"/>
        <v>90</v>
      </c>
      <c r="I69" s="1833">
        <f t="shared" si="18"/>
        <v>88</v>
      </c>
      <c r="J69" s="1833">
        <f t="shared" si="18"/>
        <v>86</v>
      </c>
      <c r="K69" s="1833">
        <f t="shared" si="18"/>
        <v>84</v>
      </c>
      <c r="L69" s="1833">
        <f t="shared" si="18"/>
        <v>82</v>
      </c>
      <c r="M69" s="1834">
        <f t="shared" si="18"/>
        <v>80</v>
      </c>
      <c r="N69" s="2987"/>
      <c r="O69" s="2987"/>
      <c r="P69" s="1823"/>
      <c r="Q69" s="1792"/>
    </row>
    <row r="70" spans="1:17" s="1742" customFormat="1" ht="15.75" hidden="1"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hidden="1"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hidden="1"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hidden="1"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hidden="1"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hidden="1" thickBot="1">
      <c r="A75" s="1851"/>
      <c r="B75" s="1852"/>
      <c r="C75" s="1853"/>
      <c r="D75" s="1853"/>
      <c r="E75" s="1853"/>
      <c r="F75" s="1853"/>
      <c r="G75" s="1853"/>
      <c r="H75" s="1854"/>
      <c r="I75" s="1854"/>
      <c r="J75" s="1854"/>
      <c r="K75" s="1854"/>
      <c r="L75" s="1854"/>
      <c r="M75" s="1855"/>
      <c r="N75" s="2988"/>
      <c r="O75" s="2988"/>
      <c r="P75" s="1843"/>
      <c r="Q75" s="1844"/>
    </row>
    <row r="76" spans="1:17" ht="15" thickTop="1">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98</v>
      </c>
      <c r="E87" s="1833">
        <f t="shared" si="19"/>
        <v>96</v>
      </c>
      <c r="F87" s="1833">
        <f t="shared" si="19"/>
        <v>94</v>
      </c>
      <c r="G87" s="1833">
        <f t="shared" si="19"/>
        <v>92</v>
      </c>
      <c r="H87" s="1833">
        <f t="shared" si="19"/>
        <v>90</v>
      </c>
      <c r="I87" s="1833">
        <f t="shared" si="19"/>
        <v>88</v>
      </c>
      <c r="J87" s="1833">
        <f t="shared" si="19"/>
        <v>86</v>
      </c>
      <c r="K87" s="1833">
        <f t="shared" si="19"/>
        <v>84</v>
      </c>
      <c r="L87" s="1833">
        <f t="shared" si="19"/>
        <v>82</v>
      </c>
      <c r="M87" s="1833">
        <f t="shared" si="19"/>
        <v>80</v>
      </c>
      <c r="N87" s="2987"/>
      <c r="O87" s="2987"/>
      <c r="P87" s="1823"/>
      <c r="Q87" s="1792"/>
    </row>
    <row r="88" spans="1:17" s="1655" customFormat="1" ht="15.75" thickTop="1">
      <c r="A88" s="1860"/>
      <c r="B88" s="1829" t="str">
        <f>B26</f>
        <v>平面位置/可视性</v>
      </c>
      <c r="C88" s="3317" t="s">
        <v>2994</v>
      </c>
      <c r="D88" s="3317" t="s">
        <v>2995</v>
      </c>
      <c r="E88" s="3317" t="s">
        <v>2996</v>
      </c>
      <c r="F88" s="3318" t="s">
        <v>2997</v>
      </c>
      <c r="G88" s="3317" t="s">
        <v>2998</v>
      </c>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8"/>
      <c r="O91" s="2988"/>
      <c r="P91" s="1843"/>
      <c r="Q91" s="1844"/>
    </row>
    <row r="92" spans="1:17" ht="15.75" thickTop="1">
      <c r="A92" s="1824"/>
      <c r="B92" s="1829" t="str">
        <f>B28</f>
        <v>楼层</v>
      </c>
      <c r="C92" s="468" t="s">
        <v>2999</v>
      </c>
      <c r="D92" s="468" t="s">
        <v>3000</v>
      </c>
      <c r="E92" s="3319" t="s">
        <v>3001</v>
      </c>
      <c r="F92" s="468"/>
      <c r="G92" s="468"/>
      <c r="H92" s="468"/>
      <c r="I92" s="468"/>
      <c r="J92" s="468"/>
      <c r="K92" s="468"/>
      <c r="L92" s="468"/>
      <c r="M92" s="1861"/>
      <c r="N92" s="2986"/>
      <c r="O92" s="2986"/>
      <c r="P92" s="1823"/>
      <c r="Q92" s="1792"/>
    </row>
    <row r="93" spans="1:17" ht="15.75" thickBot="1">
      <c r="A93" s="1824"/>
      <c r="B93" s="1832"/>
      <c r="C93" s="1826">
        <v>100</v>
      </c>
      <c r="D93" s="1826">
        <v>60</v>
      </c>
      <c r="E93" s="1826">
        <v>80</v>
      </c>
      <c r="F93" s="1826"/>
      <c r="G93" s="1826"/>
      <c r="H93" s="1826"/>
      <c r="I93" s="1826"/>
      <c r="J93" s="1826"/>
      <c r="K93" s="1826"/>
      <c r="L93" s="1826"/>
      <c r="M93" s="1827"/>
      <c r="N93" s="2987"/>
      <c r="O93" s="2987"/>
      <c r="P93" s="1823"/>
      <c r="Q93" s="1792"/>
    </row>
    <row r="94" spans="1:17" ht="15.75" hidden="1" thickTop="1">
      <c r="A94" s="1824"/>
      <c r="B94" s="1829">
        <f>B29</f>
        <v>111</v>
      </c>
      <c r="C94" s="468"/>
      <c r="D94" s="468"/>
      <c r="E94" s="468"/>
      <c r="F94" s="468"/>
      <c r="G94" s="1548"/>
      <c r="H94" s="1548"/>
      <c r="I94" s="1548"/>
      <c r="J94" s="1548"/>
      <c r="K94" s="473"/>
      <c r="L94" s="473"/>
      <c r="M94" s="1864"/>
      <c r="N94" s="2986"/>
      <c r="O94" s="2986"/>
      <c r="P94" s="1823"/>
      <c r="Q94" s="1792"/>
    </row>
    <row r="95" spans="1:17" ht="15.75" hidden="1" thickBot="1">
      <c r="A95" s="1824"/>
      <c r="B95" s="1832"/>
      <c r="C95" s="1845"/>
      <c r="D95" s="1826"/>
      <c r="E95" s="1826"/>
      <c r="F95" s="1826"/>
      <c r="G95" s="1826"/>
      <c r="H95" s="1826"/>
      <c r="I95" s="1826"/>
      <c r="J95" s="1826"/>
      <c r="K95" s="1826"/>
      <c r="L95" s="1826"/>
      <c r="M95" s="1827"/>
      <c r="N95" s="2987"/>
      <c r="O95" s="2987"/>
      <c r="P95" s="1823"/>
      <c r="Q95" s="1792"/>
    </row>
    <row r="96" spans="1:17" ht="15.75" hidden="1" thickTop="1">
      <c r="A96" s="1824"/>
      <c r="B96" s="1829">
        <f>B30</f>
        <v>111</v>
      </c>
      <c r="C96" s="468"/>
      <c r="D96" s="468"/>
      <c r="E96" s="468"/>
      <c r="F96" s="468"/>
      <c r="G96" s="1548"/>
      <c r="H96" s="1548"/>
      <c r="I96" s="1548"/>
      <c r="J96" s="1548"/>
      <c r="K96" s="473"/>
      <c r="L96" s="473"/>
      <c r="M96" s="1864"/>
      <c r="N96" s="2986"/>
      <c r="O96" s="2986"/>
      <c r="P96" s="1823"/>
      <c r="Q96" s="1792"/>
    </row>
    <row r="97" spans="1:17" ht="15.75" hidden="1" thickBot="1">
      <c r="A97" s="1824"/>
      <c r="B97" s="1832"/>
      <c r="C97" s="1845"/>
      <c r="D97" s="1826"/>
      <c r="E97" s="1826"/>
      <c r="F97" s="1826"/>
      <c r="G97" s="1826"/>
      <c r="H97" s="1826"/>
      <c r="I97" s="1826"/>
      <c r="J97" s="1826"/>
      <c r="K97" s="1826"/>
      <c r="L97" s="1826"/>
      <c r="M97" s="1827"/>
      <c r="N97" s="2987"/>
      <c r="O97" s="2987"/>
      <c r="P97" s="1823"/>
      <c r="Q97" s="1792"/>
    </row>
    <row r="98" spans="1:17" ht="15.75" hidden="1" thickTop="1">
      <c r="A98" s="1824"/>
      <c r="B98" s="1835">
        <f>B31</f>
        <v>111</v>
      </c>
      <c r="C98" s="468"/>
      <c r="D98" s="468"/>
      <c r="E98" s="468"/>
      <c r="F98" s="468"/>
      <c r="G98" s="1865"/>
      <c r="H98" s="1865"/>
      <c r="I98" s="1865"/>
      <c r="J98" s="1865"/>
      <c r="K98" s="477"/>
      <c r="L98" s="477"/>
      <c r="M98" s="1866"/>
      <c r="N98" s="2986"/>
      <c r="O98" s="2986"/>
      <c r="P98" s="1823"/>
      <c r="Q98" s="1792"/>
    </row>
    <row r="99" spans="1:17" ht="15.75" hidden="1" thickBot="1">
      <c r="A99" s="1867"/>
      <c r="B99" s="1852"/>
      <c r="C99" s="1853"/>
      <c r="D99" s="1853"/>
      <c r="E99" s="1853"/>
      <c r="F99" s="1853"/>
      <c r="G99" s="1868"/>
      <c r="H99" s="1868"/>
      <c r="I99" s="1868"/>
      <c r="J99" s="1868"/>
      <c r="K99" s="1868"/>
      <c r="L99" s="1868"/>
      <c r="M99" s="1869"/>
      <c r="N99" s="2987"/>
      <c r="O99" s="2987"/>
      <c r="P99" s="1823"/>
      <c r="Q99" s="1792"/>
    </row>
    <row r="100" spans="1:17" ht="15" thickTop="1">
      <c r="A100" s="1817" t="s">
        <v>2217</v>
      </c>
      <c r="B100" s="1818" t="s">
        <v>2321</v>
      </c>
      <c r="C100" s="3323" t="s">
        <v>3016</v>
      </c>
      <c r="D100" s="3323" t="s">
        <v>3017</v>
      </c>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75" thickTop="1">
      <c r="A102" s="1824"/>
      <c r="B102" s="1829" t="s">
        <v>2267</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200</v>
      </c>
      <c r="G103" s="1872">
        <v>500</v>
      </c>
      <c r="H103" s="1872">
        <v>1000</v>
      </c>
      <c r="I103" s="1872"/>
      <c r="J103" s="485"/>
      <c r="K103" s="485"/>
      <c r="L103" s="485"/>
      <c r="M103" s="1873"/>
      <c r="N103" s="2988"/>
      <c r="O103" s="2988"/>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317" t="s">
        <v>3020</v>
      </c>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98</v>
      </c>
      <c r="E106" s="1833">
        <f t="shared" si="23"/>
        <v>96</v>
      </c>
      <c r="F106" s="1833">
        <f t="shared" si="23"/>
        <v>94</v>
      </c>
      <c r="G106" s="1833">
        <f t="shared" si="23"/>
        <v>92</v>
      </c>
      <c r="H106" s="1833">
        <f t="shared" si="23"/>
        <v>90</v>
      </c>
      <c r="I106" s="1833">
        <f t="shared" si="23"/>
        <v>88</v>
      </c>
      <c r="J106" s="1833">
        <f t="shared" si="23"/>
        <v>86</v>
      </c>
      <c r="K106" s="1833">
        <f t="shared" si="23"/>
        <v>84</v>
      </c>
      <c r="L106" s="1833">
        <f t="shared" si="23"/>
        <v>82</v>
      </c>
      <c r="M106" s="1834">
        <f t="shared" si="23"/>
        <v>80</v>
      </c>
      <c r="N106" s="2987"/>
      <c r="O106" s="2987"/>
      <c r="P106" s="1823"/>
      <c r="Q106" s="1792"/>
    </row>
    <row r="107" spans="1:17" ht="15" thickTop="1">
      <c r="A107" s="1874"/>
      <c r="B107" s="1829" t="s">
        <v>2270</v>
      </c>
      <c r="C107" s="3317" t="s">
        <v>3022</v>
      </c>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98</v>
      </c>
      <c r="E108" s="1833">
        <f t="shared" si="24"/>
        <v>96</v>
      </c>
      <c r="F108" s="1833">
        <f t="shared" si="24"/>
        <v>94</v>
      </c>
      <c r="G108" s="1833">
        <f t="shared" si="24"/>
        <v>92</v>
      </c>
      <c r="H108" s="1833">
        <f t="shared" si="24"/>
        <v>90</v>
      </c>
      <c r="I108" s="1833">
        <f t="shared" si="24"/>
        <v>88</v>
      </c>
      <c r="J108" s="1833">
        <f t="shared" si="24"/>
        <v>86</v>
      </c>
      <c r="K108" s="1833">
        <f t="shared" si="24"/>
        <v>84</v>
      </c>
      <c r="L108" s="1833">
        <f t="shared" si="24"/>
        <v>82</v>
      </c>
      <c r="M108" s="1834">
        <f t="shared" si="24"/>
        <v>80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98</v>
      </c>
      <c r="E113" s="1833">
        <f t="shared" ref="E113:M113" si="26">D113-$K37</f>
        <v>96</v>
      </c>
      <c r="F113" s="1833">
        <f t="shared" si="26"/>
        <v>94</v>
      </c>
      <c r="G113" s="1833">
        <f t="shared" si="26"/>
        <v>92</v>
      </c>
      <c r="H113" s="1833">
        <f t="shared" si="26"/>
        <v>90</v>
      </c>
      <c r="I113" s="1833">
        <f t="shared" si="26"/>
        <v>88</v>
      </c>
      <c r="J113" s="1833">
        <f t="shared" si="26"/>
        <v>86</v>
      </c>
      <c r="K113" s="1833">
        <f t="shared" si="26"/>
        <v>84</v>
      </c>
      <c r="L113" s="1833">
        <f t="shared" si="26"/>
        <v>82</v>
      </c>
      <c r="M113" s="1833">
        <f t="shared" si="26"/>
        <v>80</v>
      </c>
      <c r="N113" s="2988"/>
      <c r="O113" s="2988"/>
      <c r="P113" s="1843"/>
      <c r="Q113" s="1844"/>
    </row>
    <row r="114" spans="1:17" ht="15" thickTop="1">
      <c r="A114" s="1874"/>
      <c r="B114" s="1829" t="s">
        <v>2322</v>
      </c>
      <c r="C114" s="3317" t="s">
        <v>3024</v>
      </c>
      <c r="D114" s="3317" t="s">
        <v>3025</v>
      </c>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98</v>
      </c>
      <c r="E115" s="1833">
        <f t="shared" si="27"/>
        <v>96</v>
      </c>
      <c r="F115" s="1833">
        <f t="shared" si="27"/>
        <v>94</v>
      </c>
      <c r="G115" s="1833">
        <f t="shared" si="27"/>
        <v>92</v>
      </c>
      <c r="H115" s="1833">
        <f t="shared" si="27"/>
        <v>90</v>
      </c>
      <c r="I115" s="1833">
        <f t="shared" si="27"/>
        <v>88</v>
      </c>
      <c r="J115" s="1833">
        <f t="shared" si="27"/>
        <v>86</v>
      </c>
      <c r="K115" s="1833">
        <f t="shared" si="27"/>
        <v>84</v>
      </c>
      <c r="L115" s="1833">
        <f t="shared" si="27"/>
        <v>82</v>
      </c>
      <c r="M115" s="1834">
        <f t="shared" si="27"/>
        <v>80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98</v>
      </c>
      <c r="E121" s="1833">
        <f t="shared" ref="E121:M121" si="28">D121-$K41</f>
        <v>96</v>
      </c>
      <c r="F121" s="1833">
        <f t="shared" si="28"/>
        <v>94</v>
      </c>
      <c r="G121" s="1833">
        <f t="shared" si="28"/>
        <v>92</v>
      </c>
      <c r="H121" s="1833">
        <f t="shared" si="28"/>
        <v>90</v>
      </c>
      <c r="I121" s="1833">
        <f t="shared" si="28"/>
        <v>88</v>
      </c>
      <c r="J121" s="1833">
        <f t="shared" si="28"/>
        <v>86</v>
      </c>
      <c r="K121" s="1833">
        <f t="shared" si="28"/>
        <v>84</v>
      </c>
      <c r="L121" s="1833">
        <f t="shared" si="28"/>
        <v>82</v>
      </c>
      <c r="M121" s="1834">
        <f t="shared" si="28"/>
        <v>80</v>
      </c>
      <c r="N121" s="2988"/>
      <c r="O121" s="2988"/>
      <c r="P121" s="1843"/>
      <c r="Q121" s="1844"/>
    </row>
    <row r="122" spans="1:17" ht="15" thickTop="1">
      <c r="A122" s="1874"/>
      <c r="B122" s="1829" t="s">
        <v>2275</v>
      </c>
      <c r="C122" s="3317" t="s">
        <v>3002</v>
      </c>
      <c r="D122" s="3317" t="s">
        <v>3004</v>
      </c>
      <c r="E122" s="3317" t="s">
        <v>3005</v>
      </c>
      <c r="F122" s="3320" t="s">
        <v>3006</v>
      </c>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得房率</v>
      </c>
      <c r="C126" s="3317" t="s">
        <v>3019</v>
      </c>
      <c r="D126" s="3317" t="s">
        <v>2996</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95</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74" priority="21" stopIfTrue="1" operator="containsText" text="超过">
      <formula>NOT(ISERROR(SEARCH("超过",F52)))</formula>
    </cfRule>
  </conditionalFormatting>
  <conditionalFormatting sqref="H54">
    <cfRule type="containsText" dxfId="173" priority="19" stopIfTrue="1" operator="containsText" text="超过">
      <formula>NOT(ISERROR(SEARCH("超过",H54)))</formula>
    </cfRule>
  </conditionalFormatting>
  <conditionalFormatting sqref="F54">
    <cfRule type="containsText" dxfId="172" priority="18" stopIfTrue="1" operator="containsText" text="超过">
      <formula>NOT(ISERROR(SEARCH("超过",F54)))</formula>
    </cfRule>
  </conditionalFormatting>
  <conditionalFormatting sqref="F53 H53">
    <cfRule type="containsText" dxfId="171" priority="17" stopIfTrue="1" operator="containsText" text="超过">
      <formula>NOT(ISERROR(SEARCH("超过",F53)))</formula>
    </cfRule>
  </conditionalFormatting>
  <conditionalFormatting sqref="E52">
    <cfRule type="expression" dxfId="170" priority="16" stopIfTrue="1">
      <formula>$F$52="超过30%"</formula>
    </cfRule>
  </conditionalFormatting>
  <conditionalFormatting sqref="E53">
    <cfRule type="expression" dxfId="169" priority="15" stopIfTrue="1">
      <formula>$F$53="超过20%"</formula>
    </cfRule>
  </conditionalFormatting>
  <conditionalFormatting sqref="E54">
    <cfRule type="expression" dxfId="168" priority="14" stopIfTrue="1">
      <formula>$F$54="超过30%"</formula>
    </cfRule>
  </conditionalFormatting>
  <conditionalFormatting sqref="G54">
    <cfRule type="expression" dxfId="167" priority="13" stopIfTrue="1">
      <formula>$H$54="超过30%"</formula>
    </cfRule>
  </conditionalFormatting>
  <conditionalFormatting sqref="G52">
    <cfRule type="expression" dxfId="166" priority="12" stopIfTrue="1">
      <formula>$H$52="超过30%"</formula>
    </cfRule>
  </conditionalFormatting>
  <conditionalFormatting sqref="G53">
    <cfRule type="expression" dxfId="165" priority="11" stopIfTrue="1">
      <formula>$H$53="超过20%"</formula>
    </cfRule>
  </conditionalFormatting>
  <conditionalFormatting sqref="J52">
    <cfRule type="containsText" dxfId="164" priority="10" stopIfTrue="1" operator="containsText" text="超过">
      <formula>NOT(ISERROR(SEARCH("超过",J52)))</formula>
    </cfRule>
  </conditionalFormatting>
  <conditionalFormatting sqref="J54">
    <cfRule type="containsText" dxfId="163" priority="9" stopIfTrue="1" operator="containsText" text="超过">
      <formula>NOT(ISERROR(SEARCH("超过",J54)))</formula>
    </cfRule>
  </conditionalFormatting>
  <conditionalFormatting sqref="J53">
    <cfRule type="containsText" dxfId="162" priority="8" stopIfTrue="1" operator="containsText" text="超过">
      <formula>NOT(ISERROR(SEARCH("超过",J53)))</formula>
    </cfRule>
  </conditionalFormatting>
  <conditionalFormatting sqref="I52">
    <cfRule type="expression" dxfId="161" priority="7" stopIfTrue="1">
      <formula>$J$52="超过30%"</formula>
    </cfRule>
  </conditionalFormatting>
  <conditionalFormatting sqref="I53">
    <cfRule type="expression" dxfId="160" priority="6" stopIfTrue="1">
      <formula>$J$53="超过20%"</formula>
    </cfRule>
  </conditionalFormatting>
  <conditionalFormatting sqref="I54">
    <cfRule type="expression" dxfId="159" priority="5" stopIfTrue="1">
      <formula>$J$54="超过30%"</formula>
    </cfRule>
  </conditionalFormatting>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F7:F46 H7:H46 J7:J46">
    <cfRule type="cellIs" dxfId="155" priority="1" operator="notEqual">
      <formula>100</formula>
    </cfRule>
  </conditionalFormatting>
  <dataValidations count="26">
    <dataValidation type="list" allowBlank="1" showInputMessage="1" showErrorMessage="1" sqref="C10 E10 G10 I10" xr:uid="{00000000-0002-0000-0F00-000000000000}">
      <formula1>土地年限区间</formula1>
    </dataValidation>
    <dataValidation type="list" allowBlank="1" showInputMessage="1" showErrorMessage="1" sqref="D1" xr:uid="{00000000-0002-0000-0F00-000001000000}">
      <formula1>项目类型汇总</formula1>
    </dataValidation>
    <dataValidation type="list" allowBlank="1" showInputMessage="1" showErrorMessage="1" sqref="C43 E43 G43 I43" xr:uid="{00000000-0002-0000-0F00-000002000000}">
      <formula1>内部装修维护情况</formula1>
    </dataValidation>
    <dataValidation type="list" allowBlank="1" showInputMessage="1" showErrorMessage="1" sqref="I34 C34 E34 G34" xr:uid="{00000000-0002-0000-0F00-000003000000}">
      <formula1>商业建筑结构</formula1>
    </dataValidation>
    <dataValidation type="list" allowBlank="1" showInputMessage="1" showErrorMessage="1" sqref="C20 I20 G20 E20" xr:uid="{00000000-0002-0000-0F00-000004000000}">
      <formula1>公共配套设施</formula1>
    </dataValidation>
    <dataValidation type="list" allowBlank="1" showInputMessage="1" showErrorMessage="1" sqref="E18 G18 I18 C18" xr:uid="{00000000-0002-0000-0F00-000005000000}">
      <formula1>交通便捷度</formula1>
    </dataValidation>
    <dataValidation type="list" allowBlank="1" showInputMessage="1" showErrorMessage="1" sqref="E24 G24 I24 C24" xr:uid="{00000000-0002-0000-0F00-000006000000}">
      <formula1>环境</formula1>
    </dataValidation>
    <dataValidation type="list" allowBlank="1" showInputMessage="1" showErrorMessage="1" sqref="C25 E25 G25 I25" xr:uid="{00000000-0002-0000-0F00-000007000000}">
      <formula1>商业临街状况</formula1>
    </dataValidation>
    <dataValidation type="list" allowBlank="1" showInputMessage="1" showErrorMessage="1" sqref="C27 E27 G27 I27" xr:uid="{00000000-0002-0000-0F00-000008000000}">
      <formula1>商业人流量</formula1>
    </dataValidation>
    <dataValidation type="list" allowBlank="1" showInputMessage="1" showErrorMessage="1" sqref="C28 E28 G28 I28" xr:uid="{00000000-0002-0000-0F00-000009000000}">
      <formula1>商业楼层</formula1>
    </dataValidation>
    <dataValidation type="list" allowBlank="1" showInputMessage="1" showErrorMessage="1" sqref="C32 E32 G32 I32" xr:uid="{00000000-0002-0000-0F00-00000A000000}">
      <formula1>商业类型</formula1>
    </dataValidation>
    <dataValidation type="list" allowBlank="1" showInputMessage="1" showErrorMessage="1" sqref="C35 E35 G35 I35" xr:uid="{00000000-0002-0000-0F00-00000B000000}">
      <formula1>商业公共部分装修</formula1>
    </dataValidation>
    <dataValidation type="list" allowBlank="1" showInputMessage="1" showErrorMessage="1" sqref="C37 E37 G37 I37" xr:uid="{00000000-0002-0000-0F00-00000C000000}">
      <formula1>商业基础设施水平</formula1>
    </dataValidation>
    <dataValidation type="list" allowBlank="1" showInputMessage="1" showErrorMessage="1" sqref="C41 E41 G41 I41" xr:uid="{00000000-0002-0000-0F00-00000D000000}">
      <formula1>商业进深比</formula1>
    </dataValidation>
    <dataValidation type="list" allowBlank="1" showInputMessage="1" showErrorMessage="1" sqref="C42 E42 G42 I42" xr:uid="{00000000-0002-0000-0F00-00000E000000}">
      <formula1>商业内部装修</formula1>
    </dataValidation>
    <dataValidation type="list" allowBlank="1" showInputMessage="1" showErrorMessage="1" sqref="E9 G9 I9" xr:uid="{00000000-0002-0000-0F00-00000F000000}">
      <formula1>商业用途</formula1>
    </dataValidation>
    <dataValidation type="list" allowBlank="1" showInputMessage="1" showErrorMessage="1" sqref="C38 E38 G38 I38" xr:uid="{00000000-0002-0000-0F00-000010000000}">
      <formula1>商业业态</formula1>
    </dataValidation>
    <dataValidation type="list" allowBlank="1" showInputMessage="1" showErrorMessage="1" sqref="C39 E39 G39 I39" xr:uid="{00000000-0002-0000-0F00-000011000000}">
      <formula1>商业层高</formula1>
    </dataValidation>
    <dataValidation type="list" allowBlank="1" showInputMessage="1" showErrorMessage="1" sqref="C8 E8 G8 I8" xr:uid="{00000000-0002-0000-0F00-000012000000}">
      <formula1>商业交易情况</formula1>
    </dataValidation>
    <dataValidation type="list" allowBlank="1" showInputMessage="1" showErrorMessage="1" sqref="C16 E16 G16 I16" xr:uid="{00000000-0002-0000-0F00-000013000000}">
      <formula1>商业繁华度</formula1>
    </dataValidation>
    <dataValidation type="list" allowBlank="1" showInputMessage="1" showErrorMessage="1" sqref="C1" xr:uid="{00000000-0002-0000-0F00-000014000000}">
      <formula1>"估价对象,仅计算典型户型"</formula1>
    </dataValidation>
    <dataValidation type="list" allowBlank="1" showInputMessage="1" showErrorMessage="1" sqref="C22 E22 G22 I22" xr:uid="{00000000-0002-0000-0F00-000015000000}">
      <formula1>基础设施水平</formula1>
    </dataValidation>
    <dataValidation type="list" allowBlank="1" showInputMessage="1" showErrorMessage="1" sqref="E1" xr:uid="{00000000-0002-0000-0F00-000016000000}">
      <formula1>"售价,租金"</formula1>
    </dataValidation>
    <dataValidation type="list" allowBlank="1" showInputMessage="1" showErrorMessage="1" sqref="D2" xr:uid="{00000000-0002-0000-0F00-000017000000}">
      <formula1>"需扣减承租人权益,——"</formula1>
    </dataValidation>
    <dataValidation type="list" allowBlank="1" showInputMessage="1" showErrorMessage="1" sqref="G2" xr:uid="{00000000-0002-0000-0F00-000018000000}">
      <formula1>估价方法</formula1>
    </dataValidation>
    <dataValidation type="list" allowBlank="1" showInputMessage="1" showErrorMessage="1" sqref="D48" xr:uid="{00000000-0002-0000-0F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M3:N57"/>
  <sheetViews>
    <sheetView topLeftCell="A43" workbookViewId="0">
      <selection activeCell="N39" sqref="N39"/>
    </sheetView>
  </sheetViews>
  <sheetFormatPr defaultRowHeight="13.5"/>
  <sheetData>
    <row r="3" spans="13:14">
      <c r="M3">
        <v>277</v>
      </c>
      <c r="N3">
        <v>30000</v>
      </c>
    </row>
    <row r="27" spans="13:14">
      <c r="M27">
        <v>99</v>
      </c>
      <c r="N27">
        <v>25152</v>
      </c>
    </row>
    <row r="57" spans="13:14">
      <c r="M57">
        <v>156</v>
      </c>
      <c r="N57">
        <v>30128</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98" t="s">
        <v>1825</v>
      </c>
      <c r="B2" s="3598"/>
      <c r="C2" s="3598"/>
      <c r="D2" s="3598"/>
      <c r="E2" s="3598"/>
      <c r="F2" s="3598"/>
      <c r="G2" s="3598"/>
      <c r="H2" s="3598"/>
      <c r="I2" s="3598"/>
      <c r="J2" s="2845"/>
    </row>
    <row r="3" spans="1:15" ht="12.75">
      <c r="A3" s="3475" t="s">
        <v>1653</v>
      </c>
      <c r="B3" s="3476"/>
      <c r="C3" s="3476"/>
      <c r="D3" s="3476"/>
      <c r="E3" s="3476"/>
      <c r="F3" s="3476"/>
      <c r="G3" s="3476"/>
      <c r="H3" s="3476"/>
      <c r="I3" s="3476"/>
      <c r="J3" s="2815"/>
    </row>
    <row r="4" spans="1:15" ht="14.25">
      <c r="A4" s="2683" t="s">
        <v>1654</v>
      </c>
      <c r="B4" s="2683" t="s">
        <v>1655</v>
      </c>
      <c r="C4" s="2684"/>
      <c r="D4" s="2684"/>
      <c r="E4" s="3421" t="s">
        <v>1826</v>
      </c>
      <c r="F4" s="3459"/>
      <c r="G4" s="3459"/>
      <c r="H4" s="3459"/>
      <c r="I4" s="346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52" t="s">
        <v>1657</v>
      </c>
      <c r="B5" s="3452">
        <v>25</v>
      </c>
      <c r="C5" s="3461"/>
      <c r="D5" s="3474"/>
      <c r="E5" s="12" t="s">
        <v>1658</v>
      </c>
      <c r="F5" s="2059"/>
      <c r="G5" s="2059"/>
      <c r="H5" s="2059"/>
      <c r="I5" s="2054"/>
      <c r="J5" s="2816"/>
    </row>
    <row r="6" spans="1:15" ht="12.75">
      <c r="A6" s="3452"/>
      <c r="B6" s="3452"/>
      <c r="C6" s="3477"/>
      <c r="D6" s="3474"/>
      <c r="E6" s="12" t="s">
        <v>1659</v>
      </c>
      <c r="F6" s="2059"/>
      <c r="G6" s="2059"/>
      <c r="H6" s="2059"/>
      <c r="I6" s="2054"/>
      <c r="J6" s="2816"/>
    </row>
    <row r="7" spans="1:15" ht="12.75">
      <c r="A7" s="3452"/>
      <c r="B7" s="3452"/>
      <c r="C7" s="3462"/>
      <c r="D7" s="3474"/>
      <c r="E7" s="12" t="s">
        <v>1660</v>
      </c>
      <c r="F7" s="2059"/>
      <c r="G7" s="2059"/>
      <c r="H7" s="2059"/>
      <c r="I7" s="2054"/>
      <c r="J7" s="2816"/>
    </row>
    <row r="8" spans="1:15" ht="12.75">
      <c r="A8" s="3452" t="s">
        <v>1661</v>
      </c>
      <c r="B8" s="3452">
        <v>15</v>
      </c>
      <c r="C8" s="3461"/>
      <c r="D8" s="3474"/>
      <c r="E8" s="12" t="s">
        <v>1662</v>
      </c>
      <c r="F8" s="2059"/>
      <c r="G8" s="2059"/>
      <c r="H8" s="2059"/>
      <c r="I8" s="2054"/>
      <c r="J8" s="2816"/>
    </row>
    <row r="9" spans="1:15" ht="12.75">
      <c r="A9" s="3452"/>
      <c r="B9" s="3452"/>
      <c r="C9" s="3462"/>
      <c r="D9" s="3474"/>
      <c r="E9" s="12" t="s">
        <v>1663</v>
      </c>
      <c r="F9" s="2059"/>
      <c r="G9" s="2059"/>
      <c r="H9" s="2059"/>
      <c r="I9" s="2054"/>
      <c r="J9" s="2816"/>
    </row>
    <row r="10" spans="1:15" ht="12.75">
      <c r="A10" s="3452" t="s">
        <v>1664</v>
      </c>
      <c r="B10" s="3452">
        <v>15</v>
      </c>
      <c r="C10" s="3461"/>
      <c r="D10" s="3474"/>
      <c r="E10" s="12" t="s">
        <v>1665</v>
      </c>
      <c r="F10" s="2059"/>
      <c r="G10" s="2059"/>
      <c r="H10" s="2059"/>
      <c r="I10" s="2054"/>
      <c r="J10" s="2816"/>
    </row>
    <row r="11" spans="1:15" ht="12.75">
      <c r="A11" s="3452"/>
      <c r="B11" s="3452"/>
      <c r="C11" s="3462"/>
      <c r="D11" s="3474"/>
      <c r="E11" s="12" t="s">
        <v>1666</v>
      </c>
      <c r="F11" s="2059"/>
      <c r="G11" s="2059"/>
      <c r="H11" s="2059"/>
      <c r="I11" s="2054"/>
      <c r="J11" s="2816"/>
    </row>
    <row r="12" spans="1:15" ht="12.75">
      <c r="A12" s="3452" t="s">
        <v>1667</v>
      </c>
      <c r="B12" s="3452">
        <v>15</v>
      </c>
      <c r="C12" s="3461"/>
      <c r="D12" s="3474"/>
      <c r="E12" s="12" t="s">
        <v>1668</v>
      </c>
      <c r="F12" s="2059"/>
      <c r="G12" s="2059"/>
      <c r="H12" s="2059"/>
      <c r="I12" s="2054"/>
      <c r="J12" s="2816"/>
    </row>
    <row r="13" spans="1:15" ht="12.75">
      <c r="A13" s="3452"/>
      <c r="B13" s="3452"/>
      <c r="C13" s="3462"/>
      <c r="D13" s="3474"/>
      <c r="E13" s="12" t="s">
        <v>1669</v>
      </c>
      <c r="F13" s="2059"/>
      <c r="G13" s="2059"/>
      <c r="H13" s="2059"/>
      <c r="I13" s="2054"/>
      <c r="J13" s="2816"/>
    </row>
    <row r="14" spans="1:15" ht="12.75">
      <c r="A14" s="3452" t="s">
        <v>1670</v>
      </c>
      <c r="B14" s="3452">
        <v>30</v>
      </c>
      <c r="C14" s="3461"/>
      <c r="D14" s="3474"/>
      <c r="E14" s="12" t="s">
        <v>1671</v>
      </c>
      <c r="F14" s="2059"/>
      <c r="G14" s="2059"/>
      <c r="H14" s="2059"/>
      <c r="I14" s="2054"/>
      <c r="J14" s="2816"/>
    </row>
    <row r="15" spans="1:15" ht="12.75">
      <c r="A15" s="3452"/>
      <c r="B15" s="3452"/>
      <c r="C15" s="3477"/>
      <c r="D15" s="3474"/>
      <c r="E15" s="12" t="s">
        <v>1672</v>
      </c>
      <c r="F15" s="2059"/>
      <c r="G15" s="2059"/>
      <c r="H15" s="2059"/>
      <c r="I15" s="2054"/>
      <c r="J15" s="2816"/>
    </row>
    <row r="16" spans="1:15" ht="12.75">
      <c r="A16" s="3452"/>
      <c r="B16" s="3452"/>
      <c r="C16" s="3462"/>
      <c r="D16" s="3474"/>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70" t="s">
        <v>2760</v>
      </c>
      <c r="F18" s="3471"/>
      <c r="G18" s="3471"/>
      <c r="H18" s="3471"/>
      <c r="I18" s="3471"/>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63" t="s">
        <v>1682</v>
      </c>
      <c r="B24" s="2691" t="s">
        <v>1677</v>
      </c>
      <c r="C24" s="2694">
        <f>D30</f>
        <v>0</v>
      </c>
      <c r="D24" s="2646"/>
      <c r="E24" s="947"/>
      <c r="F24" s="947"/>
      <c r="G24" s="947"/>
      <c r="H24" s="947"/>
      <c r="I24" s="947"/>
      <c r="J24" s="2817"/>
    </row>
    <row r="25" spans="1:36" ht="21.75" customHeight="1">
      <c r="A25" s="348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75" t="s">
        <v>1829</v>
      </c>
      <c r="B32" s="3575"/>
      <c r="C32" s="3575"/>
      <c r="D32" s="3575"/>
      <c r="E32" s="3575"/>
      <c r="F32" s="3575"/>
      <c r="G32" s="3575"/>
      <c r="H32" s="3575"/>
      <c r="I32" s="357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63" t="s">
        <v>1838</v>
      </c>
      <c r="B38" s="1438" t="s">
        <v>1839</v>
      </c>
      <c r="C38" s="2727"/>
      <c r="D38" s="2728"/>
      <c r="E38" s="1650"/>
      <c r="F38" s="1650"/>
      <c r="G38" s="947"/>
      <c r="H38" s="947"/>
      <c r="I38" s="947"/>
      <c r="J38" s="2817"/>
    </row>
    <row r="39" spans="1:16" ht="15.75" thickBot="1">
      <c r="A39" s="3464"/>
      <c r="B39" s="2064" t="s">
        <v>1840</v>
      </c>
      <c r="C39" s="2729"/>
      <c r="D39" s="1281"/>
      <c r="E39" s="1281"/>
      <c r="F39" s="1650"/>
      <c r="G39" s="1281"/>
      <c r="H39" s="1281"/>
      <c r="I39" s="1281"/>
      <c r="J39" s="2821"/>
    </row>
    <row r="40" spans="1:16" ht="15.75" thickBot="1">
      <c r="A40" s="3465"/>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67" t="s">
        <v>1851</v>
      </c>
      <c r="B47" s="3468"/>
      <c r="C47" s="3427"/>
      <c r="D47" s="246">
        <f>ROUND(I104*F47,0)</f>
        <v>0</v>
      </c>
      <c r="E47" s="1512" t="s">
        <v>1852</v>
      </c>
      <c r="F47" s="2531">
        <v>1</v>
      </c>
      <c r="G47" s="2532" t="s">
        <v>1853</v>
      </c>
      <c r="H47" s="947"/>
      <c r="I47" s="947"/>
      <c r="J47" s="2817"/>
      <c r="K47" s="3600" t="s">
        <v>1709</v>
      </c>
      <c r="L47" s="3600"/>
      <c r="M47" s="3600"/>
      <c r="N47" s="3600"/>
      <c r="O47" s="3600"/>
      <c r="P47" s="3600"/>
    </row>
    <row r="48" spans="1:16" ht="14.25" customHeight="1">
      <c r="A48" s="3456" t="s">
        <v>1710</v>
      </c>
      <c r="B48" s="3457"/>
      <c r="C48" s="3457"/>
      <c r="D48" s="3457"/>
      <c r="E48" s="3457"/>
      <c r="F48" s="3457"/>
      <c r="G48" s="3458"/>
      <c r="H48" s="2949"/>
      <c r="I48" s="947"/>
      <c r="J48" s="2817"/>
      <c r="K48" s="2483">
        <v>1</v>
      </c>
      <c r="L48" s="3595" t="s">
        <v>1711</v>
      </c>
      <c r="M48" s="3595"/>
      <c r="N48" s="3601"/>
      <c r="O48" s="3601"/>
      <c r="P48" s="3601"/>
    </row>
    <row r="49" spans="1:17" ht="12" customHeight="1">
      <c r="A49" s="38" t="s">
        <v>1712</v>
      </c>
      <c r="B49" s="39"/>
      <c r="C49" s="40"/>
      <c r="D49" s="1070" t="s">
        <v>1713</v>
      </c>
      <c r="E49" s="235" t="s">
        <v>1714</v>
      </c>
      <c r="F49" s="41" t="s">
        <v>1715</v>
      </c>
      <c r="G49" s="2534" t="s">
        <v>1716</v>
      </c>
      <c r="H49" s="2949"/>
      <c r="I49" s="947"/>
      <c r="J49" s="2817"/>
      <c r="K49" s="2483">
        <v>2</v>
      </c>
      <c r="L49" s="3595" t="s">
        <v>1717</v>
      </c>
      <c r="M49" s="3595"/>
      <c r="N49" s="3602">
        <f>'数据-取费表'!B2</f>
        <v>44631</v>
      </c>
      <c r="O49" s="3602"/>
      <c r="P49" s="3602"/>
    </row>
    <row r="50" spans="1:17" ht="25.5">
      <c r="A50" s="3466" t="s">
        <v>1718</v>
      </c>
      <c r="B50" s="3420"/>
      <c r="C50" s="3420"/>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95" t="s">
        <v>1721</v>
      </c>
      <c r="M50" s="3595"/>
      <c r="N50" s="3596">
        <f>I104</f>
        <v>0</v>
      </c>
      <c r="O50" s="3596"/>
      <c r="P50" s="3596"/>
    </row>
    <row r="51" spans="1:17" ht="25.5" customHeight="1">
      <c r="A51" s="2061" t="s">
        <v>1722</v>
      </c>
      <c r="B51" s="3459" t="s">
        <v>1723</v>
      </c>
      <c r="C51" s="3459"/>
      <c r="D51" s="2538">
        <v>0</v>
      </c>
      <c r="E51" s="261" t="s">
        <v>1724</v>
      </c>
      <c r="F51" s="2539" t="s">
        <v>48</v>
      </c>
      <c r="G51" s="3516"/>
      <c r="H51" s="2540" t="s">
        <v>2684</v>
      </c>
      <c r="I51" s="2541"/>
      <c r="J51" s="2825"/>
      <c r="K51" s="2483">
        <v>4</v>
      </c>
      <c r="L51" s="3595" t="str">
        <f>IF(项目基本情况!F5="房地产抵押价值","房地产抵押价值","抵押担保权已注销时的房地产抵押价值")</f>
        <v>抵押担保权已注销时的房地产抵押价值</v>
      </c>
      <c r="M51" s="3595"/>
      <c r="N51" s="3596" t="str">
        <f>IF(项目基本情况!F5="房地产抵押价值",I112,I114)</f>
        <v>——</v>
      </c>
      <c r="O51" s="3596"/>
      <c r="P51" s="3596"/>
    </row>
    <row r="52" spans="1:17" ht="25.5" customHeight="1">
      <c r="A52" s="2051"/>
      <c r="B52" s="3459" t="s">
        <v>1725</v>
      </c>
      <c r="C52" s="3459"/>
      <c r="D52" s="2542"/>
      <c r="E52" s="269"/>
      <c r="F52" s="2539"/>
      <c r="G52" s="3517"/>
      <c r="H52" s="2543" t="s">
        <v>2685</v>
      </c>
      <c r="I52" s="2541"/>
      <c r="J52" s="2825"/>
      <c r="K52" s="3595" t="s">
        <v>1726</v>
      </c>
      <c r="L52" s="3595"/>
      <c r="M52" s="3595"/>
      <c r="N52" s="3595"/>
      <c r="O52" s="3595"/>
      <c r="P52" s="3595"/>
    </row>
    <row r="53" spans="1:17" ht="20.45" customHeight="1">
      <c r="A53" s="2544"/>
      <c r="B53" s="3459" t="s">
        <v>1727</v>
      </c>
      <c r="C53" s="3459"/>
      <c r="D53" s="1070"/>
      <c r="E53" s="264"/>
      <c r="F53" s="2539"/>
      <c r="G53" s="3518"/>
      <c r="H53" s="2543" t="s">
        <v>2686</v>
      </c>
      <c r="I53" s="2541"/>
      <c r="J53" s="2825"/>
      <c r="K53" s="2484" t="s">
        <v>1728</v>
      </c>
      <c r="L53" s="3595" t="s">
        <v>1729</v>
      </c>
      <c r="M53" s="3595"/>
      <c r="N53" s="2484" t="s">
        <v>1730</v>
      </c>
      <c r="O53" s="2484" t="s">
        <v>1731</v>
      </c>
      <c r="P53" s="2484" t="s">
        <v>1732</v>
      </c>
    </row>
    <row r="54" spans="1:17" ht="24" customHeight="1">
      <c r="A54" s="2052" t="s">
        <v>1733</v>
      </c>
      <c r="B54" s="3459" t="s">
        <v>1734</v>
      </c>
      <c r="C54" s="3459"/>
      <c r="D54" s="1070">
        <f>ROUND(D47*'数据-取费表'!E29/(1+'数据-取费表'!F30),0)</f>
        <v>0</v>
      </c>
      <c r="E54" s="2062" t="s">
        <v>1735</v>
      </c>
      <c r="F54" s="2545">
        <f>'数据-取费表'!E29</f>
        <v>5.5000000000000007E-2</v>
      </c>
      <c r="G54" s="2546"/>
      <c r="H54" s="947"/>
      <c r="I54" s="2950"/>
      <c r="J54" s="2825"/>
      <c r="K54" s="2483">
        <v>1</v>
      </c>
      <c r="L54" s="3591" t="s">
        <v>1736</v>
      </c>
      <c r="M54" s="3591"/>
      <c r="N54" s="2485">
        <f>D50</f>
        <v>0</v>
      </c>
      <c r="O54" s="2483" t="str">
        <f>E50</f>
        <v>销售额×税（费）率</v>
      </c>
      <c r="P54" s="2486">
        <f>F50</f>
        <v>5.5000000000000007E-2</v>
      </c>
    </row>
    <row r="55" spans="1:17" ht="12" customHeight="1">
      <c r="A55" s="2052" t="s">
        <v>1737</v>
      </c>
      <c r="B55" s="3421" t="s">
        <v>2778</v>
      </c>
      <c r="C55" s="3460"/>
      <c r="D55" s="1070">
        <f>ROUND(D47*'数据-取费表'!E29/(1+'数据-取费表'!F30),0)</f>
        <v>0</v>
      </c>
      <c r="E55" s="2062" t="s">
        <v>1735</v>
      </c>
      <c r="F55" s="2545">
        <f>'数据-取费表'!E29</f>
        <v>5.5000000000000007E-2</v>
      </c>
      <c r="G55" s="2546"/>
      <c r="H55" s="947"/>
      <c r="I55" s="2950"/>
      <c r="J55" s="2825"/>
      <c r="K55" s="2483">
        <v>2</v>
      </c>
      <c r="L55" s="3591" t="s">
        <v>1738</v>
      </c>
      <c r="M55" s="3591"/>
      <c r="N55" s="2485">
        <f t="shared" ref="N55:P56" si="1">D57</f>
        <v>0</v>
      </c>
      <c r="O55" s="2483" t="str">
        <f t="shared" si="1"/>
        <v>销售额×税（费）率</v>
      </c>
      <c r="P55" s="2486">
        <f t="shared" si="1"/>
        <v>5.0000000000000001E-4</v>
      </c>
    </row>
    <row r="56" spans="1:17" ht="12" customHeight="1">
      <c r="A56" s="2052" t="s">
        <v>1739</v>
      </c>
      <c r="B56" s="3421" t="s">
        <v>2779</v>
      </c>
      <c r="C56" s="3460"/>
      <c r="D56" s="1070">
        <f>C70</f>
        <v>0</v>
      </c>
      <c r="E56" s="264" t="s">
        <v>1740</v>
      </c>
      <c r="F56" s="2545">
        <f>'数据-取费表'!E29</f>
        <v>5.5000000000000007E-2</v>
      </c>
      <c r="G56" s="2546"/>
      <c r="H56" s="2951"/>
      <c r="I56" s="2950"/>
      <c r="J56" s="2825"/>
      <c r="K56" s="2483">
        <v>3</v>
      </c>
      <c r="L56" s="3591" t="s">
        <v>1741</v>
      </c>
      <c r="M56" s="3591"/>
      <c r="N56" s="2485">
        <f t="shared" si="1"/>
        <v>0</v>
      </c>
      <c r="O56" s="2483" t="str">
        <f t="shared" si="1"/>
        <v>增值额×税（费）率</v>
      </c>
      <c r="P56" s="2487" t="str">
        <f t="shared" si="1"/>
        <v>——</v>
      </c>
    </row>
    <row r="57" spans="1:17" ht="24" customHeight="1">
      <c r="A57" s="3419" t="s">
        <v>1742</v>
      </c>
      <c r="B57" s="3420"/>
      <c r="C57" s="3420"/>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91" t="str">
        <f>IF(H61="非个人房产","——","个人所得税")</f>
        <v>个人所得税</v>
      </c>
      <c r="M57" s="3591"/>
      <c r="N57" s="2488">
        <f>D61</f>
        <v>0</v>
      </c>
      <c r="O57" s="2489" t="str">
        <f>E61</f>
        <v>销售额×税（费）率</v>
      </c>
      <c r="P57" s="2490">
        <f>F61</f>
        <v>0.01</v>
      </c>
    </row>
    <row r="58" spans="1:17" ht="24.75">
      <c r="A58" s="3419" t="s">
        <v>1745</v>
      </c>
      <c r="B58" s="3420"/>
      <c r="C58" s="3420"/>
      <c r="D58" s="12">
        <f>IF(H58="个人住宅",D59,D60)</f>
        <v>0</v>
      </c>
      <c r="E58" s="2062" t="s">
        <v>1746</v>
      </c>
      <c r="F58" s="2545" t="str">
        <f>IF(H58="正常",F60,"免征")</f>
        <v>——</v>
      </c>
      <c r="G58" s="2547" t="s">
        <v>1747</v>
      </c>
      <c r="H58" s="2548" t="s">
        <v>1744</v>
      </c>
      <c r="I58" s="2952"/>
      <c r="J58" s="2825"/>
      <c r="K58" s="2483" t="str">
        <f>IF(项目基本情况!I6="上海银行",IF(K57="",4,K57+1),"")</f>
        <v/>
      </c>
      <c r="L58" s="3593" t="str">
        <f>IF(项目基本情况!I6="上海银行","其他处置费用","")</f>
        <v/>
      </c>
      <c r="M58" s="3594"/>
      <c r="N58" s="2485" t="str">
        <f>IF(项目基本情况!I6="上海银行",N71,"")</f>
        <v/>
      </c>
      <c r="O58" s="3593" t="str">
        <f>IF(项目基本情况!I6="上海银行","包含处置中涉及的律师、诉讼、拍卖、评估等费用","")</f>
        <v/>
      </c>
      <c r="P58" s="3597"/>
    </row>
    <row r="59" spans="1:17" ht="12.75">
      <c r="A59" s="2052" t="s">
        <v>1722</v>
      </c>
      <c r="B59" s="3421" t="s">
        <v>1748</v>
      </c>
      <c r="C59" s="3460"/>
      <c r="D59" s="2538">
        <v>0</v>
      </c>
      <c r="E59" s="261" t="s">
        <v>1724</v>
      </c>
      <c r="F59" s="235"/>
      <c r="G59" s="2546"/>
      <c r="H59" s="2952"/>
      <c r="I59" s="2952"/>
      <c r="J59" s="2825"/>
      <c r="K59" s="3591">
        <f>IF(AND(K57="",K58=""),4,IF(项目基本情况!I6="上海银行",K58+1,K57+1))</f>
        <v>5</v>
      </c>
      <c r="L59" s="3591" t="s">
        <v>1749</v>
      </c>
      <c r="M59" s="2491" t="s">
        <v>1750</v>
      </c>
      <c r="N59" s="2492"/>
      <c r="O59" s="2493">
        <f>SUMIF(N54:N58,"&lt;9e307")</f>
        <v>0</v>
      </c>
      <c r="P59" s="2494"/>
      <c r="Q59" s="1276" t="e">
        <f>O59/N51</f>
        <v>#VALUE!</v>
      </c>
    </row>
    <row r="60" spans="1:17" ht="24.75">
      <c r="A60" s="2052" t="s">
        <v>1733</v>
      </c>
      <c r="B60" s="3421" t="s">
        <v>1751</v>
      </c>
      <c r="C60" s="3459"/>
      <c r="D60" s="12">
        <f>IF(H60="转让取得",C83,C99)</f>
        <v>0</v>
      </c>
      <c r="E60" s="2062" t="s">
        <v>1746</v>
      </c>
      <c r="F60" s="235" t="s">
        <v>48</v>
      </c>
      <c r="G60" s="2546"/>
      <c r="H60" s="2548" t="s">
        <v>1752</v>
      </c>
      <c r="I60" s="2952"/>
      <c r="J60" s="2825"/>
      <c r="K60" s="3591"/>
      <c r="L60" s="3591"/>
      <c r="M60" s="2491" t="s">
        <v>1753</v>
      </c>
      <c r="N60" s="2495"/>
      <c r="O60" s="2496" t="str">
        <f>IF(H19="元",NUMBERSTRING(INT(O59),2)&amp;"元整",NUMBERSTRING(INT(O59*10000),2)&amp;"元整")</f>
        <v>零元整</v>
      </c>
      <c r="P60" s="2497"/>
    </row>
    <row r="61" spans="1:17" ht="26.25" thickBot="1">
      <c r="A61" s="3443" t="s">
        <v>1754</v>
      </c>
      <c r="B61" s="3444"/>
      <c r="C61" s="344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89">
        <f>K59+1</f>
        <v>6</v>
      </c>
      <c r="L61" s="3591" t="s">
        <v>1755</v>
      </c>
      <c r="M61" s="2483" t="s">
        <v>1750</v>
      </c>
      <c r="N61" s="2498"/>
      <c r="O61" s="2499" t="e">
        <f>N51-O59</f>
        <v>#VALUE!</v>
      </c>
      <c r="P61" s="2500"/>
    </row>
    <row r="62" spans="1:17" ht="12" customHeight="1">
      <c r="A62" s="1427"/>
      <c r="B62" s="2533"/>
      <c r="C62" s="2533"/>
      <c r="D62" s="2533"/>
      <c r="E62" s="1427"/>
      <c r="F62" s="2952"/>
      <c r="G62" s="2952"/>
      <c r="H62" s="2947"/>
      <c r="I62" s="947"/>
      <c r="J62" s="2825"/>
      <c r="K62" s="3590"/>
      <c r="L62" s="3591"/>
      <c r="M62" s="2491" t="s">
        <v>1753</v>
      </c>
      <c r="N62" s="2495"/>
      <c r="O62" s="2496" t="e">
        <f>IF(H19="元",NUMBERSTRING(INT(O61),2)&amp;"元整",NUMBERSTRING(INT(O61*10000),2)&amp;"元整")</f>
        <v>#VALUE!</v>
      </c>
      <c r="P62" s="2497"/>
    </row>
    <row r="63" spans="1:17" ht="13.5" thickBot="1">
      <c r="A63" s="3592" t="s">
        <v>1756</v>
      </c>
      <c r="B63" s="3592"/>
      <c r="C63" s="3592"/>
      <c r="D63" s="3592"/>
      <c r="E63" s="3592"/>
      <c r="F63" s="2952"/>
      <c r="G63" s="2952"/>
      <c r="H63" s="2947"/>
      <c r="I63" s="947"/>
      <c r="J63" s="2817"/>
      <c r="K63" s="2483">
        <f>K61+1</f>
        <v>7</v>
      </c>
      <c r="L63" s="3591" t="s">
        <v>1757</v>
      </c>
      <c r="M63" s="3591"/>
      <c r="N63" s="2501"/>
      <c r="O63" s="2502" t="e">
        <f>IF(H19="元",ROUND(O61/项目基本情况!C12,0),ROUND(O61*10000/项目基本情况!C12,0))</f>
        <v>#VALUE!</v>
      </c>
      <c r="P63" s="2503"/>
    </row>
    <row r="64" spans="1:17" ht="12.75">
      <c r="A64" s="3478" t="s">
        <v>1758</v>
      </c>
      <c r="B64" s="3479"/>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99"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9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99"/>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99"/>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9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5.5000000000000007E-2</v>
      </c>
      <c r="E70" s="57"/>
      <c r="F70" s="2952"/>
      <c r="G70" s="2952"/>
      <c r="H70" s="2947"/>
      <c r="I70" s="947"/>
      <c r="J70" s="2817"/>
      <c r="K70" s="3599"/>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99"/>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86" t="s">
        <v>1778</v>
      </c>
      <c r="B72" s="3587"/>
      <c r="C72" s="3587"/>
      <c r="D72" s="3587"/>
      <c r="E72" s="3587"/>
      <c r="F72" s="3587"/>
      <c r="G72" s="3587"/>
      <c r="H72" s="358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8" t="s">
        <v>1758</v>
      </c>
      <c r="B73" s="3479"/>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21" t="s">
        <v>1788</v>
      </c>
      <c r="F78" s="3459"/>
      <c r="G78" s="3459"/>
      <c r="H78" s="347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53" t="s">
        <v>1793</v>
      </c>
      <c r="F80" s="3454"/>
      <c r="G80" s="3454"/>
      <c r="H80" s="345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86" t="s">
        <v>1797</v>
      </c>
      <c r="B85" s="3587"/>
      <c r="C85" s="3587"/>
      <c r="D85" s="3587"/>
      <c r="E85" s="3587"/>
      <c r="F85" s="3587"/>
      <c r="G85" s="3587"/>
      <c r="H85" s="358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8" t="s">
        <v>1758</v>
      </c>
      <c r="B86" s="3479"/>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14" t="s">
        <v>2678</v>
      </c>
      <c r="H92" s="3588"/>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53" t="s">
        <v>1805</v>
      </c>
      <c r="F93" s="3454"/>
      <c r="G93" s="3454"/>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53" t="s">
        <v>1808</v>
      </c>
      <c r="F94" s="3454"/>
      <c r="G94" s="3454"/>
      <c r="H94" s="3455"/>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53" t="s">
        <v>1793</v>
      </c>
      <c r="F95" s="3454"/>
      <c r="G95" s="3454"/>
      <c r="H95" s="345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53" t="s">
        <v>1810</v>
      </c>
      <c r="F96" s="3454"/>
      <c r="G96" s="3454"/>
      <c r="H96" s="345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500" t="s">
        <v>1812</v>
      </c>
      <c r="B101" s="3501"/>
      <c r="C101" s="3501"/>
      <c r="D101" s="3502"/>
      <c r="E101" s="1431"/>
      <c r="F101" s="3583" t="s">
        <v>2720</v>
      </c>
      <c r="G101" s="3584"/>
      <c r="H101" s="3584"/>
      <c r="I101" s="3585"/>
      <c r="J101" s="2852"/>
    </row>
    <row r="102" spans="1:36" ht="15">
      <c r="A102" s="3512" t="s">
        <v>1814</v>
      </c>
      <c r="B102" s="3513"/>
      <c r="C102" s="2775">
        <f>C4</f>
        <v>0</v>
      </c>
      <c r="D102" s="2776">
        <f>D4</f>
        <v>0</v>
      </c>
      <c r="E102" s="1431"/>
      <c r="F102" s="3424" t="s">
        <v>2721</v>
      </c>
      <c r="G102" s="3425"/>
      <c r="H102" s="3430" t="s">
        <v>2722</v>
      </c>
      <c r="I102" s="3423"/>
      <c r="J102" s="2832"/>
    </row>
    <row r="103" spans="1:36" ht="12.75">
      <c r="A103" s="3580" t="s">
        <v>2716</v>
      </c>
      <c r="B103" s="2277" t="str">
        <f>IF(H19="元","总价（元）","总价（万元）")</f>
        <v>总价（万元）</v>
      </c>
      <c r="C103" s="1277" t="e">
        <f ca="1">C19</f>
        <v>#REF!</v>
      </c>
      <c r="D103" s="2779" t="e">
        <f ca="1">D19</f>
        <v>#REF!</v>
      </c>
      <c r="E103" s="1431"/>
      <c r="F103" s="3581"/>
      <c r="G103" s="3582"/>
      <c r="H103" s="3422">
        <f>典型户型修正!B25</f>
        <v>0</v>
      </c>
      <c r="I103" s="3423"/>
      <c r="J103" s="2832"/>
    </row>
    <row r="104" spans="1:36" ht="12.75">
      <c r="A104" s="3580"/>
      <c r="B104" s="2277" t="s">
        <v>2717</v>
      </c>
      <c r="C104" s="2780" t="e">
        <f ca="1">C20</f>
        <v>#REF!</v>
      </c>
      <c r="D104" s="2781" t="e">
        <f ca="1">D20</f>
        <v>#REF!</v>
      </c>
      <c r="E104" s="1431"/>
      <c r="F104" s="3434" t="s">
        <v>2723</v>
      </c>
      <c r="G104" s="3435"/>
      <c r="H104" s="2789" t="str">
        <f>C110</f>
        <v>总价（万元）</v>
      </c>
      <c r="I104" s="2790">
        <f>H125</f>
        <v>0</v>
      </c>
      <c r="J104" s="2832"/>
    </row>
    <row r="105" spans="1:36" ht="12.75">
      <c r="A105" s="3580" t="s">
        <v>2718</v>
      </c>
      <c r="B105" s="2215" t="str">
        <f>B103</f>
        <v>总价（万元）</v>
      </c>
      <c r="C105" s="12" t="e">
        <f ca="1">ROUND(IF('数据-取费表'!B4="总价",G19,IF(H19="元",G20*'数据-取费表'!E5,G20*'数据-取费表'!E5/10000)),0)</f>
        <v>#REF!</v>
      </c>
      <c r="D105" s="2782"/>
      <c r="E105" s="1431"/>
      <c r="F105" s="3434"/>
      <c r="G105" s="3435"/>
      <c r="H105" s="2789" t="s">
        <v>2724</v>
      </c>
      <c r="I105" s="52" t="e">
        <f>I125</f>
        <v>#DIV/0!</v>
      </c>
      <c r="J105" s="2816"/>
    </row>
    <row r="106" spans="1:36" ht="12.75">
      <c r="A106" s="3580"/>
      <c r="B106" s="2277" t="s">
        <v>2717</v>
      </c>
      <c r="C106" s="1451" t="e">
        <f ca="1">ROUND(IF('数据-取费表'!B4="楼面单价",G20,IF(H19="元",G19/'数据-取费表'!E5,G19*10000/'数据-取费表'!E5)),0)</f>
        <v>#REF!</v>
      </c>
      <c r="D106" s="2782"/>
      <c r="E106" s="1431"/>
      <c r="F106" s="3434"/>
      <c r="G106" s="3435"/>
      <c r="H106" s="3494"/>
      <c r="I106" s="3495"/>
      <c r="J106" s="2833"/>
    </row>
    <row r="107" spans="1:36" ht="12.75">
      <c r="A107" s="3574" t="s">
        <v>2719</v>
      </c>
      <c r="B107" s="2783" t="str">
        <f>B103</f>
        <v>总价（万元）</v>
      </c>
      <c r="C107" s="2784">
        <f>H125</f>
        <v>0</v>
      </c>
      <c r="D107" s="2785"/>
      <c r="E107" s="1431"/>
      <c r="F107" s="3498" t="s">
        <v>2725</v>
      </c>
      <c r="G107" s="3499"/>
      <c r="H107" s="2791" t="str">
        <f>C112</f>
        <v>总额（万元）</v>
      </c>
      <c r="I107" s="2790">
        <f>SUMIF(I108:I110,"&lt;9E307")</f>
        <v>0</v>
      </c>
      <c r="J107" s="2832"/>
    </row>
    <row r="108" spans="1:36" ht="15" thickBot="1">
      <c r="A108" s="3493"/>
      <c r="B108" s="2786" t="s">
        <v>2717</v>
      </c>
      <c r="C108" s="2787" t="e">
        <f>I125</f>
        <v>#DIV/0!</v>
      </c>
      <c r="D108" s="2788"/>
      <c r="E108" s="1431"/>
      <c r="F108" s="3436" t="s">
        <v>2726</v>
      </c>
      <c r="G108" s="343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77" t="s">
        <v>1815</v>
      </c>
      <c r="B109" s="3578"/>
      <c r="C109" s="3578"/>
      <c r="D109" s="3579"/>
      <c r="E109" s="1431"/>
      <c r="F109" s="3436" t="s">
        <v>2727</v>
      </c>
      <c r="G109" s="3437"/>
      <c r="H109" s="2791" t="str">
        <f>C114</f>
        <v>总额（万元）</v>
      </c>
      <c r="I109" s="52">
        <f>C39</f>
        <v>0</v>
      </c>
      <c r="J109" s="2816"/>
    </row>
    <row r="110" spans="1:36" ht="12.75">
      <c r="A110" s="3434" t="s">
        <v>2730</v>
      </c>
      <c r="B110" s="3435"/>
      <c r="C110" s="2789" t="str">
        <f>B103</f>
        <v>总价（万元）</v>
      </c>
      <c r="D110" s="2790">
        <f>H125</f>
        <v>0</v>
      </c>
      <c r="E110" s="1431"/>
      <c r="F110" s="3436" t="s">
        <v>2728</v>
      </c>
      <c r="G110" s="3437"/>
      <c r="H110" s="2791" t="str">
        <f>C115</f>
        <v>总额（万元）</v>
      </c>
      <c r="I110" s="52">
        <f>C40</f>
        <v>0</v>
      </c>
      <c r="J110" s="2816"/>
    </row>
    <row r="111" spans="1:36" ht="12.75">
      <c r="A111" s="3434"/>
      <c r="B111" s="3435"/>
      <c r="C111" s="2789" t="s">
        <v>2731</v>
      </c>
      <c r="D111" s="52" t="e">
        <f>I125</f>
        <v>#DIV/0!</v>
      </c>
      <c r="E111" s="1431"/>
      <c r="F111" s="3434"/>
      <c r="G111" s="3435"/>
      <c r="H111" s="3496"/>
      <c r="I111" s="3497"/>
      <c r="J111" s="2834"/>
    </row>
    <row r="112" spans="1:36" ht="28.5" customHeight="1">
      <c r="A112" s="3441" t="s">
        <v>2725</v>
      </c>
      <c r="B112" s="3442"/>
      <c r="C112" s="2791" t="str">
        <f>IF(H19="元","总额（元）","总额（万元）")</f>
        <v>总额（万元）</v>
      </c>
      <c r="D112" s="2790">
        <f>IF(D38="正常操作",I108+I109+I110,I109+I110)</f>
        <v>0</v>
      </c>
      <c r="E112" s="1431"/>
      <c r="F112" s="3426" t="str">
        <f>IF(项目基本情况!F5="已注销","——","3.房地产抵押价值")</f>
        <v>3.房地产抵押价值</v>
      </c>
      <c r="G112" s="3427"/>
      <c r="H112" s="1451" t="str">
        <f>C116</f>
        <v>总价（万元）</v>
      </c>
      <c r="I112" s="2790">
        <f>IF(F112="——","——",I104-I107)</f>
        <v>0</v>
      </c>
      <c r="J112" s="2832"/>
    </row>
    <row r="113" spans="1:27" ht="12.75">
      <c r="A113" s="3436" t="s">
        <v>2732</v>
      </c>
      <c r="B113" s="3437"/>
      <c r="C113" s="2791" t="str">
        <f>C112</f>
        <v>总额（万元）</v>
      </c>
      <c r="D113" s="52">
        <f>IF(D38="同一抵押权人同一抵押物续贷",C38&amp;"（未扣减，详见特别提示）",C38)</f>
        <v>0</v>
      </c>
      <c r="E113" s="1431"/>
      <c r="F113" s="3525"/>
      <c r="G113" s="3526"/>
      <c r="H113" s="2789" t="s">
        <v>2724</v>
      </c>
      <c r="I113" s="2793" t="e">
        <f>D117</f>
        <v>#DIV/0!</v>
      </c>
      <c r="J113" s="2835"/>
    </row>
    <row r="114" spans="1:27" ht="12.75">
      <c r="A114" s="3436" t="s">
        <v>2733</v>
      </c>
      <c r="B114" s="3437"/>
      <c r="C114" s="2791" t="str">
        <f>C112</f>
        <v>总额（万元）</v>
      </c>
      <c r="D114" s="52">
        <f>C39</f>
        <v>0</v>
      </c>
      <c r="E114" s="1431"/>
      <c r="F114" s="3426" t="str">
        <f>IF(项目基本情况!F5="已注销及未注销","4.抵押担保权已注销时的房地产抵押价值",IF(项目基本情况!F5="已注销","3.抵押担保权已注销时的房地产抵押价值","——"))</f>
        <v>——</v>
      </c>
      <c r="G114" s="3427"/>
      <c r="H114" s="1451" t="str">
        <f>C118</f>
        <v>总价（万元）</v>
      </c>
      <c r="I114" s="2790" t="str">
        <f>IF(F114="——","——",I104-I109-I110)</f>
        <v>——</v>
      </c>
      <c r="J114" s="2832"/>
    </row>
    <row r="115" spans="1:27" ht="12.75">
      <c r="A115" s="3436" t="s">
        <v>2734</v>
      </c>
      <c r="B115" s="3437"/>
      <c r="C115" s="2791" t="str">
        <f>C112</f>
        <v>总额（万元）</v>
      </c>
      <c r="D115" s="52">
        <f>C40</f>
        <v>0</v>
      </c>
      <c r="E115" s="1431"/>
      <c r="F115" s="3525"/>
      <c r="G115" s="3526"/>
      <c r="H115" s="2789" t="s">
        <v>2724</v>
      </c>
      <c r="I115" s="52" t="str">
        <f>D119</f>
        <v>——</v>
      </c>
      <c r="J115" s="2816"/>
    </row>
    <row r="116" spans="1:27" ht="12.75">
      <c r="A116" s="3434" t="str">
        <f>IF(项目基本情况!F5="已注销","——","3.房地产抵押价值")</f>
        <v>3.房地产抵押价值</v>
      </c>
      <c r="B116" s="3435"/>
      <c r="C116" s="2789" t="str">
        <f>B103</f>
        <v>总价（万元）</v>
      </c>
      <c r="D116" s="2790">
        <f>IF(A116="——","——",D110-D112)</f>
        <v>0</v>
      </c>
      <c r="E116" s="1431"/>
      <c r="F116" s="3426" t="str">
        <f>IF(项目基本情况!G5="抵押净值",IF(OR(项目基本情况!F5="已注销",项目基本情况!F5="房地产抵押价值"),"4.抵押净值","5.抵押净值"),"——")</f>
        <v>——</v>
      </c>
      <c r="G116" s="3427"/>
      <c r="H116" s="2789" t="str">
        <f>C120</f>
        <v>总价（万元）</v>
      </c>
      <c r="I116" s="2790" t="str">
        <f>IF(F116="——","——",O61)</f>
        <v>——</v>
      </c>
      <c r="J116" s="2832"/>
    </row>
    <row r="117" spans="1:27" ht="13.5" thickBot="1">
      <c r="A117" s="3434"/>
      <c r="B117" s="3435"/>
      <c r="C117" s="2789" t="s">
        <v>2731</v>
      </c>
      <c r="D117" s="52" t="e">
        <f>ROUND(IF(D116=D110,D111,IF(H19="元",D116/B125,D116*10000/B125)),0)</f>
        <v>#DIV/0!</v>
      </c>
      <c r="E117" s="1431"/>
      <c r="F117" s="3428"/>
      <c r="G117" s="3429"/>
      <c r="H117" s="2794" t="s">
        <v>2724</v>
      </c>
      <c r="I117" s="2778" t="str">
        <f>D121</f>
        <v>——</v>
      </c>
      <c r="J117" s="2816"/>
    </row>
    <row r="118" spans="1:27" ht="15.75">
      <c r="A118" s="3434" t="str">
        <f>IF(项目基本情况!F5="已注销及未注销","4.抵押担保权已注销时的房地产抵押价值",IF(项目基本情况!F5="已注销","3.抵押担保权已注销时的房地产抵押价值","——"))</f>
        <v>——</v>
      </c>
      <c r="B118" s="3435"/>
      <c r="C118" s="2789" t="str">
        <f>B103</f>
        <v>总价（万元）</v>
      </c>
      <c r="D118" s="2790" t="str">
        <f>IF(A118="——","——",D110-D114-D115)</f>
        <v>——</v>
      </c>
      <c r="E118" s="1431"/>
      <c r="F118" s="3520"/>
      <c r="G118" s="3520"/>
      <c r="H118" s="3484"/>
      <c r="I118" s="3484"/>
      <c r="J118" s="2836"/>
      <c r="O118" s="32"/>
      <c r="P118" s="32"/>
    </row>
    <row r="119" spans="1:27" s="1278" customFormat="1" ht="12.75">
      <c r="A119" s="3434"/>
      <c r="B119" s="3435"/>
      <c r="C119" s="2789" t="s">
        <v>2731</v>
      </c>
      <c r="D119" s="52" t="str">
        <f>IF(A118="——","——",IF(H19="元",ROUND(D118/B125,0),ROUND(D118*10000/B125,0)))</f>
        <v>——</v>
      </c>
      <c r="E119" s="1431"/>
      <c r="F119" s="3576" t="str">
        <f>IF(B33="总价","（以上估价结果中楼面单价为总价除以建筑面积得出）","（以上估价结果中总价为楼面单价乘以建筑面积得出）")</f>
        <v>（以上估价结果中总价为楼面单价乘以建筑面积得出）</v>
      </c>
      <c r="G119" s="3576"/>
      <c r="H119" s="3576"/>
      <c r="I119" s="3576"/>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4" t="str">
        <f>IF(项目基本情况!G5="抵押净值",IF(OR(项目基本情况!F5="已注销",项目基本情况!F5="房地产抵押价值"),"4.抵押净值","5.抵押净值"),"——")</f>
        <v>——</v>
      </c>
      <c r="B120" s="343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9"/>
      <c r="B121" s="344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5" t="s">
        <v>1854</v>
      </c>
      <c r="B122" s="3486"/>
      <c r="C122" s="3486"/>
      <c r="D122" s="3486"/>
      <c r="E122" s="3486"/>
      <c r="F122" s="3486"/>
      <c r="G122" s="3486"/>
      <c r="H122" s="3486"/>
      <c r="I122" s="348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9" t="s">
        <v>2735</v>
      </c>
      <c r="B123" s="3445" t="s">
        <v>2736</v>
      </c>
      <c r="C123" s="3445" t="s">
        <v>2742</v>
      </c>
      <c r="D123" s="3507" t="s">
        <v>2737</v>
      </c>
      <c r="E123" s="3508"/>
      <c r="F123" s="3420" t="s">
        <v>2743</v>
      </c>
      <c r="G123" s="3420"/>
      <c r="H123" s="3420" t="s">
        <v>2738</v>
      </c>
      <c r="I123" s="350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9"/>
      <c r="B124" s="3446"/>
      <c r="C124" s="3446"/>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9" t="s">
        <v>2741</v>
      </c>
      <c r="B126" s="3420"/>
      <c r="C126" s="3420"/>
      <c r="D126" s="3447" t="str">
        <f>IF(H19="元",NUMBERSTRING(INT(D125),2)&amp;"元整",NUMBERSTRING(INT(D125*10000),2)&amp;"元整")</f>
        <v>零元整</v>
      </c>
      <c r="E126" s="3490"/>
      <c r="F126" s="3447" t="str">
        <f>IF(H19="元",NUMBERSTRING(INT(F125),2)&amp;"元整",NUMBERSTRING(INT(F125*10000),2)&amp;"元整")</f>
        <v>零元整</v>
      </c>
      <c r="G126" s="3490"/>
      <c r="H126" s="3447" t="str">
        <f>IF(H19="元",NUMBERSTRING(INT(H125),2)&amp;"元整",NUMBERSTRING(INT(H125*10000),2)&amp;"元整")</f>
        <v>零元整</v>
      </c>
      <c r="I126" s="344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4" t="str">
        <f>IF(项目基本情况!D5="房地产市场价值","——",MID(A112,3,LEN(A112)-2))</f>
        <v>估价师所知悉的法定优先受偿款</v>
      </c>
      <c r="B127" s="3430"/>
      <c r="C127" s="3425"/>
      <c r="D127" s="3422">
        <f>I107</f>
        <v>0</v>
      </c>
      <c r="E127" s="3430"/>
      <c r="F127" s="3430"/>
      <c r="G127" s="3430"/>
      <c r="H127" s="3430"/>
      <c r="I127" s="342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1" t="s">
        <v>2741</v>
      </c>
      <c r="B128" s="3459"/>
      <c r="C128" s="3460"/>
      <c r="D128" s="3431">
        <f>H111</f>
        <v>0</v>
      </c>
      <c r="E128" s="3432"/>
      <c r="F128" s="3432"/>
      <c r="G128" s="3432"/>
      <c r="H128" s="3432"/>
      <c r="I128" s="343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4" t="str">
        <f>IF(项目基本情况!D5="房地产市场价值","——",MID(A116,3,LEN(A116)-2))</f>
        <v>房地产抵押价值</v>
      </c>
      <c r="B129" s="3435"/>
      <c r="C129" s="3435"/>
      <c r="D129" s="3422">
        <f>I112</f>
        <v>0</v>
      </c>
      <c r="E129" s="3430"/>
      <c r="F129" s="3430"/>
      <c r="G129" s="3430"/>
      <c r="H129" s="3430"/>
      <c r="I129" s="342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9" t="s">
        <v>2741</v>
      </c>
      <c r="B130" s="3420"/>
      <c r="C130" s="3420"/>
      <c r="D130" s="3431" t="e">
        <f>I113</f>
        <v>#DIV/0!</v>
      </c>
      <c r="E130" s="3432"/>
      <c r="F130" s="3432"/>
      <c r="G130" s="3432"/>
      <c r="H130" s="3432"/>
      <c r="I130" s="343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4" t="str">
        <f>IF(项目基本情况!D5="房地产市场价值","——",MID(A118,3,LEN(A118)-2))</f>
        <v/>
      </c>
      <c r="B131" s="3435"/>
      <c r="C131" s="3435"/>
      <c r="D131" s="3467" t="str">
        <f>I114</f>
        <v>——</v>
      </c>
      <c r="E131" s="3468"/>
      <c r="F131" s="3468"/>
      <c r="G131" s="3468"/>
      <c r="H131" s="3468"/>
      <c r="I131" s="35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9" t="s">
        <v>2741</v>
      </c>
      <c r="B132" s="3420"/>
      <c r="C132" s="3421"/>
      <c r="D132" s="3483" t="str">
        <f>I115</f>
        <v>——</v>
      </c>
      <c r="E132" s="3483"/>
      <c r="F132" s="3483"/>
      <c r="G132" s="3483"/>
      <c r="H132" s="3483"/>
      <c r="I132" s="348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4" t="str">
        <f>IF(项目基本情况!D5="房地产市场价值","——",MID(F116,3,LEN(F116)-2))</f>
        <v/>
      </c>
      <c r="B133" s="3435"/>
      <c r="C133" s="3422"/>
      <c r="D133" s="3438" t="str">
        <f>I116</f>
        <v>——</v>
      </c>
      <c r="E133" s="3438"/>
      <c r="F133" s="3438"/>
      <c r="G133" s="3438"/>
      <c r="H133" s="3438"/>
      <c r="I133" s="343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43" t="s">
        <v>2741</v>
      </c>
      <c r="B134" s="3444"/>
      <c r="C134" s="3444"/>
      <c r="D134" s="3449">
        <f>H118</f>
        <v>0</v>
      </c>
      <c r="E134" s="3450"/>
      <c r="F134" s="3450"/>
      <c r="G134" s="3450"/>
      <c r="H134" s="3450"/>
      <c r="I134" s="345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7" t="str">
        <f>IF(B33="总价","（以上估价结果中楼面单价为总价除以建筑面积得出）","（以上估价结果中总价为楼面单价乘以建筑面积得出）")</f>
        <v>（以上估价结果中总价为楼面单价乘以建筑面积得出）</v>
      </c>
      <c r="B136" s="3417"/>
      <c r="C136" s="3417"/>
      <c r="D136" s="3417"/>
      <c r="E136" s="3417"/>
      <c r="F136" s="3417"/>
      <c r="G136" s="3417"/>
      <c r="H136" s="3417"/>
      <c r="I136" s="341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xr:uid="{00000000-0002-0000-1100-000000000000}">
      <formula1>"企业提供（在右侧录入）,——"</formula1>
    </dataValidation>
    <dataValidation type="list" allowBlank="1" showInputMessage="1" showErrorMessage="1" sqref="C137" xr:uid="{00000000-0002-0000-1100-000001000000}">
      <formula1>"无,有"</formula1>
    </dataValidation>
    <dataValidation type="list" allowBlank="1" showInputMessage="1" showErrorMessage="1" sqref="D123:E123" xr:uid="{00000000-0002-0000-1100-000002000000}">
      <formula1>"出让国有建设用地使用权价值,划拨国有建设用地使用权价值"</formula1>
    </dataValidation>
    <dataValidation type="list" allowBlank="1" showInputMessage="1" showErrorMessage="1" sqref="D38" xr:uid="{00000000-0002-0000-1100-000003000000}">
      <formula1>"同一抵押权人同一抵押物续贷,注销后放款,正常操作"</formula1>
    </dataValidation>
    <dataValidation type="list" allowBlank="1" showInputMessage="1" showErrorMessage="1" sqref="F77" xr:uid="{00000000-0002-0000-1100-000004000000}">
      <formula1>"买卖合同,购房发票"</formula1>
    </dataValidation>
    <dataValidation type="list" allowBlank="1" showInputMessage="1" showErrorMessage="1" sqref="H90" xr:uid="{00000000-0002-0000-1100-000005000000}">
      <formula1>"仅含出让金,出让金+开发费"</formula1>
    </dataValidation>
    <dataValidation type="list" allowBlank="1" showInputMessage="1" showErrorMessage="1" sqref="F47" xr:uid="{00000000-0002-0000-1100-000006000000}">
      <formula1>"100%,80%,60%,64%"</formula1>
    </dataValidation>
    <dataValidation type="list" allowBlank="1" showInputMessage="1" showErrorMessage="1" sqref="H60" xr:uid="{00000000-0002-0000-1100-000007000000}">
      <formula1>"转让取得,自行开发建设"</formula1>
    </dataValidation>
    <dataValidation type="list" allowBlank="1" showInputMessage="1" showErrorMessage="1" sqref="H50" xr:uid="{00000000-0002-0000-1100-000008000000}">
      <formula1>"情况1,情况2,情况3,情况4"</formula1>
    </dataValidation>
    <dataValidation type="list" allowBlank="1" showInputMessage="1" showErrorMessage="1" sqref="H57:H58" xr:uid="{00000000-0002-0000-1100-000009000000}">
      <formula1>"个人住宅,正常"</formula1>
    </dataValidation>
    <dataValidation type="list" allowBlank="1" showInputMessage="1" showErrorMessage="1" sqref="C4:D4" xr:uid="{00000000-0002-0000-1100-00000A000000}">
      <formula1>估价方法</formula1>
    </dataValidation>
    <dataValidation type="list" allowBlank="1" showInputMessage="1" showErrorMessage="1" sqref="G79" xr:uid="{00000000-0002-0000-1100-00000B000000}">
      <formula1>"个人住宅,2016年5月1日前购买,2016年5月1日后购买"</formula1>
    </dataValidation>
    <dataValidation type="list" allowBlank="1" showInputMessage="1" showErrorMessage="1" sqref="H61" xr:uid="{00000000-0002-0000-11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3" zoomScale="70" zoomScaleNormal="60" zoomScaleSheetLayoutView="7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1432</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32741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863253</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862175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437.43</v>
      </c>
      <c r="G7" s="951"/>
      <c r="H7" s="237"/>
      <c r="I7" s="238"/>
      <c r="J7" s="239"/>
      <c r="K7" s="240"/>
      <c r="L7" s="235" t="s">
        <v>1959</v>
      </c>
      <c r="M7" s="236">
        <f>IF('数据-取费表'!B42="",IF(D1="仅计算典型户型",'数据-取费表'!E5,'数据-取费表'!B5),'数据-取费表'!B42)</f>
        <v>437.43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1078</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2502414</v>
      </c>
      <c r="D13" s="1065" t="s">
        <v>1973</v>
      </c>
      <c r="E13" s="1065" t="s">
        <v>1974</v>
      </c>
      <c r="F13" s="1066">
        <f>'数据-取费表'!E20</f>
        <v>0.85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1968435</v>
      </c>
      <c r="D14" s="1298" t="s">
        <v>1977</v>
      </c>
      <c r="E14" s="1299"/>
      <c r="F14" s="799"/>
      <c r="G14" s="952"/>
      <c r="H14" s="253" t="s">
        <v>1956</v>
      </c>
      <c r="I14" s="235" t="s">
        <v>1978</v>
      </c>
      <c r="J14" s="13">
        <f ca="1">C29</f>
        <v>2944017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59053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44160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87486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29527</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2144501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42890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44160</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91870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-44160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437478</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2944017</v>
      </c>
      <c r="D29" s="1076"/>
      <c r="E29" s="1074"/>
      <c r="F29" s="1077"/>
      <c r="G29" s="652"/>
      <c r="H29" s="271" t="s">
        <v>24</v>
      </c>
      <c r="I29" s="272" t="s">
        <v>2051</v>
      </c>
      <c r="J29" s="273">
        <f ca="1">ROUND(J26/(1+F40)^F41,0)</f>
        <v>0</v>
      </c>
      <c r="K29" s="274" t="s">
        <v>2052</v>
      </c>
      <c r="L29" s="275"/>
      <c r="M29" s="276">
        <f>IF(D1="仅计算典型户型",'数据-取费表'!E5,'数据-取费表'!B5)</f>
        <v>437.43</v>
      </c>
    </row>
    <row r="30" spans="1:37" ht="18" customHeight="1" thickTop="1">
      <c r="A30" s="1063" t="s">
        <v>14</v>
      </c>
      <c r="B30" s="1064" t="s">
        <v>2053</v>
      </c>
      <c r="C30" s="243">
        <f ca="1">ROUND(C31+C36+C37+C38,0)</f>
        <v>121405</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57478</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187681</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44160</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2502</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17265</v>
      </c>
      <c r="D38" s="1076" t="s">
        <v>2028</v>
      </c>
      <c r="E38" s="1074" t="s">
        <v>2024</v>
      </c>
      <c r="F38" s="1069">
        <f>'数据-取费表'!B47</f>
        <v>0.02</v>
      </c>
      <c r="G38" s="652"/>
      <c r="H38" s="943"/>
      <c r="I38" s="280" t="s">
        <v>2066</v>
      </c>
      <c r="J38" s="136">
        <f ca="1">ROUND(J34/C39,3)</f>
        <v>0.253</v>
      </c>
      <c r="K38" s="948"/>
      <c r="L38" s="943"/>
      <c r="M38" s="943"/>
    </row>
    <row r="39" spans="1:18" ht="18" customHeight="1" thickTop="1">
      <c r="A39" s="1063" t="s">
        <v>22</v>
      </c>
      <c r="B39" s="1078" t="s">
        <v>2067</v>
      </c>
      <c r="C39" s="243">
        <f ca="1">C5-C30</f>
        <v>741848</v>
      </c>
      <c r="D39" s="1079" t="s">
        <v>2068</v>
      </c>
      <c r="E39" s="1080"/>
      <c r="F39" s="1081"/>
      <c r="G39" s="652"/>
      <c r="H39" s="943"/>
      <c r="I39" s="280" t="s">
        <v>2069</v>
      </c>
      <c r="J39" s="136">
        <f ca="1">1-J38</f>
        <v>0.747</v>
      </c>
      <c r="K39" s="948"/>
      <c r="L39" s="943"/>
      <c r="M39" s="943"/>
    </row>
    <row r="40" spans="1:18" s="652" customFormat="1" ht="18" customHeight="1">
      <c r="A40" s="232" t="s">
        <v>23</v>
      </c>
      <c r="B40" s="233" t="s">
        <v>2070</v>
      </c>
      <c r="C40" s="234">
        <f ca="1">ROUND(C39*(1-((1+F42)/(1+F40))^F41)/(F40-F42),0)</f>
        <v>14184404</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29.69</v>
      </c>
      <c r="H41" s="950"/>
      <c r="I41" s="135" t="s">
        <v>1944</v>
      </c>
      <c r="J41" s="136">
        <f ca="1">ROUND(C13/C40,3)</f>
        <v>0.17599999999999999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0.82400000000000007</v>
      </c>
      <c r="K42" s="947"/>
      <c r="L42" s="950"/>
      <c r="M42" s="950"/>
      <c r="Q42" s="656"/>
    </row>
    <row r="43" spans="1:18" s="652" customFormat="1" ht="18" customHeight="1" thickBot="1">
      <c r="A43" s="271" t="s">
        <v>24</v>
      </c>
      <c r="B43" s="272" t="s">
        <v>2073</v>
      </c>
      <c r="C43" s="273">
        <f ca="1">ROUND(C40/F43,0)</f>
        <v>32427</v>
      </c>
      <c r="D43" s="274" t="s">
        <v>2074</v>
      </c>
      <c r="E43" s="275" t="s">
        <v>2075</v>
      </c>
      <c r="F43" s="276">
        <f>IF(D1="仅计算典型户型",'数据-取费表'!E5,'数据-取费表'!B5)</f>
        <v>437.43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14184404</v>
      </c>
      <c r="R45" s="1050" t="s">
        <v>2082</v>
      </c>
    </row>
    <row r="46" spans="1:18" s="652" customFormat="1" ht="18" customHeight="1" thickBot="1">
      <c r="A46" s="649"/>
      <c r="D46" s="649"/>
      <c r="E46" s="649"/>
      <c r="F46" s="649"/>
      <c r="K46" s="653"/>
      <c r="O46" s="1047" t="s">
        <v>950</v>
      </c>
      <c r="P46" s="1048" t="s">
        <v>2083</v>
      </c>
      <c r="Q46" s="1049">
        <f ca="1">J61</f>
        <v>137557</v>
      </c>
      <c r="R46" s="1050" t="s">
        <v>2084</v>
      </c>
    </row>
    <row r="47" spans="1:18" s="652" customFormat="1" ht="21.75" thickBot="1">
      <c r="A47" s="1497" t="s">
        <v>2085</v>
      </c>
      <c r="C47" s="992">
        <f ca="1">IF(C2="元",C69-C40,ROUND((C69-C40)/10000,0))</f>
        <v>-1482</v>
      </c>
      <c r="D47" s="1498" t="str">
        <f>C2</f>
        <v>万元</v>
      </c>
      <c r="E47" s="649"/>
      <c r="F47" s="649"/>
      <c r="I47" s="1499" t="s">
        <v>2086</v>
      </c>
      <c r="J47" s="1023"/>
      <c r="K47" s="1024"/>
      <c r="L47" s="1037">
        <f ca="1">IF(M48="住宅",0,IF(L49&gt;J52,L61,J61))</f>
        <v>137557</v>
      </c>
      <c r="O47" s="1051" t="s">
        <v>951</v>
      </c>
      <c r="P47" s="1048" t="s">
        <v>2087</v>
      </c>
      <c r="Q47" s="1049">
        <f ca="1">C29</f>
        <v>2944017</v>
      </c>
      <c r="R47" s="1050" t="s">
        <v>2082</v>
      </c>
    </row>
    <row r="48" spans="1:18" s="652" customFormat="1" ht="15.75" thickBot="1">
      <c r="A48" s="228" t="s">
        <v>2088</v>
      </c>
      <c r="B48" s="229" t="s">
        <v>2089</v>
      </c>
      <c r="C48" s="229" t="s">
        <v>2090</v>
      </c>
      <c r="D48" s="229" t="s">
        <v>2091</v>
      </c>
      <c r="E48" s="986" t="s">
        <v>2092</v>
      </c>
      <c r="F48" s="987"/>
      <c r="I48" s="1500" t="s">
        <v>2093</v>
      </c>
      <c r="J48" s="1501" t="s">
        <v>2986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2987</v>
      </c>
      <c r="K49" s="1505" t="s">
        <v>2098</v>
      </c>
      <c r="L49" s="863">
        <f>'数据-取费表'!B13</f>
        <v>29.69</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2013</v>
      </c>
      <c r="K50" s="1507" t="s">
        <v>2103</v>
      </c>
      <c r="L50" s="1026"/>
      <c r="O50" s="1051" t="s">
        <v>954</v>
      </c>
      <c r="P50" s="1048" t="s">
        <v>2104</v>
      </c>
      <c r="Q50" s="1049">
        <f>J54</f>
        <v>29.69</v>
      </c>
      <c r="R50" s="1050" t="s">
        <v>2105</v>
      </c>
    </row>
    <row r="51" spans="1:18" s="652" customFormat="1" ht="15.75" thickBot="1">
      <c r="A51" s="237"/>
      <c r="B51" s="238"/>
      <c r="C51" s="239"/>
      <c r="D51" s="240"/>
      <c r="E51" s="255" t="s">
        <v>1959</v>
      </c>
      <c r="F51" s="985">
        <f>F7</f>
        <v>437.43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1432</v>
      </c>
      <c r="R51" s="1050" t="s">
        <v>956</v>
      </c>
    </row>
    <row r="52" spans="1:18" s="652" customFormat="1" ht="16.5" thickBot="1">
      <c r="A52" s="237"/>
      <c r="B52" s="238"/>
      <c r="C52" s="239"/>
      <c r="D52" s="240"/>
      <c r="E52" s="235" t="s">
        <v>1961</v>
      </c>
      <c r="F52" s="236">
        <f>F8</f>
        <v>365</v>
      </c>
      <c r="I52" s="1508" t="s">
        <v>2108</v>
      </c>
      <c r="J52" s="1028">
        <f>IF(J50="",J51,J50+J51-YEAR('数据-取费表'!B2))</f>
        <v>51</v>
      </c>
      <c r="K52" s="1509" t="s">
        <v>2109</v>
      </c>
      <c r="L52" s="1029">
        <f ca="1">ROUND(-PV('数据-取费表'!B15,J52,(C40-C13*J35)),0)</f>
        <v>256685575</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29.69</v>
      </c>
      <c r="K54" s="3603" t="s">
        <v>2643</v>
      </c>
      <c r="L54" s="3604"/>
      <c r="O54" s="1047" t="s">
        <v>949</v>
      </c>
      <c r="P54" s="1048" t="s">
        <v>2081</v>
      </c>
      <c r="Q54" s="1049">
        <f ca="1">C40+J29</f>
        <v>14184404</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0.35499999999999998</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2502414</v>
      </c>
      <c r="D57" s="983"/>
      <c r="E57" s="984"/>
      <c r="F57" s="991"/>
      <c r="I57" s="1517" t="s">
        <v>2118</v>
      </c>
      <c r="J57" s="1035" t="s">
        <v>2982</v>
      </c>
      <c r="K57" s="1503" t="s">
        <v>2119</v>
      </c>
      <c r="L57" s="863" t="str">
        <f>IF(L49&lt;J52,"——",L49-J52)</f>
        <v>——</v>
      </c>
      <c r="O57" s="1051" t="s">
        <v>952</v>
      </c>
      <c r="P57" s="1048" t="s">
        <v>2120</v>
      </c>
      <c r="Q57" s="1052">
        <f>L53</f>
        <v>0</v>
      </c>
      <c r="R57" s="1050"/>
    </row>
    <row r="58" spans="1:18" s="652" customFormat="1" ht="29.25" thickBot="1">
      <c r="A58" s="990"/>
      <c r="B58" s="235" t="s">
        <v>2050</v>
      </c>
      <c r="C58" s="104">
        <f ca="1">C29</f>
        <v>2944017</v>
      </c>
      <c r="D58" s="983"/>
      <c r="E58" s="984"/>
      <c r="F58" s="991"/>
      <c r="I58" s="1518" t="s">
        <v>2121</v>
      </c>
      <c r="J58" s="1034">
        <f>IF(OR(M48="住宅",J52&lt;L49,J57="是"),"——",J52-L49)</f>
        <v>21.31</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46662</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1177607</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1418</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137557</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14184404</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44160</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256685575</v>
      </c>
      <c r="R65" s="1054" t="s">
        <v>2144</v>
      </c>
    </row>
    <row r="66" spans="1:18" s="652" customFormat="1" ht="20.25" thickBot="1">
      <c r="A66" s="253" t="s">
        <v>20</v>
      </c>
      <c r="B66" s="235" t="s">
        <v>2022</v>
      </c>
      <c r="C66" s="13">
        <f ca="1">ROUND(C57*F66,0)</f>
        <v>2502</v>
      </c>
      <c r="D66" s="1301" t="s">
        <v>2023</v>
      </c>
      <c r="E66" s="235" t="s">
        <v>2024</v>
      </c>
      <c r="F66" s="266">
        <f t="shared" si="0"/>
        <v>1E-3</v>
      </c>
      <c r="I66" s="1521" t="s">
        <v>2145</v>
      </c>
      <c r="J66" s="1293">
        <v>40</v>
      </c>
      <c r="K66" s="1293">
        <v>30</v>
      </c>
      <c r="L66" s="1293">
        <v>50</v>
      </c>
      <c r="M66" s="1291">
        <v>0.02</v>
      </c>
      <c r="O66" s="1051" t="s">
        <v>952</v>
      </c>
      <c r="P66" s="1055" t="s">
        <v>2146</v>
      </c>
      <c r="Q66" s="1049">
        <f ca="1">ROUND(Q67-Q68*Q69,0)</f>
        <v>554167</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741848</v>
      </c>
      <c r="R67" s="1050" t="s">
        <v>2082</v>
      </c>
    </row>
    <row r="68" spans="1:18" ht="15.75" thickBot="1">
      <c r="A68" s="248" t="s">
        <v>22</v>
      </c>
      <c r="B68" s="41" t="s">
        <v>2032</v>
      </c>
      <c r="C68" s="250">
        <f ca="1">C49-C59</f>
        <v>-46662</v>
      </c>
      <c r="D68" s="1298" t="s">
        <v>2033</v>
      </c>
      <c r="E68" s="1300"/>
      <c r="F68" s="268"/>
      <c r="H68" s="652"/>
      <c r="I68" s="652"/>
      <c r="J68" s="652"/>
      <c r="K68" s="652"/>
      <c r="L68" s="652"/>
      <c r="M68" s="652"/>
      <c r="O68" s="1051" t="s">
        <v>958</v>
      </c>
      <c r="P68" s="1055" t="s">
        <v>2148</v>
      </c>
      <c r="Q68" s="1049">
        <f ca="1">C13</f>
        <v>2502414</v>
      </c>
      <c r="R68" s="1050" t="s">
        <v>2082</v>
      </c>
    </row>
    <row r="69" spans="1:18" ht="15.75" thickBot="1">
      <c r="A69" s="232" t="s">
        <v>23</v>
      </c>
      <c r="B69" s="233" t="s">
        <v>2070</v>
      </c>
      <c r="C69" s="234">
        <f ca="1">ROUND(C68*(1-((1+F71)/(1+F69))^F70)/(F69-F71),0)</f>
        <v>-639826</v>
      </c>
      <c r="D69" s="261" t="s">
        <v>2038</v>
      </c>
      <c r="E69" s="235" t="s">
        <v>2039</v>
      </c>
      <c r="F69" s="245">
        <f>F40</f>
        <v>0.06</v>
      </c>
      <c r="H69" s="652"/>
      <c r="I69" s="652"/>
      <c r="J69" s="652"/>
      <c r="K69" s="652"/>
      <c r="L69" s="652"/>
      <c r="M69" s="652"/>
      <c r="O69" s="1051" t="s">
        <v>959</v>
      </c>
      <c r="P69" s="1055" t="s">
        <v>2149</v>
      </c>
      <c r="Q69" s="1052">
        <f>J35</f>
        <v>7.4999999999999997E-2</v>
      </c>
      <c r="R69" s="1050"/>
    </row>
    <row r="70" spans="1:18" ht="15.75" thickBot="1">
      <c r="A70" s="237"/>
      <c r="B70" s="238"/>
      <c r="C70" s="239"/>
      <c r="D70" s="269" t="s">
        <v>2072</v>
      </c>
      <c r="E70" s="235" t="s">
        <v>2044</v>
      </c>
      <c r="F70" s="270">
        <f>F41</f>
        <v>29.69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-1463</v>
      </c>
      <c r="D72" s="274" t="s">
        <v>2074</v>
      </c>
      <c r="E72" s="275" t="s">
        <v>2075</v>
      </c>
      <c r="F72" s="276">
        <f>F43</f>
        <v>437.43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1418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80" zoomScaleNormal="80" zoomScaleSheetLayoutView="80" workbookViewId="0">
      <selection activeCell="G51" sqref="G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1252</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28611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7050068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f>
        <v>6841405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208663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437.43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437.43</v>
      </c>
      <c r="E19" s="111">
        <f>'数据-取费表'!E15</f>
        <v>200</v>
      </c>
      <c r="F19" s="112"/>
      <c r="G19" s="1488" t="s">
        <v>2988</v>
      </c>
    </row>
    <row r="20" spans="1:123" s="91" customFormat="1" ht="13.5" customHeight="1">
      <c r="A20" s="120" t="s">
        <v>1884</v>
      </c>
      <c r="B20" s="89" t="s">
        <v>1885</v>
      </c>
      <c r="C20" s="99">
        <f>ROUND((C5+C19)*F20,0)</f>
        <v>141001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610564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604642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5922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1438214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1438214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10012838</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2144501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1968435</v>
      </c>
      <c r="D34" s="1138"/>
      <c r="E34" s="115"/>
      <c r="F34" s="1149" t="str">
        <f>IF('数据-取费表'!B26=0,"",'数据-取费表'!E20)</f>
        <v/>
      </c>
      <c r="G34" s="95"/>
    </row>
    <row r="35" spans="1:123" ht="13.5" customHeight="1">
      <c r="A35" s="92" t="s">
        <v>1867</v>
      </c>
      <c r="B35" s="93" t="s">
        <v>1916</v>
      </c>
      <c r="C35" s="115">
        <f>ROUND(C34*F35,0)</f>
        <v>59053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87486</v>
      </c>
      <c r="D37" s="1138">
        <f>IF(B1="仅计算典型户型",'数据-取费表'!E5,'数据-取费表'!B5)</f>
        <v>437.43</v>
      </c>
      <c r="E37" s="115">
        <f>'数据-取费表'!E23</f>
        <v>200</v>
      </c>
      <c r="F37" s="1150"/>
      <c r="G37" s="124" t="s">
        <v>1921</v>
      </c>
    </row>
    <row r="38" spans="1:123" ht="13.5" customHeight="1">
      <c r="A38" s="92" t="s">
        <v>1922</v>
      </c>
      <c r="B38" s="93" t="s">
        <v>1923</v>
      </c>
      <c r="C38" s="115">
        <f>ROUND(C34*F38,0)</f>
        <v>29527</v>
      </c>
      <c r="D38" s="115"/>
      <c r="E38" s="115"/>
      <c r="F38" s="1150">
        <f>'数据-取费表'!E24</f>
        <v>1.4999999999999999E-2</v>
      </c>
      <c r="G38" s="95" t="s">
        <v>1917</v>
      </c>
    </row>
    <row r="39" spans="1:123" s="91" customFormat="1" ht="13.5" customHeight="1">
      <c r="A39" s="120" t="s">
        <v>1882</v>
      </c>
      <c r="B39" s="89" t="s">
        <v>1885</v>
      </c>
      <c r="C39" s="99">
        <f>ROUND(C33*F20,0)</f>
        <v>42890</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91870</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90069</v>
      </c>
      <c r="D42" s="104"/>
      <c r="E42" s="104"/>
      <c r="F42" s="105"/>
      <c r="G42" s="3605" t="s">
        <v>1927</v>
      </c>
    </row>
    <row r="43" spans="1:123" ht="13.5" customHeight="1">
      <c r="A43" s="92" t="s">
        <v>1867</v>
      </c>
      <c r="B43" s="93" t="s">
        <v>1896</v>
      </c>
      <c r="C43" s="104">
        <f ca="1">ROUND(IF('数据-取费表'!B24&lt;=1,C39*F22*'数据-取费表'!B23/2,C39*(POWER((1+F22),'数据-取费表'!B23/2)-1)),0)</f>
        <v>1801</v>
      </c>
      <c r="D43" s="104"/>
      <c r="E43" s="104"/>
      <c r="F43" s="105"/>
      <c r="G43" s="3606"/>
    </row>
    <row r="44" spans="1:123" ht="13.5" customHeight="1">
      <c r="A44" s="92" t="s">
        <v>1869</v>
      </c>
      <c r="B44" s="93" t="s">
        <v>1898</v>
      </c>
      <c r="C44" s="104">
        <f ca="1">ROUND(IF('数据-取费表'!B24&lt;=1,C40*F22*'数据-取费表'!B23/2,C40*(POWER((1+F22),'数据-取费表'!B23/2)-1)),4)</f>
        <v>8.0000000000000004E-4</v>
      </c>
      <c r="D44" s="104"/>
      <c r="E44" s="104"/>
      <c r="F44" s="105"/>
      <c r="G44" s="3607"/>
    </row>
    <row r="45" spans="1:123" s="91" customFormat="1" ht="13.5" customHeight="1">
      <c r="A45" s="120" t="s">
        <v>1891</v>
      </c>
      <c r="B45" s="110" t="s">
        <v>1903</v>
      </c>
      <c r="C45" s="111">
        <f>C46</f>
        <v>437478</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437478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2944017</v>
      </c>
      <c r="D49" s="99"/>
      <c r="E49" s="99"/>
      <c r="F49" s="126"/>
      <c r="G49" s="100" t="s">
        <v>1935</v>
      </c>
    </row>
    <row r="50" spans="1:123" s="122" customFormat="1" ht="24">
      <c r="A50" s="994" t="s">
        <v>1936</v>
      </c>
      <c r="B50" s="89" t="s">
        <v>1937</v>
      </c>
      <c r="C50" s="99"/>
      <c r="D50" s="99"/>
      <c r="E50" s="99"/>
      <c r="F50" s="126">
        <f>IF('数据-取费表'!B26=0,'数据-取费表'!E20,1)</f>
        <v>0.85</v>
      </c>
      <c r="G50" s="113" t="s">
        <v>1938</v>
      </c>
    </row>
    <row r="51" spans="1:123" ht="16.5" customHeight="1">
      <c r="A51" s="994" t="s">
        <v>1939</v>
      </c>
      <c r="B51" s="89" t="s">
        <v>1940</v>
      </c>
      <c r="C51" s="99">
        <f ca="1">ROUND(C49*F50,0)</f>
        <v>2502414</v>
      </c>
      <c r="D51" s="99"/>
      <c r="E51" s="99"/>
      <c r="F51" s="126"/>
      <c r="G51" s="100" t="s">
        <v>1941</v>
      </c>
    </row>
    <row r="52" spans="1:123" s="88" customFormat="1" ht="16.5" thickBot="1">
      <c r="A52" s="127" t="s">
        <v>1942</v>
      </c>
      <c r="B52" s="128"/>
      <c r="C52" s="129">
        <f ca="1">C31+C51</f>
        <v>12515252</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v>
      </c>
    </row>
    <row r="57" spans="1:123">
      <c r="B57" s="135" t="s">
        <v>1945</v>
      </c>
      <c r="C57" s="137">
        <f ca="1">1-C56</f>
        <v>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J118"/>
  <sheetViews>
    <sheetView view="pageBreakPreview" topLeftCell="L1" zoomScale="85" zoomScaleNormal="90" zoomScaleSheetLayoutView="85" workbookViewId="0">
      <selection activeCell="U4" sqref="U4"/>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437.43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2873915</v>
      </c>
      <c r="C2" s="2078" t="s">
        <v>2448</v>
      </c>
      <c r="D2" s="1572" t="s">
        <v>2449</v>
      </c>
      <c r="E2" s="2079" t="s">
        <v>2980</v>
      </c>
      <c r="F2" s="1572" t="s">
        <v>2450</v>
      </c>
      <c r="G2" s="2080" t="str">
        <f>项目基本情况!F9</f>
        <v>八级</v>
      </c>
      <c r="H2" s="1573" t="s">
        <v>2451</v>
      </c>
      <c r="I2" s="2080" t="str">
        <f>项目基本情况!F10</f>
        <v>Ⅷ-顺1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15640</v>
      </c>
      <c r="U2" s="2085">
        <f>项目基本情况!C12</f>
        <v>437.43</v>
      </c>
      <c r="V2" s="2074">
        <f t="shared" ref="V2:V8" si="0">ROUND(T2*U2,0)</f>
        <v>6841405</v>
      </c>
      <c r="W2" s="2075"/>
      <c r="X2" s="2075"/>
      <c r="Y2" s="2075"/>
      <c r="Z2" s="2075"/>
      <c r="AA2" s="2075"/>
      <c r="AB2" s="2075"/>
      <c r="AC2" s="2075"/>
      <c r="AD2" s="2076"/>
      <c r="AE2" s="2076"/>
      <c r="AF2" s="2076"/>
      <c r="AG2" s="2076"/>
      <c r="AH2" s="2076"/>
      <c r="AI2" s="2076"/>
      <c r="AJ2" s="2077"/>
    </row>
    <row r="3" spans="1:36" ht="25.5">
      <c r="A3" s="1629" t="s">
        <v>2453</v>
      </c>
      <c r="B3" s="1629">
        <f>ROUND(B2/D1,0)</f>
        <v>6570</v>
      </c>
      <c r="C3" s="2078" t="s">
        <v>2454</v>
      </c>
      <c r="D3" s="1572" t="s">
        <v>2455</v>
      </c>
      <c r="E3" s="2079" t="s">
        <v>2992</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1">ROUND($C$5*$C$18*$C$19*$C$20*S3*$C$24,0)</f>
        <v>10308</v>
      </c>
      <c r="U3" s="2085"/>
      <c r="V3" s="2074">
        <f t="shared" si="0"/>
        <v>0</v>
      </c>
      <c r="W3" s="2075"/>
      <c r="X3" s="2075"/>
      <c r="Y3" s="2075"/>
      <c r="Z3" s="2075"/>
      <c r="AA3" s="2075"/>
      <c r="AB3" s="2075"/>
      <c r="AC3" s="2075"/>
      <c r="AD3" s="2076"/>
      <c r="AE3" s="2076"/>
      <c r="AF3" s="2076"/>
      <c r="AG3" s="2076"/>
      <c r="AH3" s="2076"/>
      <c r="AI3" s="2076"/>
      <c r="AJ3" s="2077"/>
    </row>
    <row r="4" spans="1:36" ht="15.75">
      <c r="A4" s="3610"/>
      <c r="B4" s="3611"/>
      <c r="C4" s="3611"/>
      <c r="D4" s="3612"/>
      <c r="E4" s="3612"/>
      <c r="F4" s="3612"/>
      <c r="G4" s="3612"/>
      <c r="H4" s="3612"/>
      <c r="I4" s="3612"/>
      <c r="J4" s="3613"/>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1"/>
        <v>8111</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5540</v>
      </c>
      <c r="D5" s="2089">
        <f>ROUND(C6+C16,0)</f>
        <v>5540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1"/>
        <v>6060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5540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1"/>
        <v>4557</v>
      </c>
      <c r="U6" s="2085"/>
      <c r="V6" s="2074">
        <f t="shared" si="0"/>
        <v>0</v>
      </c>
      <c r="W6" s="2075"/>
      <c r="X6" s="2075"/>
      <c r="Y6" s="2075"/>
      <c r="Z6" s="2075"/>
      <c r="AA6" s="2075"/>
      <c r="AB6" s="2075"/>
      <c r="AC6" s="2092"/>
      <c r="AD6" s="2093"/>
      <c r="AE6" s="2093"/>
      <c r="AF6" s="2093"/>
      <c r="AG6" s="2093"/>
      <c r="AH6" s="2093"/>
      <c r="AI6" s="2093"/>
      <c r="AJ6" s="2094"/>
    </row>
    <row r="7" spans="1:36" ht="24">
      <c r="A7" s="3614"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1"/>
        <v>3644</v>
      </c>
      <c r="U7" s="2085"/>
      <c r="V7" s="2074">
        <f t="shared" si="0"/>
        <v>0</v>
      </c>
      <c r="W7" s="2106" t="s">
        <v>2470</v>
      </c>
      <c r="X7" s="2107" t="str">
        <f>G2</f>
        <v>八级</v>
      </c>
      <c r="Y7" s="2107" t="s">
        <v>2471</v>
      </c>
      <c r="Z7" s="2108">
        <f>G3</f>
        <v>3</v>
      </c>
      <c r="AA7" s="2075"/>
      <c r="AB7" s="2075"/>
      <c r="AC7" s="2075"/>
      <c r="AD7" s="2076"/>
      <c r="AE7" s="2076"/>
      <c r="AF7" s="2076"/>
      <c r="AG7" s="2076"/>
      <c r="AH7" s="2076"/>
      <c r="AI7" s="2076"/>
      <c r="AJ7" s="2077"/>
    </row>
    <row r="8" spans="1:36" ht="15">
      <c r="A8" s="3615"/>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5540</v>
      </c>
      <c r="N8" s="2084">
        <f>SUMPRODUCT((因素修正幅度!B206:B244=I2)*(因素修正幅度!C3:F3=E2)*(因素修正幅度!C206:F244))</f>
        <v>0.15</v>
      </c>
      <c r="O8" s="3020"/>
      <c r="P8" s="3020"/>
      <c r="Q8" s="3020"/>
      <c r="R8" s="2074">
        <v>7</v>
      </c>
      <c r="S8" s="2085"/>
      <c r="T8" s="2074">
        <f t="shared" si="1"/>
        <v>0</v>
      </c>
      <c r="U8" s="2085"/>
      <c r="V8" s="2074">
        <f t="shared" si="0"/>
        <v>0</v>
      </c>
      <c r="W8" s="3608" t="s">
        <v>2475</v>
      </c>
      <c r="X8" s="3609"/>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15"/>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09"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15"/>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0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15"/>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09"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5" thickBot="1">
      <c r="A12" s="3614"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09"/>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16"/>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09"/>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16"/>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17"/>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18">
        <f>IF(E2="办公",2,IF(E2="工业",2,IF(E2="住宅",3,IF(E2="商业",IF(C8="不临58条商业街",2,3)))))</f>
        <v>2</v>
      </c>
      <c r="B16" s="1601" t="s">
        <v>2521</v>
      </c>
      <c r="C16" s="1577">
        <f>ROUND(IF(F17="与级别开发程度一致",0,(G17-E17)/C17),0)</f>
        <v>0</v>
      </c>
      <c r="D16" s="3631" t="s">
        <v>2525</v>
      </c>
      <c r="E16" s="3632"/>
      <c r="F16" s="3631" t="s">
        <v>2522</v>
      </c>
      <c r="G16" s="3632"/>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19"/>
      <c r="B17" s="1602" t="s">
        <v>2524</v>
      </c>
      <c r="C17" s="2148">
        <f>SUMPRODUCT((修正!A2:A5=E2)*(修正!B1:M1=G2)*(修正!B2:M5))</f>
        <v>2</v>
      </c>
      <c r="D17" s="2142" t="str">
        <f>IF(OR(G2="八级",G2="九级",G2="十级",G2="十一级",G2="十二级"),"五通一平","七通一平")</f>
        <v>五通一平</v>
      </c>
      <c r="E17" s="2149">
        <f>SUMPRODUCT((修正!B1:M1=G2)*(修正!B15:M15))</f>
        <v>155</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v>
      </c>
      <c r="D20" s="2172" t="s">
        <v>2537</v>
      </c>
      <c r="E20" s="3125">
        <f>存贷款利率!E20/100</f>
        <v>4.3499999999999997E-2</v>
      </c>
      <c r="F20" s="2172" t="s">
        <v>2526</v>
      </c>
      <c r="G20" s="3126">
        <f>SUMIF(M26:P26,E2,M28:P28)</f>
        <v>5.3999999999999999E-2</v>
      </c>
      <c r="H20" s="2172" t="s">
        <v>2538</v>
      </c>
      <c r="I20" s="2173">
        <f>'数据-取费表'!B13</f>
        <v>29.69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0.81579999999999997</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0.81579999999999997</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0.81579999999999997</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0.81579999999999997</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1.0762</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2873915</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6570</v>
      </c>
      <c r="D29" s="2214">
        <f>项目基本情况!C12</f>
        <v>437.43</v>
      </c>
      <c r="E29" s="2001">
        <f>ROUND(C29*D29,0)</f>
        <v>2873915</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1643</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28" t="s">
        <v>2571</v>
      </c>
      <c r="B33" s="2227" t="s">
        <v>2572</v>
      </c>
      <c r="C33" s="54">
        <f>ROUND(D5*C19*C20*C24*F33,0)</f>
        <v>4393</v>
      </c>
      <c r="D33" s="2214"/>
      <c r="E33" s="50">
        <f t="shared" ref="E33:E39" si="7">ROUND(C33*D33,0)</f>
        <v>0</v>
      </c>
      <c r="F33" s="50">
        <f>SUMIF(修正!A45:A56,G2,修正!B45:B56)</f>
        <v>0.6</v>
      </c>
      <c r="G33" s="50">
        <f t="shared" ref="G33" si="8">ROUND(IF(E2="工业",C33*$M$39,C33*$M$38),0)</f>
        <v>1098</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29"/>
      <c r="B34" s="2132" t="s">
        <v>2573</v>
      </c>
      <c r="C34" s="54">
        <f>ROUND(D5*C19*C20*C24*F34,0)</f>
        <v>2196</v>
      </c>
      <c r="D34" s="2214"/>
      <c r="E34" s="50">
        <f t="shared" si="7"/>
        <v>0</v>
      </c>
      <c r="F34" s="50">
        <f>SUMIF(修正!A45:A56,G2,修正!C45:C56)</f>
        <v>0.3</v>
      </c>
      <c r="G34" s="50">
        <f>ROUND(IF(E2="工业",C34*$M$39,C34*$M$38),0)</f>
        <v>549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29"/>
      <c r="B35" s="2132" t="s">
        <v>2574</v>
      </c>
      <c r="C35" s="54">
        <f>ROUND(D5*C19*C20*C24*F35,0)</f>
        <v>1464</v>
      </c>
      <c r="D35" s="2214"/>
      <c r="E35" s="50">
        <f t="shared" si="7"/>
        <v>0</v>
      </c>
      <c r="F35" s="50">
        <f>SUMIF(修正!A45:A56,G2,修正!D45:D56)</f>
        <v>0.2</v>
      </c>
      <c r="G35" s="50">
        <f>ROUND(IF(E2="工业",C35*$M$39,C35*$M$38),0)</f>
        <v>366</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30"/>
      <c r="B36" s="2132" t="s">
        <v>2575</v>
      </c>
      <c r="C36" s="54">
        <f>ROUND(D5*C19*C20*C24*F36,0)</f>
        <v>1464</v>
      </c>
      <c r="D36" s="2214"/>
      <c r="E36" s="50">
        <f t="shared" si="7"/>
        <v>0</v>
      </c>
      <c r="F36" s="50">
        <f>SUMIF(修正!A45:A56,G2,修正!E45:E56)</f>
        <v>0.2</v>
      </c>
      <c r="G36" s="50">
        <f>ROUND(IF(E2="工业",C36*$M$39,C36*$M$38),0)</f>
        <v>366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1464</v>
      </c>
      <c r="D37" s="2214"/>
      <c r="E37" s="50">
        <f t="shared" si="7"/>
        <v>0</v>
      </c>
      <c r="F37" s="54">
        <f>SUMIF(修正!A45:A56,G2,修正!F45:F56)</f>
        <v>0.2</v>
      </c>
      <c r="G37" s="50">
        <f>ROUND(IF(E2="工业",C37*$M$39,C37*$M$38),0)</f>
        <v>366</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1.0762</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2597</v>
      </c>
      <c r="B48" s="2252" t="str">
        <f>估价对象房地状况!C16</f>
        <v>较好</v>
      </c>
      <c r="C48" s="2136" t="s">
        <v>30</v>
      </c>
      <c r="D48" s="2253">
        <f t="shared" ref="D48:D56" si="11">SUMIF($J$47:$N$47,C48,J48:N48)</f>
        <v>2.47E-2</v>
      </c>
      <c r="E48" s="2254">
        <f>ROUND(SUM(D48:D56),4)</f>
        <v>7.6200000000000004E-2</v>
      </c>
      <c r="F48" s="2255">
        <f>IF(E2="商业",SUMIF(L1:L12,G2,N1:N12),"——")</f>
        <v>0.15</v>
      </c>
      <c r="G48" s="2256">
        <f>H48</f>
        <v>2.47E-2</v>
      </c>
      <c r="H48" s="2257">
        <f t="shared" ref="H48:H56" si="12">IFERROR(ROUNDDOWN($F$48*I48/2,4),"——")</f>
        <v>2.47E-2</v>
      </c>
      <c r="I48" s="2258">
        <v>0.33</v>
      </c>
      <c r="J48" s="2259">
        <f t="shared" ref="J48:J56" si="13">K48+$G48</f>
        <v>4.9399999999999999E-2</v>
      </c>
      <c r="K48" s="2259">
        <f t="shared" ref="K48:K56" si="14">$L48+$G48</f>
        <v>2.47E-2</v>
      </c>
      <c r="L48" s="2259">
        <v>0</v>
      </c>
      <c r="M48" s="2259">
        <f t="shared" ref="M48:N56" si="15">L48-$G48</f>
        <v>-2.47E-2</v>
      </c>
      <c r="N48" s="2259">
        <f t="shared" si="15"/>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2598</v>
      </c>
      <c r="B49" s="2260" t="str">
        <f>估价对象房地状况!C18</f>
        <v>较好</v>
      </c>
      <c r="C49" s="2136" t="s">
        <v>30</v>
      </c>
      <c r="D49" s="2253">
        <f t="shared" si="11"/>
        <v>1.8700000000000001E-2</v>
      </c>
      <c r="E49" s="2261"/>
      <c r="F49" s="2255"/>
      <c r="G49" s="2256">
        <f t="shared" ref="G49:G56" si="16">H49</f>
        <v>1.8700000000000001E-2</v>
      </c>
      <c r="H49" s="2257">
        <f t="shared" si="12"/>
        <v>1.8700000000000001E-2</v>
      </c>
      <c r="I49" s="2258">
        <v>0.25</v>
      </c>
      <c r="J49" s="2259">
        <f t="shared" si="13"/>
        <v>3.7400000000000003E-2</v>
      </c>
      <c r="K49" s="2259">
        <f t="shared" si="14"/>
        <v>1.8700000000000001E-2</v>
      </c>
      <c r="L49" s="2259">
        <v>0</v>
      </c>
      <c r="M49" s="2259">
        <f t="shared" si="15"/>
        <v>-1.8700000000000001E-2</v>
      </c>
      <c r="N49" s="2259">
        <f t="shared" si="15"/>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3.7000000000000002E-3</v>
      </c>
      <c r="E50" s="2261"/>
      <c r="F50" s="2255"/>
      <c r="G50" s="2256">
        <f t="shared" si="16"/>
        <v>3.7000000000000002E-3</v>
      </c>
      <c r="H50" s="2257">
        <f t="shared" si="12"/>
        <v>3.7000000000000002E-3</v>
      </c>
      <c r="I50" s="2258">
        <v>0.05</v>
      </c>
      <c r="J50" s="2259">
        <f t="shared" si="13"/>
        <v>7.4000000000000003E-3</v>
      </c>
      <c r="K50" s="2259">
        <f t="shared" si="14"/>
        <v>3.7000000000000002E-3</v>
      </c>
      <c r="L50" s="2259">
        <v>0</v>
      </c>
      <c r="M50" s="2259">
        <f t="shared" si="15"/>
        <v>-3.7000000000000002E-3</v>
      </c>
      <c r="N50" s="2259">
        <f t="shared" si="15"/>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3.7000000000000002E-3</v>
      </c>
      <c r="E51" s="2261"/>
      <c r="F51" s="2255"/>
      <c r="G51" s="2256">
        <f t="shared" si="16"/>
        <v>3.7000000000000002E-3</v>
      </c>
      <c r="H51" s="2257">
        <f t="shared" si="12"/>
        <v>3.7000000000000002E-3</v>
      </c>
      <c r="I51" s="2258">
        <v>0.05</v>
      </c>
      <c r="J51" s="2259">
        <f t="shared" si="13"/>
        <v>7.4000000000000003E-3</v>
      </c>
      <c r="K51" s="2259">
        <f t="shared" si="14"/>
        <v>3.7000000000000002E-3</v>
      </c>
      <c r="L51" s="2259">
        <v>0</v>
      </c>
      <c r="M51" s="2259">
        <f t="shared" si="15"/>
        <v>-3.7000000000000002E-3</v>
      </c>
      <c r="N51" s="2259">
        <f t="shared" si="15"/>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6.0000000000000001E-3</v>
      </c>
      <c r="H52" s="2257">
        <f t="shared" si="12"/>
        <v>6.0000000000000001E-3</v>
      </c>
      <c r="I52" s="2258">
        <v>0.08</v>
      </c>
      <c r="J52" s="2259">
        <f t="shared" si="13"/>
        <v>1.2E-2</v>
      </c>
      <c r="K52" s="2259">
        <f t="shared" si="14"/>
        <v>6.0000000000000001E-3</v>
      </c>
      <c r="L52" s="2259">
        <v>0</v>
      </c>
      <c r="M52" s="2259">
        <f t="shared" si="15"/>
        <v>-6.0000000000000001E-3</v>
      </c>
      <c r="N52" s="2259">
        <f t="shared" si="15"/>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2.2000000000000001E-3</v>
      </c>
      <c r="E53" s="2261"/>
      <c r="F53" s="2255"/>
      <c r="G53" s="2256">
        <f t="shared" si="16"/>
        <v>2.2000000000000001E-3</v>
      </c>
      <c r="H53" s="2257">
        <f t="shared" si="12"/>
        <v>2.2000000000000001E-3</v>
      </c>
      <c r="I53" s="2258">
        <v>0.03</v>
      </c>
      <c r="J53" s="2259">
        <f t="shared" si="13"/>
        <v>4.4000000000000003E-3</v>
      </c>
      <c r="K53" s="2259">
        <f t="shared" si="14"/>
        <v>2.2000000000000001E-3</v>
      </c>
      <c r="L53" s="2259">
        <v>0</v>
      </c>
      <c r="M53" s="2259">
        <f t="shared" si="15"/>
        <v>-2.2000000000000001E-3</v>
      </c>
      <c r="N53" s="2259">
        <f t="shared" si="15"/>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t="s">
        <v>30</v>
      </c>
      <c r="D54" s="2253">
        <f t="shared" si="11"/>
        <v>3.7000000000000002E-3</v>
      </c>
      <c r="E54" s="2261"/>
      <c r="F54" s="2255"/>
      <c r="G54" s="2256">
        <f t="shared" si="16"/>
        <v>3.7000000000000002E-3</v>
      </c>
      <c r="H54" s="2257">
        <f t="shared" si="12"/>
        <v>3.7000000000000002E-3</v>
      </c>
      <c r="I54" s="2258">
        <v>0.05</v>
      </c>
      <c r="J54" s="2259">
        <f t="shared" si="13"/>
        <v>7.4000000000000003E-3</v>
      </c>
      <c r="K54" s="2259">
        <f t="shared" si="14"/>
        <v>3.7000000000000002E-3</v>
      </c>
      <c r="L54" s="2259">
        <v>0</v>
      </c>
      <c r="M54" s="2259">
        <f t="shared" si="15"/>
        <v>-3.7000000000000002E-3</v>
      </c>
      <c r="N54" s="2259">
        <f t="shared" si="15"/>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t="s">
        <v>29</v>
      </c>
      <c r="D55" s="2253">
        <f t="shared" si="11"/>
        <v>1.4999999999999999E-2</v>
      </c>
      <c r="E55" s="2261"/>
      <c r="F55" s="2255"/>
      <c r="G55" s="2256">
        <f t="shared" si="16"/>
        <v>7.4999999999999997E-3</v>
      </c>
      <c r="H55" s="2257">
        <f t="shared" si="12"/>
        <v>7.4999999999999997E-3</v>
      </c>
      <c r="I55" s="2258">
        <v>0.1</v>
      </c>
      <c r="J55" s="2259">
        <f t="shared" si="13"/>
        <v>1.4999999999999999E-2</v>
      </c>
      <c r="K55" s="2259">
        <f t="shared" si="14"/>
        <v>7.4999999999999997E-3</v>
      </c>
      <c r="L55" s="2259">
        <v>0</v>
      </c>
      <c r="M55" s="2259">
        <f t="shared" si="15"/>
        <v>-7.4999999999999997E-3</v>
      </c>
      <c r="N55" s="2259">
        <f t="shared" si="15"/>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2607</v>
      </c>
      <c r="B56" s="2267" t="str">
        <f>估价对象房地状况!C20</f>
        <v>一般</v>
      </c>
      <c r="C56" s="2136" t="s">
        <v>30</v>
      </c>
      <c r="D56" s="2253">
        <f t="shared" si="11"/>
        <v>4.4999999999999997E-3</v>
      </c>
      <c r="E56" s="2268"/>
      <c r="F56" s="2255"/>
      <c r="G56" s="2256">
        <f t="shared" si="16"/>
        <v>4.4999999999999997E-3</v>
      </c>
      <c r="H56" s="2257">
        <f t="shared" si="12"/>
        <v>4.4999999999999997E-3</v>
      </c>
      <c r="I56" s="2269">
        <v>0.06</v>
      </c>
      <c r="J56" s="2259">
        <f t="shared" si="13"/>
        <v>8.9999999999999993E-3</v>
      </c>
      <c r="K56" s="2259">
        <f t="shared" si="14"/>
        <v>4.4999999999999997E-3</v>
      </c>
      <c r="L56" s="2259">
        <v>0</v>
      </c>
      <c r="M56" s="2259">
        <f t="shared" si="15"/>
        <v>-4.4999999999999997E-3</v>
      </c>
      <c r="N56" s="2259">
        <f t="shared" si="15"/>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2598</v>
      </c>
      <c r="B60" s="2260" t="str">
        <f>估价对象房地状况!C18</f>
        <v>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2607</v>
      </c>
      <c r="B67" s="2271" t="str">
        <f>估价对象房地状况!C20</f>
        <v>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24">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14.25">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5"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20" t="s">
        <v>2620</v>
      </c>
      <c r="B90" s="3620"/>
      <c r="C90" s="3620"/>
      <c r="D90" s="3620"/>
      <c r="E90" s="3620"/>
      <c r="F90" s="3620"/>
      <c r="G90" s="3620"/>
      <c r="H90" s="3620"/>
      <c r="I90" s="3620"/>
      <c r="J90" s="3620"/>
      <c r="K90" s="2276"/>
      <c r="L90" s="2276"/>
      <c r="M90" s="2276"/>
      <c r="N90" s="2276"/>
      <c r="Q90" s="3028"/>
      <c r="R90" s="3028"/>
      <c r="S90" s="3028"/>
      <c r="T90" s="3028"/>
      <c r="U90" s="3028"/>
      <c r="V90" s="3028"/>
      <c r="W90" s="3028"/>
    </row>
    <row r="91" spans="1:33">
      <c r="A91" s="3622" t="s">
        <v>2621</v>
      </c>
      <c r="B91" s="3622"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22"/>
      <c r="B92" s="362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2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2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2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2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2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2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24"/>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2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23"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24"/>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24"/>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24"/>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24"/>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24"/>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24"/>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24"/>
      <c r="B108" s="3626"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25"/>
      <c r="B109" s="3627"/>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21" t="s">
        <v>2628</v>
      </c>
      <c r="B110" s="3621"/>
      <c r="C110" s="3621"/>
      <c r="D110" s="3621"/>
      <c r="E110" s="3621"/>
      <c r="F110" s="3621"/>
      <c r="G110" s="3621"/>
      <c r="H110" s="3621"/>
      <c r="I110" s="3621"/>
      <c r="J110" s="3621"/>
      <c r="K110" s="2050"/>
      <c r="L110" s="2050"/>
      <c r="M110" s="2050"/>
      <c r="N110" s="2050"/>
      <c r="Q110" s="3028"/>
      <c r="R110" s="3028"/>
      <c r="S110" s="3028"/>
      <c r="T110" s="3028"/>
      <c r="U110" s="3028"/>
      <c r="V110" s="3028"/>
      <c r="W110" s="3028"/>
    </row>
    <row r="112" spans="1:23" ht="13.5" thickBot="1"/>
    <row r="113" spans="1:13" ht="25.5" thickBot="1">
      <c r="A113" s="2285" t="s">
        <v>2629</v>
      </c>
      <c r="B113" s="2286">
        <f>G3</f>
        <v>3</v>
      </c>
      <c r="C113" s="2287" t="s">
        <v>2630</v>
      </c>
      <c r="D113" s="2288">
        <f>SUMPRODUCT((A115:A118=F113)*(B114:M114=H113)*B115:M118)</f>
        <v>0.64249999999999996</v>
      </c>
      <c r="E113" s="1572" t="s">
        <v>2516</v>
      </c>
      <c r="F113" s="2289" t="str">
        <f>E2</f>
        <v>商业</v>
      </c>
      <c r="G113" s="1572" t="s">
        <v>2450</v>
      </c>
      <c r="H113" s="2289" t="str">
        <f>G2</f>
        <v>八级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5"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500-000000000000}">
      <formula1>"500米范围内,500-1000米,1000米以外"</formula1>
    </dataValidation>
    <dataValidation type="list" allowBlank="1" showInputMessage="1" showErrorMessage="1" sqref="C14:E14" xr:uid="{00000000-0002-0000-1500-000001000000}">
      <formula1>"有,无"</formula1>
    </dataValidation>
    <dataValidation type="list" allowBlank="1" showInputMessage="1" showErrorMessage="1" sqref="B21" xr:uid="{00000000-0002-0000-1500-000002000000}">
      <formula1>"容积率修正,楼层修正"</formula1>
    </dataValidation>
    <dataValidation type="list" allowBlank="1" showInputMessage="1" showErrorMessage="1" sqref="F17" xr:uid="{00000000-0002-0000-1500-000003000000}">
      <formula1>"与级别开发程度一致,与级别开发程度不一致"</formula1>
    </dataValidation>
    <dataValidation type="list" allowBlank="1" showInputMessage="1" showErrorMessage="1" sqref="E2" xr:uid="{00000000-0002-0000-1500-000004000000}">
      <formula1>"商业,办公,住宅,工业"</formula1>
    </dataValidation>
    <dataValidation type="list" allowBlank="1" showInputMessage="1" showErrorMessage="1" sqref="C8" xr:uid="{00000000-0002-0000-1500-000005000000}">
      <formula1>商业街名称</formula1>
    </dataValidation>
    <dataValidation type="list" allowBlank="1" showInputMessage="1" showErrorMessage="1" sqref="E3" xr:uid="{00000000-0002-0000-1500-000006000000}">
      <formula1>二级分类</formula1>
    </dataValidation>
    <dataValidation type="list" allowBlank="1" showInputMessage="1" showErrorMessage="1" sqref="C70:C78 C48:C56 C59:C67 C81:C88" xr:uid="{00000000-0002-0000-1500-000007000000}">
      <formula1>五等判定</formula1>
    </dataValidation>
    <dataValidation type="list" allowBlank="1" showInputMessage="1" showErrorMessage="1" sqref="H19" xr:uid="{00000000-0002-0000-1500-000008000000}">
      <formula1>"地价指数,季度增幅（自定义）,按公示增长率计算"</formula1>
    </dataValidation>
    <dataValidation type="list" allowBlank="1" showInputMessage="1" showErrorMessage="1" sqref="H16:O16" xr:uid="{00000000-0002-0000-15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15" customHeight="1">
      <c r="A2" s="3139" t="s">
        <v>2827</v>
      </c>
      <c r="B2" s="3140" t="e">
        <f>C40</f>
        <v>#DIV/0!</v>
      </c>
      <c r="C2" s="3141" t="s">
        <v>2828</v>
      </c>
      <c r="D2" s="3141"/>
      <c r="E2" s="3142"/>
      <c r="F2" s="3143"/>
      <c r="G2" s="3237"/>
      <c r="H2" s="3238"/>
      <c r="I2" s="3239"/>
      <c r="J2" s="3633" t="s">
        <v>2829</v>
      </c>
      <c r="K2" s="3634"/>
      <c r="L2" s="3240" t="s">
        <v>2830</v>
      </c>
      <c r="M2" s="3240" t="s">
        <v>2831</v>
      </c>
      <c r="N2" s="3240" t="s">
        <v>2832</v>
      </c>
      <c r="O2" s="3240" t="s">
        <v>2833</v>
      </c>
      <c r="P2" s="3240" t="s">
        <v>2834</v>
      </c>
      <c r="Q2" s="3241" t="s">
        <v>2835</v>
      </c>
      <c r="R2" s="3242" t="s">
        <v>2836</v>
      </c>
      <c r="S2" s="3236"/>
      <c r="T2" s="3236"/>
      <c r="U2" s="3236"/>
      <c r="V2" s="3239"/>
      <c r="W2" s="3238"/>
    </row>
    <row r="3" spans="1:23" s="3144" customFormat="1" ht="13.15" customHeight="1">
      <c r="A3" s="3146" t="s">
        <v>2837</v>
      </c>
      <c r="B3" s="3147" t="e">
        <f>ROUND(B2*10000/B4,0)</f>
        <v>#DIV/0!</v>
      </c>
      <c r="C3" s="3141" t="s">
        <v>2838</v>
      </c>
      <c r="D3" s="3141"/>
      <c r="E3" s="3142"/>
      <c r="F3" s="3143"/>
      <c r="G3" s="3237"/>
      <c r="H3" s="3238"/>
      <c r="I3" s="3239"/>
      <c r="J3" s="3635" t="s">
        <v>2839</v>
      </c>
      <c r="K3" s="3636"/>
      <c r="L3" s="3243"/>
      <c r="M3" s="3243"/>
      <c r="N3" s="3243"/>
      <c r="O3" s="3243"/>
      <c r="P3" s="3243"/>
      <c r="Q3" s="3244"/>
      <c r="R3" s="3245">
        <f>SUM(L3:Q3)</f>
        <v>0</v>
      </c>
      <c r="S3" s="3236"/>
      <c r="T3" s="3236"/>
      <c r="U3" s="3236"/>
      <c r="V3" s="3239"/>
      <c r="W3" s="3238"/>
    </row>
    <row r="4" spans="1:23" s="3144" customFormat="1" ht="13.15" customHeight="1">
      <c r="A4" s="3148" t="s">
        <v>2840</v>
      </c>
      <c r="B4" s="3205"/>
      <c r="C4" s="3141"/>
      <c r="D4" s="3141"/>
      <c r="E4" s="3142"/>
      <c r="F4" s="3143"/>
      <c r="G4" s="3237"/>
      <c r="H4" s="3238"/>
      <c r="I4" s="3239"/>
      <c r="J4" s="3635" t="s">
        <v>2841</v>
      </c>
      <c r="K4" s="3636"/>
      <c r="L4" s="3246"/>
      <c r="M4" s="3246"/>
      <c r="N4" s="3246"/>
      <c r="O4" s="3246"/>
      <c r="P4" s="3246"/>
      <c r="Q4" s="3247"/>
      <c r="R4" s="3248">
        <f>SUM(L4:Q4)</f>
        <v>0</v>
      </c>
      <c r="S4" s="3236"/>
      <c r="T4" s="3236"/>
      <c r="U4" s="3236"/>
      <c r="V4" s="3239"/>
      <c r="W4" s="3238"/>
    </row>
    <row r="5" spans="1:23" s="3144" customFormat="1" ht="13.15"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15" customHeight="1" thickBot="1">
      <c r="A6" s="3637" t="s">
        <v>2845</v>
      </c>
      <c r="B6" s="3638"/>
      <c r="C6" s="3639"/>
      <c r="D6" s="3207"/>
      <c r="E6" s="3151"/>
      <c r="F6" s="3152"/>
      <c r="G6" s="3252"/>
      <c r="H6" s="3238"/>
      <c r="I6" s="3239"/>
      <c r="J6" s="3640">
        <v>1</v>
      </c>
      <c r="K6" s="3641"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15" customHeight="1">
      <c r="A7" s="3154" t="s">
        <v>2855</v>
      </c>
      <c r="B7" s="3155"/>
      <c r="C7" s="3156"/>
      <c r="D7" s="3157">
        <f>SUM(D9,D10,D11,D17,0)</f>
        <v>0</v>
      </c>
      <c r="E7" s="3158" t="e">
        <f>E9+E10+E11+E17</f>
        <v>#DIV/0!</v>
      </c>
      <c r="F7" s="3159"/>
      <c r="G7" s="3255"/>
      <c r="H7" s="3238"/>
      <c r="I7" s="3239"/>
      <c r="J7" s="3640"/>
      <c r="K7" s="3642"/>
      <c r="L7" s="3256" t="s">
        <v>2955</v>
      </c>
      <c r="M7" s="3257"/>
      <c r="N7" s="3257"/>
      <c r="O7" s="3258"/>
      <c r="P7" s="3258"/>
      <c r="Q7" s="3259">
        <v>365</v>
      </c>
      <c r="R7" s="3260">
        <f>ROUND(M7*N7*O7*P7*Q7/10000,0)</f>
        <v>0</v>
      </c>
      <c r="S7" s="3236"/>
      <c r="T7" s="3236" t="s">
        <v>2856</v>
      </c>
      <c r="U7" s="3236"/>
      <c r="V7" s="3239"/>
      <c r="W7" s="3238"/>
    </row>
    <row r="8" spans="1:23" s="3144" customFormat="1" ht="13.15" customHeight="1">
      <c r="A8" s="3160" t="s">
        <v>2857</v>
      </c>
      <c r="B8" s="3644" t="s">
        <v>2858</v>
      </c>
      <c r="C8" s="3645"/>
      <c r="D8" s="3161" t="s">
        <v>2859</v>
      </c>
      <c r="E8" s="3162" t="s">
        <v>2860</v>
      </c>
      <c r="F8" s="3145" t="s">
        <v>2861</v>
      </c>
      <c r="G8" s="3315" t="s">
        <v>2969</v>
      </c>
      <c r="H8" s="3238"/>
      <c r="I8" s="3239"/>
      <c r="J8" s="3640"/>
      <c r="K8" s="3642"/>
      <c r="L8" s="3256" t="s">
        <v>2956</v>
      </c>
      <c r="M8" s="3257"/>
      <c r="N8" s="3257"/>
      <c r="O8" s="3258"/>
      <c r="P8" s="3258"/>
      <c r="Q8" s="3259">
        <v>365</v>
      </c>
      <c r="R8" s="3260">
        <f t="shared" ref="R8:R13" si="0">ROUND(M8*N8*O8*P8*Q8/10000,0)</f>
        <v>0</v>
      </c>
      <c r="S8" s="3236"/>
      <c r="T8" s="3236" t="s">
        <v>2862</v>
      </c>
      <c r="U8" s="3236"/>
      <c r="V8" s="3239"/>
      <c r="W8" s="3238"/>
    </row>
    <row r="9" spans="1:23" s="3144" customFormat="1" ht="13.15" customHeight="1">
      <c r="A9" s="3160">
        <v>1</v>
      </c>
      <c r="B9" s="3644" t="s">
        <v>2863</v>
      </c>
      <c r="C9" s="3645"/>
      <c r="D9" s="3161">
        <f>ROUND(D6*E9,0)</f>
        <v>0</v>
      </c>
      <c r="E9" s="3208"/>
      <c r="F9" s="3163" t="s">
        <v>2864</v>
      </c>
      <c r="G9" s="3261" t="s">
        <v>2967</v>
      </c>
      <c r="H9" s="3238"/>
      <c r="I9" s="3239"/>
      <c r="J9" s="3640"/>
      <c r="K9" s="3642"/>
      <c r="L9" s="3256" t="s">
        <v>2957</v>
      </c>
      <c r="M9" s="3257"/>
      <c r="N9" s="3257"/>
      <c r="O9" s="3258"/>
      <c r="P9" s="3258"/>
      <c r="Q9" s="3259">
        <v>365</v>
      </c>
      <c r="R9" s="3260">
        <f t="shared" si="0"/>
        <v>0</v>
      </c>
      <c r="S9" s="3236"/>
      <c r="T9" s="3236"/>
      <c r="U9" s="3236"/>
      <c r="V9" s="3239"/>
      <c r="W9" s="3238"/>
    </row>
    <row r="10" spans="1:23" s="3144" customFormat="1" ht="13.15" customHeight="1">
      <c r="A10" s="3160">
        <v>2</v>
      </c>
      <c r="B10" s="3644" t="s">
        <v>2865</v>
      </c>
      <c r="C10" s="3645"/>
      <c r="D10" s="3161">
        <f>ROUND(D6*E10,0)</f>
        <v>0</v>
      </c>
      <c r="E10" s="3208"/>
      <c r="F10" s="3163" t="s">
        <v>2866</v>
      </c>
      <c r="G10" s="3261" t="s">
        <v>2968</v>
      </c>
      <c r="H10" s="3238"/>
      <c r="I10" s="3239"/>
      <c r="J10" s="3640"/>
      <c r="K10" s="3642"/>
      <c r="L10" s="3256" t="s">
        <v>2958</v>
      </c>
      <c r="M10" s="3257"/>
      <c r="N10" s="3257"/>
      <c r="O10" s="3258"/>
      <c r="P10" s="3258"/>
      <c r="Q10" s="3259">
        <v>365</v>
      </c>
      <c r="R10" s="3260">
        <f t="shared" si="0"/>
        <v>0</v>
      </c>
      <c r="S10" s="3236"/>
      <c r="T10" s="3236"/>
      <c r="U10" s="3236"/>
      <c r="V10" s="3239"/>
      <c r="W10" s="3238"/>
    </row>
    <row r="11" spans="1:23" s="3144" customFormat="1" ht="13.15" customHeight="1">
      <c r="A11" s="3160">
        <v>3</v>
      </c>
      <c r="B11" s="3644" t="s">
        <v>2867</v>
      </c>
      <c r="C11" s="3645"/>
      <c r="D11" s="3161">
        <f>D12+D14+D15+D16</f>
        <v>0</v>
      </c>
      <c r="E11" s="3164" t="e">
        <f>D11/D6</f>
        <v>#DIV/0!</v>
      </c>
      <c r="F11" s="3145"/>
      <c r="G11" s="3261"/>
      <c r="H11" s="3238"/>
      <c r="I11" s="3239"/>
      <c r="J11" s="3640"/>
      <c r="K11" s="3642"/>
      <c r="L11" s="3256" t="s">
        <v>2959</v>
      </c>
      <c r="M11" s="3257"/>
      <c r="N11" s="3257"/>
      <c r="O11" s="3258"/>
      <c r="P11" s="3258"/>
      <c r="Q11" s="3259">
        <v>365</v>
      </c>
      <c r="R11" s="3260">
        <f t="shared" si="0"/>
        <v>0</v>
      </c>
      <c r="S11" s="3236"/>
      <c r="T11" s="3236"/>
      <c r="U11" s="3236"/>
      <c r="V11" s="3239"/>
      <c r="W11" s="3238"/>
    </row>
    <row r="12" spans="1:23" s="3144" customFormat="1" ht="13.15" customHeight="1">
      <c r="A12" s="3165" t="s">
        <v>2868</v>
      </c>
      <c r="B12" s="3646" t="s">
        <v>2869</v>
      </c>
      <c r="C12" s="3647"/>
      <c r="D12" s="3166">
        <f>ROUND(D13*1.2%*(1-30%),0)</f>
        <v>0</v>
      </c>
      <c r="E12" s="3167">
        <v>1.2E-2</v>
      </c>
      <c r="F12" s="3145" t="s">
        <v>2870</v>
      </c>
      <c r="G12" s="3261"/>
      <c r="H12" s="3238"/>
      <c r="I12" s="3239"/>
      <c r="J12" s="3640"/>
      <c r="K12" s="3642"/>
      <c r="L12" s="3256" t="s">
        <v>2960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2871</v>
      </c>
      <c r="D13" s="3209"/>
      <c r="E13" s="3170"/>
      <c r="F13" s="3145"/>
      <c r="G13" s="3261"/>
      <c r="H13" s="3238"/>
      <c r="I13" s="3239"/>
      <c r="J13" s="3640"/>
      <c r="K13" s="3642"/>
      <c r="L13" s="3256" t="s">
        <v>2961</v>
      </c>
      <c r="M13" s="3257"/>
      <c r="N13" s="3257"/>
      <c r="O13" s="3258"/>
      <c r="P13" s="3258"/>
      <c r="Q13" s="3259">
        <v>365</v>
      </c>
      <c r="R13" s="3260">
        <f t="shared" si="0"/>
        <v>0</v>
      </c>
      <c r="S13" s="3236"/>
      <c r="T13" s="3236"/>
      <c r="U13" s="3236"/>
      <c r="V13" s="3239"/>
      <c r="W13" s="3238"/>
    </row>
    <row r="14" spans="1:23" s="3144" customFormat="1" ht="13.15" customHeight="1">
      <c r="A14" s="3165" t="s">
        <v>2872</v>
      </c>
      <c r="B14" s="3646" t="s">
        <v>2873</v>
      </c>
      <c r="C14" s="3647"/>
      <c r="D14" s="3166">
        <f>ROUND(E14*B5/10000,0)</f>
        <v>0</v>
      </c>
      <c r="E14" s="3210"/>
      <c r="F14" s="3145" t="s">
        <v>2874</v>
      </c>
      <c r="G14" s="3261"/>
      <c r="H14" s="3238"/>
      <c r="I14" s="3239"/>
      <c r="J14" s="3640"/>
      <c r="K14" s="3643"/>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2876</v>
      </c>
      <c r="B15" s="3646" t="s">
        <v>2877</v>
      </c>
      <c r="C15" s="3647"/>
      <c r="D15" s="3166">
        <f>ROUND(D6*E15,0)</f>
        <v>0</v>
      </c>
      <c r="E15" s="3167">
        <v>5.5E-2</v>
      </c>
      <c r="F15" s="3145" t="s">
        <v>2878</v>
      </c>
      <c r="G15" s="3261"/>
      <c r="H15" s="3238"/>
      <c r="I15" s="3239"/>
      <c r="J15" s="3640">
        <v>2</v>
      </c>
      <c r="K15" s="3641"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15" customHeight="1">
      <c r="A16" s="3165" t="s">
        <v>2887</v>
      </c>
      <c r="B16" s="3646" t="s">
        <v>2888</v>
      </c>
      <c r="C16" s="3647"/>
      <c r="D16" s="3211">
        <f>D6*E16</f>
        <v>0</v>
      </c>
      <c r="E16" s="3212"/>
      <c r="F16" s="3163" t="s">
        <v>2889</v>
      </c>
      <c r="G16" s="3261"/>
      <c r="H16" s="3238"/>
      <c r="I16" s="3239"/>
      <c r="J16" s="3640"/>
      <c r="K16" s="3642"/>
      <c r="L16" s="3256" t="s">
        <v>2962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8" t="s">
        <v>2890</v>
      </c>
      <c r="C17" s="3649"/>
      <c r="D17" s="3172">
        <f>ROUND(D6*E17,0)</f>
        <v>0</v>
      </c>
      <c r="E17" s="3213"/>
      <c r="F17" s="3173" t="s">
        <v>2891</v>
      </c>
      <c r="G17" s="3314">
        <v>0.1</v>
      </c>
      <c r="H17" s="3238"/>
      <c r="I17" s="3239"/>
      <c r="J17" s="3640"/>
      <c r="K17" s="3642"/>
      <c r="L17" s="3256" t="s">
        <v>2963</v>
      </c>
      <c r="M17" s="3257"/>
      <c r="N17" s="3257"/>
      <c r="O17" s="3258"/>
      <c r="P17" s="3259">
        <v>365</v>
      </c>
      <c r="Q17" s="3257"/>
      <c r="R17" s="3270">
        <f>ROUND(M17*N17*O17*P17/10000,0)</f>
        <v>0</v>
      </c>
      <c r="S17" s="3236"/>
      <c r="T17" s="3236"/>
      <c r="U17" s="3236"/>
      <c r="V17" s="3239"/>
      <c r="W17" s="3238"/>
    </row>
    <row r="18" spans="1:23" s="3144" customFormat="1" ht="13.15" customHeight="1" thickBot="1">
      <c r="A18" s="3154" t="s">
        <v>2892</v>
      </c>
      <c r="B18" s="3155"/>
      <c r="C18" s="3155"/>
      <c r="D18" s="3174">
        <f>ROUND(D6*E18,0)</f>
        <v>0</v>
      </c>
      <c r="E18" s="3214"/>
      <c r="F18" s="3175" t="s">
        <v>2893</v>
      </c>
      <c r="G18" s="3314">
        <v>0.05</v>
      </c>
      <c r="H18" s="3238"/>
      <c r="I18" s="3239"/>
      <c r="J18" s="3640"/>
      <c r="K18" s="3642"/>
      <c r="L18" s="3256" t="s">
        <v>2964</v>
      </c>
      <c r="M18" s="3257"/>
      <c r="N18" s="3257"/>
      <c r="O18" s="3258"/>
      <c r="P18" s="3259">
        <v>365</v>
      </c>
      <c r="Q18" s="3257"/>
      <c r="R18" s="3270">
        <f>ROUND(M18*N18*O18*P18/10000,0)</f>
        <v>0</v>
      </c>
      <c r="S18" s="3236"/>
      <c r="T18" s="3236"/>
      <c r="U18" s="3236"/>
      <c r="V18" s="3239"/>
      <c r="W18" s="3238"/>
    </row>
    <row r="19" spans="1:23" s="3144" customFormat="1" ht="13.15" customHeight="1" thickBot="1">
      <c r="A19" s="3176" t="s">
        <v>2894</v>
      </c>
      <c r="B19" s="3151"/>
      <c r="C19" s="3151"/>
      <c r="D19" s="3151"/>
      <c r="E19" s="3151"/>
      <c r="F19" s="3152"/>
      <c r="G19" s="3261"/>
      <c r="H19" s="3238"/>
      <c r="I19" s="3239"/>
      <c r="J19" s="3640"/>
      <c r="K19" s="3643"/>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40">
        <v>3</v>
      </c>
      <c r="K20" s="3641"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15" customHeight="1">
      <c r="A21" s="3154"/>
      <c r="B21" s="3155"/>
      <c r="C21" s="3178" t="s">
        <v>2900</v>
      </c>
      <c r="D21" s="3179" t="s">
        <v>2901</v>
      </c>
      <c r="E21" s="3180" t="s">
        <v>2902</v>
      </c>
      <c r="F21" s="3177"/>
      <c r="G21" s="3261"/>
      <c r="H21" s="3238"/>
      <c r="I21" s="3239"/>
      <c r="J21" s="3640"/>
      <c r="K21" s="3642"/>
      <c r="L21" s="3266" t="s">
        <v>2903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2904</v>
      </c>
      <c r="D22" s="3216" t="s">
        <v>2905</v>
      </c>
      <c r="E22" s="3217" t="s">
        <v>2906</v>
      </c>
      <c r="F22" s="3177"/>
      <c r="G22" s="3276"/>
      <c r="H22" s="3238"/>
      <c r="I22" s="3239"/>
      <c r="J22" s="3640"/>
      <c r="K22" s="3642"/>
      <c r="L22" s="3266" t="s">
        <v>2907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2908</v>
      </c>
      <c r="C23" s="3182">
        <f>D6</f>
        <v>0</v>
      </c>
      <c r="D23" s="3183">
        <f>C23*(1+D24)</f>
        <v>0</v>
      </c>
      <c r="E23" s="3184">
        <f>D23*(1+E24)</f>
        <v>0</v>
      </c>
      <c r="F23" s="3185"/>
      <c r="G23" s="3277"/>
      <c r="H23" s="3238"/>
      <c r="I23" s="3239"/>
      <c r="J23" s="3640"/>
      <c r="K23" s="3642"/>
      <c r="L23" s="3266" t="s">
        <v>2909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2910</v>
      </c>
      <c r="C24" s="3188"/>
      <c r="D24" s="3218"/>
      <c r="E24" s="3219"/>
      <c r="F24" s="3189"/>
      <c r="G24" s="3277"/>
      <c r="H24" s="3238"/>
      <c r="I24" s="3239"/>
      <c r="J24" s="3640"/>
      <c r="K24" s="3643"/>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2912</v>
      </c>
      <c r="C26" s="3182">
        <f>D7</f>
        <v>0</v>
      </c>
      <c r="D26" s="3183">
        <f>D23*D27</f>
        <v>0</v>
      </c>
      <c r="E26" s="3184">
        <f>E23*E27</f>
        <v>0</v>
      </c>
      <c r="F26" s="3185"/>
      <c r="G26" s="3277"/>
      <c r="H26" s="3238"/>
      <c r="I26" s="3239"/>
      <c r="J26" s="3650">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15" customHeight="1">
      <c r="A27" s="3186"/>
      <c r="B27" s="3187" t="s">
        <v>2918</v>
      </c>
      <c r="C27" s="3191" t="e">
        <f>E7</f>
        <v>#DIV/0!</v>
      </c>
      <c r="D27" s="3218"/>
      <c r="E27" s="3219"/>
      <c r="F27" s="3189"/>
      <c r="G27" s="3277"/>
      <c r="H27" s="3284"/>
      <c r="I27" s="3283"/>
      <c r="J27" s="3651"/>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15"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15" customHeight="1">
      <c r="A32" s="3181">
        <v>4</v>
      </c>
      <c r="B32" s="3153" t="s">
        <v>2926</v>
      </c>
      <c r="C32" s="3182">
        <f>C23-C26-C29</f>
        <v>0</v>
      </c>
      <c r="D32" s="3183">
        <f>D23-D26-D29</f>
        <v>0</v>
      </c>
      <c r="E32" s="3184">
        <f>E23-E26-E29</f>
        <v>0</v>
      </c>
      <c r="F32" s="3185"/>
      <c r="G32" s="3276"/>
      <c r="H32" s="3238"/>
      <c r="I32" s="3239"/>
      <c r="J32" s="3633" t="s">
        <v>2927</v>
      </c>
      <c r="K32" s="3634"/>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15" customHeight="1">
      <c r="A33" s="3181"/>
      <c r="B33" s="3153"/>
      <c r="C33" s="3182"/>
      <c r="D33" s="3193"/>
      <c r="E33" s="3194"/>
      <c r="F33" s="3185"/>
      <c r="G33" s="3276"/>
      <c r="H33" s="3284"/>
      <c r="I33" s="3283"/>
      <c r="J33" s="3635" t="s">
        <v>2931</v>
      </c>
      <c r="K33" s="3636"/>
      <c r="L33" s="3243"/>
      <c r="M33" s="3243"/>
      <c r="N33" s="3243"/>
      <c r="O33" s="3243"/>
      <c r="P33" s="3243"/>
      <c r="Q33" s="3244"/>
      <c r="R33" s="3304">
        <f>SUM(L33:Q33)</f>
        <v>0</v>
      </c>
      <c r="S33" s="3274"/>
      <c r="T33" s="3236"/>
      <c r="U33" s="3236"/>
      <c r="V33" s="3239"/>
      <c r="W33" s="3238"/>
    </row>
    <row r="34" spans="1:23" s="3144" customFormat="1" ht="13.15" customHeight="1">
      <c r="A34" s="3181">
        <v>5</v>
      </c>
      <c r="B34" s="3153" t="s">
        <v>2932</v>
      </c>
      <c r="C34" s="3221"/>
      <c r="D34" s="3222"/>
      <c r="E34" s="3223"/>
      <c r="F34" s="3185"/>
      <c r="G34" s="3276"/>
      <c r="H34" s="3284"/>
      <c r="I34" s="3283"/>
      <c r="J34" s="3635" t="s">
        <v>2933</v>
      </c>
      <c r="K34" s="3636"/>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15" customHeight="1" thickBot="1">
      <c r="A36" s="3181">
        <v>7</v>
      </c>
      <c r="B36" s="3195" t="s">
        <v>2937</v>
      </c>
      <c r="C36" s="3227"/>
      <c r="D36" s="3228"/>
      <c r="E36" s="3229"/>
      <c r="F36" s="3196">
        <f>C36+D36+E36</f>
        <v>0</v>
      </c>
      <c r="G36" s="3276"/>
      <c r="H36" s="3238"/>
      <c r="I36" s="3239"/>
      <c r="J36" s="3640">
        <v>1</v>
      </c>
      <c r="K36" s="3641" t="s">
        <v>2938</v>
      </c>
      <c r="L36" s="3253"/>
      <c r="M36" s="3254"/>
      <c r="N36" s="3254"/>
      <c r="O36" s="3254"/>
      <c r="P36" s="3254"/>
      <c r="Q36" s="3254"/>
      <c r="R36" s="3245" t="s">
        <v>2886</v>
      </c>
      <c r="S36" s="3274"/>
      <c r="T36" s="3236" t="s">
        <v>2939</v>
      </c>
      <c r="U36" s="3236"/>
      <c r="V36" s="3239"/>
      <c r="W36" s="3238"/>
    </row>
    <row r="37" spans="1:23" s="3144" customFormat="1" ht="13.15" customHeight="1">
      <c r="A37" s="3181"/>
      <c r="B37" s="3153"/>
      <c r="C37" s="3153"/>
      <c r="D37" s="3153"/>
      <c r="E37" s="3153"/>
      <c r="F37" s="3185"/>
      <c r="G37" s="3276"/>
      <c r="H37" s="3238"/>
      <c r="I37" s="3239"/>
      <c r="J37" s="3640"/>
      <c r="K37" s="3642"/>
      <c r="L37" s="3266"/>
      <c r="M37" s="3267"/>
      <c r="N37" s="3205"/>
      <c r="O37" s="3268"/>
      <c r="P37" s="3268"/>
      <c r="Q37" s="3210"/>
      <c r="R37" s="3308"/>
      <c r="S37" s="3274"/>
      <c r="T37" s="3236" t="s">
        <v>2940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40"/>
      <c r="K38" s="3642"/>
      <c r="L38" s="3266"/>
      <c r="M38" s="3267"/>
      <c r="N38" s="3205"/>
      <c r="O38" s="3268"/>
      <c r="P38" s="3268"/>
      <c r="Q38" s="3210"/>
      <c r="R38" s="3308"/>
      <c r="S38" s="3274"/>
      <c r="T38" s="3236" t="s">
        <v>2862</v>
      </c>
      <c r="U38" s="3236"/>
      <c r="V38" s="3239"/>
      <c r="W38" s="3238"/>
    </row>
    <row r="39" spans="1:23" s="3144" customFormat="1" ht="13.15" customHeight="1">
      <c r="A39" s="3181">
        <v>9</v>
      </c>
      <c r="B39" s="3153" t="s">
        <v>2941</v>
      </c>
      <c r="C39" s="3166" t="e">
        <f>C38</f>
        <v>#DIV/0!</v>
      </c>
      <c r="D39" s="3153">
        <f>D38/(1+D34)^C36</f>
        <v>0</v>
      </c>
      <c r="E39" s="3153">
        <f>E38/(1+E34)^(C36+D36)</f>
        <v>0</v>
      </c>
      <c r="F39" s="3185"/>
      <c r="G39" s="3309"/>
      <c r="H39" s="3238"/>
      <c r="I39" s="3239"/>
      <c r="J39" s="3640"/>
      <c r="K39" s="3642"/>
      <c r="L39" s="3266"/>
      <c r="M39" s="3267"/>
      <c r="N39" s="3205"/>
      <c r="O39" s="3268"/>
      <c r="P39" s="3268"/>
      <c r="Q39" s="3210"/>
      <c r="R39" s="3308"/>
      <c r="S39" s="3274"/>
      <c r="T39" s="3236"/>
      <c r="U39" s="3236"/>
      <c r="V39" s="3239"/>
      <c r="W39" s="3238"/>
    </row>
    <row r="40" spans="1:23" s="3144" customFormat="1" ht="13.15" customHeight="1">
      <c r="A40" s="3197">
        <v>10</v>
      </c>
      <c r="B40" s="3153" t="s">
        <v>2942</v>
      </c>
      <c r="C40" s="3198" t="e">
        <f>C39+D39+E39</f>
        <v>#DIV/0!</v>
      </c>
      <c r="D40" s="3199"/>
      <c r="E40" s="3199"/>
      <c r="F40" s="3200"/>
      <c r="G40" s="3276"/>
      <c r="H40" s="3238"/>
      <c r="I40" s="3239"/>
      <c r="J40" s="3640"/>
      <c r="K40" s="3643"/>
      <c r="L40" s="3262" t="s">
        <v>2943</v>
      </c>
      <c r="M40" s="3263"/>
      <c r="N40" s="3263"/>
      <c r="O40" s="3264"/>
      <c r="P40" s="3264"/>
      <c r="Q40" s="3265"/>
      <c r="R40" s="3242">
        <f>SUM(R37:R39)</f>
        <v>0</v>
      </c>
      <c r="S40" s="3274"/>
      <c r="T40" s="3236"/>
      <c r="U40" s="3236"/>
      <c r="V40" s="3239"/>
      <c r="W40" s="3238"/>
    </row>
    <row r="41" spans="1:23" s="3144" customFormat="1" ht="13.15"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50">
        <v>3</v>
      </c>
      <c r="K42" s="3285" t="s">
        <v>2946</v>
      </c>
      <c r="L42" s="3286"/>
      <c r="M42" s="3287"/>
      <c r="N42" s="3288" t="s">
        <v>2947</v>
      </c>
      <c r="O42" s="3288" t="s">
        <v>2948</v>
      </c>
      <c r="P42" s="3289" t="s">
        <v>2949</v>
      </c>
      <c r="Q42" s="3289" t="s">
        <v>2950</v>
      </c>
      <c r="R42" s="3245" t="s">
        <v>2853</v>
      </c>
      <c r="S42" s="3290"/>
      <c r="T42" s="3290"/>
      <c r="U42" s="3236"/>
      <c r="V42" s="3239"/>
      <c r="W42" s="3238"/>
    </row>
    <row r="43" spans="1:23" ht="13.15" customHeight="1">
      <c r="A43" s="3144"/>
      <c r="B43" s="3144"/>
      <c r="C43" s="3144"/>
      <c r="D43" s="3144"/>
      <c r="E43" s="3144"/>
      <c r="F43" s="3144"/>
      <c r="I43" s="3231"/>
      <c r="J43" s="3651"/>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5" t="s">
        <v>2155</v>
      </c>
      <c r="D4" s="3656"/>
      <c r="E4" s="3656"/>
      <c r="F4" s="3656"/>
      <c r="G4" s="3656"/>
      <c r="H4" s="3656"/>
      <c r="I4" s="3656"/>
      <c r="J4" s="3656"/>
      <c r="K4" s="3656"/>
      <c r="L4" s="3656"/>
      <c r="M4" s="3656"/>
      <c r="N4" s="3656"/>
      <c r="O4" s="3656"/>
      <c r="P4" s="3656"/>
      <c r="Q4" s="3656"/>
      <c r="R4" s="3656"/>
      <c r="S4" s="365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437.43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53" t="s">
        <v>2189</v>
      </c>
      <c r="D4" s="3554"/>
      <c r="E4" s="3555" t="s">
        <v>2190</v>
      </c>
      <c r="F4" s="3556"/>
      <c r="G4" s="3553" t="s">
        <v>2191</v>
      </c>
      <c r="H4" s="3554"/>
      <c r="I4" s="3553" t="s">
        <v>2192</v>
      </c>
      <c r="J4" s="3554"/>
      <c r="K4" s="1635" t="s">
        <v>2193</v>
      </c>
      <c r="L4" s="2967"/>
      <c r="M4" s="2968"/>
      <c r="N4" s="2968"/>
      <c r="O4" s="2968"/>
      <c r="P4" s="3557" t="s">
        <v>2194</v>
      </c>
      <c r="Q4" s="3558"/>
      <c r="R4" s="3539" t="s">
        <v>2190</v>
      </c>
      <c r="S4" s="3540"/>
      <c r="T4" s="3539" t="s">
        <v>2191</v>
      </c>
      <c r="U4" s="3540"/>
      <c r="V4" s="3563" t="s">
        <v>2192</v>
      </c>
      <c r="W4" s="3563"/>
      <c r="X4" s="1636"/>
      <c r="Y4" s="3539" t="s">
        <v>2194</v>
      </c>
      <c r="Z4" s="3540"/>
      <c r="AA4" s="3550" t="s">
        <v>2190</v>
      </c>
      <c r="AB4" s="3550" t="s">
        <v>2191</v>
      </c>
      <c r="AC4" s="3550" t="s">
        <v>2192</v>
      </c>
    </row>
    <row r="5" spans="1:29" ht="15">
      <c r="A5" s="1638"/>
      <c r="B5" s="1639"/>
      <c r="C5" s="3566" t="s">
        <v>2195</v>
      </c>
      <c r="D5" s="3567"/>
      <c r="E5" s="3660" t="s">
        <v>2196</v>
      </c>
      <c r="F5" s="3565"/>
      <c r="G5" s="3566" t="s">
        <v>2197</v>
      </c>
      <c r="H5" s="3567"/>
      <c r="I5" s="3566" t="s">
        <v>2198</v>
      </c>
      <c r="J5" s="3567"/>
      <c r="K5" s="1640"/>
      <c r="L5" s="2967"/>
      <c r="M5" s="2968"/>
      <c r="N5" s="2968"/>
      <c r="O5" s="2968"/>
      <c r="P5" s="3559"/>
      <c r="Q5" s="3560"/>
      <c r="R5" s="3541"/>
      <c r="S5" s="3542"/>
      <c r="T5" s="3541"/>
      <c r="U5" s="3542"/>
      <c r="V5" s="3563"/>
      <c r="W5" s="3563"/>
      <c r="X5" s="1636"/>
      <c r="Y5" s="3541"/>
      <c r="Z5" s="3542"/>
      <c r="AA5" s="3551"/>
      <c r="AB5" s="3551"/>
      <c r="AC5" s="3551"/>
    </row>
    <row r="6" spans="1:29" ht="15.75" thickBot="1">
      <c r="A6" s="1641"/>
      <c r="B6" s="1642"/>
      <c r="C6" s="3568" t="s">
        <v>2199</v>
      </c>
      <c r="D6" s="3569"/>
      <c r="E6" s="3571" t="s">
        <v>2199</v>
      </c>
      <c r="F6" s="3572"/>
      <c r="G6" s="3568" t="s">
        <v>2199</v>
      </c>
      <c r="H6" s="3569"/>
      <c r="I6" s="3568" t="s">
        <v>2199</v>
      </c>
      <c r="J6" s="3569"/>
      <c r="K6" s="1640" t="s">
        <v>2200</v>
      </c>
      <c r="L6" s="2967"/>
      <c r="M6" s="2968"/>
      <c r="N6" s="2968"/>
      <c r="O6" s="2968"/>
      <c r="P6" s="3561"/>
      <c r="Q6" s="3562"/>
      <c r="R6" s="3541"/>
      <c r="S6" s="3542"/>
      <c r="T6" s="3543"/>
      <c r="U6" s="3544"/>
      <c r="V6" s="3563"/>
      <c r="W6" s="3563"/>
      <c r="X6" s="1636"/>
      <c r="Y6" s="3543"/>
      <c r="Z6" s="3544"/>
      <c r="AA6" s="3552"/>
      <c r="AB6" s="3552"/>
      <c r="AC6" s="3552"/>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37" t="s">
        <v>2202</v>
      </c>
      <c r="Q7" s="3545"/>
      <c r="R7" s="1651" t="s">
        <v>34</v>
      </c>
      <c r="S7" s="1652">
        <f t="shared" ref="S7:S15" si="0">F7</f>
        <v>0</v>
      </c>
      <c r="T7" s="1651" t="s">
        <v>34</v>
      </c>
      <c r="U7" s="1652">
        <f t="shared" ref="U7:U15" si="1">H7</f>
        <v>0</v>
      </c>
      <c r="V7" s="1651" t="s">
        <v>34</v>
      </c>
      <c r="W7" s="1652">
        <f t="shared" ref="W7:W15" si="2">J7</f>
        <v>0</v>
      </c>
      <c r="X7" s="1653"/>
      <c r="Y7" s="3537" t="s">
        <v>2202</v>
      </c>
      <c r="Z7" s="3538"/>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37" t="s">
        <v>2205</v>
      </c>
      <c r="Q8" s="3538"/>
      <c r="R8" s="1651" t="s">
        <v>34</v>
      </c>
      <c r="S8" s="1652">
        <f t="shared" si="0"/>
        <v>0</v>
      </c>
      <c r="T8" s="1651" t="s">
        <v>34</v>
      </c>
      <c r="U8" s="1652">
        <f t="shared" si="1"/>
        <v>0</v>
      </c>
      <c r="V8" s="1651" t="s">
        <v>34</v>
      </c>
      <c r="W8" s="1652">
        <f t="shared" si="2"/>
        <v>0</v>
      </c>
      <c r="X8" s="1653"/>
      <c r="Y8" s="3537" t="s">
        <v>2205</v>
      </c>
      <c r="Z8" s="3538"/>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73" t="s">
        <v>2208</v>
      </c>
      <c r="Q9" s="160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73"/>
      <c r="Q10" s="1605" t="str">
        <f t="shared" si="6"/>
        <v>土地使用年限（年）</v>
      </c>
      <c r="R10" s="1651" t="s">
        <v>25</v>
      </c>
      <c r="S10" s="1652">
        <f t="shared" si="0"/>
        <v>100</v>
      </c>
      <c r="T10" s="1651" t="s">
        <v>25</v>
      </c>
      <c r="U10" s="1652">
        <f t="shared" si="1"/>
        <v>100</v>
      </c>
      <c r="V10" s="1651" t="s">
        <v>25</v>
      </c>
      <c r="W10" s="1652">
        <f t="shared" si="2"/>
        <v>100</v>
      </c>
      <c r="X10" s="1653"/>
      <c r="Y10" s="345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73"/>
      <c r="Q11" s="1605" t="str">
        <f t="shared" si="6"/>
        <v>容积率</v>
      </c>
      <c r="R11" s="1651" t="s">
        <v>28</v>
      </c>
      <c r="S11" s="1652" t="e">
        <f t="shared" si="0"/>
        <v>#N/A</v>
      </c>
      <c r="T11" s="1651" t="s">
        <v>28</v>
      </c>
      <c r="U11" s="1652" t="e">
        <f t="shared" si="1"/>
        <v>#N/A</v>
      </c>
      <c r="V11" s="1651" t="s">
        <v>28</v>
      </c>
      <c r="W11" s="1652" t="e">
        <f t="shared" si="2"/>
        <v>#N/A</v>
      </c>
      <c r="X11" s="1653"/>
      <c r="Y11" s="345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73"/>
      <c r="Q12" s="1605">
        <f t="shared" si="6"/>
        <v>111</v>
      </c>
      <c r="R12" s="1651" t="s">
        <v>28</v>
      </c>
      <c r="S12" s="1652">
        <f t="shared" si="0"/>
        <v>100</v>
      </c>
      <c r="T12" s="1651" t="s">
        <v>28</v>
      </c>
      <c r="U12" s="1652">
        <f t="shared" si="1"/>
        <v>100</v>
      </c>
      <c r="V12" s="1651" t="s">
        <v>28</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73"/>
      <c r="Q13" s="1605">
        <f t="shared" si="6"/>
        <v>111</v>
      </c>
      <c r="R13" s="1651" t="s">
        <v>28</v>
      </c>
      <c r="S13" s="1652">
        <f t="shared" si="0"/>
        <v>100</v>
      </c>
      <c r="T13" s="1651" t="s">
        <v>28</v>
      </c>
      <c r="U13" s="1652">
        <f t="shared" si="1"/>
        <v>100</v>
      </c>
      <c r="V13" s="1651" t="s">
        <v>28</v>
      </c>
      <c r="W13" s="1652">
        <f t="shared" si="2"/>
        <v>100</v>
      </c>
      <c r="X13" s="1653"/>
      <c r="Y13" s="345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73"/>
      <c r="Q14" s="1605">
        <f t="shared" si="6"/>
        <v>111</v>
      </c>
      <c r="R14" s="1651" t="s">
        <v>28</v>
      </c>
      <c r="S14" s="1652">
        <f t="shared" si="0"/>
        <v>100</v>
      </c>
      <c r="T14" s="1651" t="s">
        <v>28</v>
      </c>
      <c r="U14" s="1652">
        <f t="shared" si="1"/>
        <v>100</v>
      </c>
      <c r="V14" s="1651" t="s">
        <v>28</v>
      </c>
      <c r="W14" s="1652">
        <f t="shared" si="2"/>
        <v>100</v>
      </c>
      <c r="X14" s="1653"/>
      <c r="Y14" s="3452"/>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46" t="s">
        <v>2213</v>
      </c>
      <c r="Q15" s="1586" t="str">
        <f t="shared" si="6"/>
        <v>居住社区成熟度</v>
      </c>
      <c r="R15" s="1696" t="s">
        <v>28</v>
      </c>
      <c r="S15" s="1697">
        <f t="shared" si="0"/>
        <v>100</v>
      </c>
      <c r="T15" s="1696" t="s">
        <v>28</v>
      </c>
      <c r="U15" s="1697">
        <f t="shared" si="1"/>
        <v>100</v>
      </c>
      <c r="V15" s="1696" t="s">
        <v>28</v>
      </c>
      <c r="W15" s="1697">
        <f t="shared" si="2"/>
        <v>100</v>
      </c>
      <c r="X15" s="1636"/>
      <c r="Y15" s="3548"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47"/>
      <c r="Q16" s="1586"/>
      <c r="R16" s="1696"/>
      <c r="S16" s="1697"/>
      <c r="T16" s="1696"/>
      <c r="U16" s="1697"/>
      <c r="V16" s="1696"/>
      <c r="W16" s="1697"/>
      <c r="X16" s="1636"/>
      <c r="Y16" s="3549"/>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47"/>
      <c r="Q17" s="1586" t="str">
        <f>B17</f>
        <v>交通便捷度</v>
      </c>
      <c r="R17" s="1696" t="s">
        <v>28</v>
      </c>
      <c r="S17" s="1697">
        <f>F17</f>
        <v>100</v>
      </c>
      <c r="T17" s="1696" t="s">
        <v>28</v>
      </c>
      <c r="U17" s="1697">
        <f>H17</f>
        <v>100</v>
      </c>
      <c r="V17" s="1696" t="s">
        <v>28</v>
      </c>
      <c r="W17" s="1697">
        <f>J17</f>
        <v>100</v>
      </c>
      <c r="X17" s="1636"/>
      <c r="Y17" s="354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47"/>
      <c r="Q18" s="1586"/>
      <c r="R18" s="1696"/>
      <c r="S18" s="1697"/>
      <c r="T18" s="1696"/>
      <c r="U18" s="1697"/>
      <c r="V18" s="1696"/>
      <c r="W18" s="1697"/>
      <c r="X18" s="1636"/>
      <c r="Y18" s="3549"/>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47"/>
      <c r="Q19" s="1586" t="str">
        <f>B19</f>
        <v>公共配套设施</v>
      </c>
      <c r="R19" s="1696" t="s">
        <v>28</v>
      </c>
      <c r="S19" s="1697">
        <f>F19</f>
        <v>100</v>
      </c>
      <c r="T19" s="1696" t="s">
        <v>28</v>
      </c>
      <c r="U19" s="1697">
        <f>H19</f>
        <v>100</v>
      </c>
      <c r="V19" s="1696" t="s">
        <v>28</v>
      </c>
      <c r="W19" s="1697">
        <f>J19</f>
        <v>100</v>
      </c>
      <c r="X19" s="1636"/>
      <c r="Y19" s="354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47"/>
      <c r="Q20" s="1586"/>
      <c r="R20" s="1696"/>
      <c r="S20" s="1697"/>
      <c r="T20" s="1696"/>
      <c r="U20" s="1697"/>
      <c r="V20" s="1696"/>
      <c r="W20" s="1697"/>
      <c r="X20" s="1636"/>
      <c r="Y20" s="3549"/>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47"/>
      <c r="Q21" s="1586" t="str">
        <f>B21</f>
        <v>基础设施水平</v>
      </c>
      <c r="R21" s="1696" t="s">
        <v>28</v>
      </c>
      <c r="S21" s="1697">
        <f>F21</f>
        <v>100</v>
      </c>
      <c r="T21" s="1696" t="s">
        <v>28</v>
      </c>
      <c r="U21" s="1697">
        <f>H21</f>
        <v>100</v>
      </c>
      <c r="V21" s="1696" t="s">
        <v>28</v>
      </c>
      <c r="W21" s="1697">
        <f>J21</f>
        <v>100</v>
      </c>
      <c r="X21" s="1636"/>
      <c r="Y21" s="354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47"/>
      <c r="Q22" s="1586"/>
      <c r="R22" s="1696"/>
      <c r="S22" s="1697"/>
      <c r="T22" s="1696"/>
      <c r="U22" s="1697"/>
      <c r="V22" s="1696"/>
      <c r="W22" s="1697"/>
      <c r="X22" s="1636"/>
      <c r="Y22" s="3549"/>
      <c r="Z22" s="1698"/>
      <c r="AA22" s="1699">
        <v>1</v>
      </c>
      <c r="AB22" s="1699">
        <v>1</v>
      </c>
      <c r="AC22" s="1699">
        <v>1</v>
      </c>
    </row>
    <row r="23" spans="1:29" ht="15">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47"/>
      <c r="Q23" s="1586" t="str">
        <f>B23</f>
        <v>自然及人文环境</v>
      </c>
      <c r="R23" s="1696" t="s">
        <v>28</v>
      </c>
      <c r="S23" s="1697">
        <f>F23</f>
        <v>100</v>
      </c>
      <c r="T23" s="1696" t="s">
        <v>28</v>
      </c>
      <c r="U23" s="1697">
        <f>H23</f>
        <v>100</v>
      </c>
      <c r="V23" s="1696" t="s">
        <v>28</v>
      </c>
      <c r="W23" s="1697">
        <f>J23</f>
        <v>100</v>
      </c>
      <c r="X23" s="1636"/>
      <c r="Y23" s="354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47"/>
      <c r="Q24" s="1586"/>
      <c r="R24" s="1696"/>
      <c r="S24" s="1697"/>
      <c r="T24" s="1696"/>
      <c r="U24" s="1697"/>
      <c r="V24" s="1696"/>
      <c r="W24" s="1697"/>
      <c r="X24" s="1636"/>
      <c r="Y24" s="3549"/>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47"/>
      <c r="Q25" s="1586" t="str">
        <f t="shared" ref="Q25:Q46" si="11">B25</f>
        <v>楼层-1</v>
      </c>
      <c r="R25" s="1696" t="s">
        <v>28</v>
      </c>
      <c r="S25" s="1697">
        <f>F25</f>
        <v>100</v>
      </c>
      <c r="T25" s="1696" t="s">
        <v>28</v>
      </c>
      <c r="U25" s="1697">
        <f>H25</f>
        <v>100</v>
      </c>
      <c r="V25" s="1696" t="s">
        <v>28</v>
      </c>
      <c r="W25" s="1697">
        <f>J25</f>
        <v>100</v>
      </c>
      <c r="X25" s="1636"/>
      <c r="Y25" s="3549"/>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47"/>
      <c r="Q26" s="1586" t="str">
        <f t="shared" si="11"/>
        <v>朝向</v>
      </c>
      <c r="R26" s="1696" t="s">
        <v>28</v>
      </c>
      <c r="S26" s="1697">
        <f>F26</f>
        <v>100</v>
      </c>
      <c r="T26" s="1696" t="s">
        <v>28</v>
      </c>
      <c r="U26" s="1697">
        <f>H26</f>
        <v>100</v>
      </c>
      <c r="V26" s="1696" t="s">
        <v>28</v>
      </c>
      <c r="W26" s="1697">
        <f>J26</f>
        <v>100</v>
      </c>
      <c r="X26" s="1636"/>
      <c r="Y26" s="3549"/>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47"/>
      <c r="Q27" s="1605" t="str">
        <f t="shared" si="11"/>
        <v>道路级别</v>
      </c>
      <c r="R27" s="1651" t="s">
        <v>28</v>
      </c>
      <c r="S27" s="1652">
        <f>F27</f>
        <v>100</v>
      </c>
      <c r="T27" s="1651" t="s">
        <v>28</v>
      </c>
      <c r="U27" s="1652">
        <f>H27</f>
        <v>100</v>
      </c>
      <c r="V27" s="1651" t="s">
        <v>28</v>
      </c>
      <c r="W27" s="1652">
        <f>J27</f>
        <v>100</v>
      </c>
      <c r="X27" s="1653"/>
      <c r="Y27" s="354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47"/>
      <c r="Q28" s="1586">
        <f t="shared" si="11"/>
        <v>111</v>
      </c>
      <c r="R28" s="1696" t="s">
        <v>28</v>
      </c>
      <c r="S28" s="1697">
        <f t="shared" ref="S28:S46" si="12">F28</f>
        <v>100</v>
      </c>
      <c r="T28" s="1696" t="s">
        <v>28</v>
      </c>
      <c r="U28" s="1697">
        <f t="shared" ref="U28:U46" si="13">H28</f>
        <v>100</v>
      </c>
      <c r="V28" s="1696" t="s">
        <v>28</v>
      </c>
      <c r="W28" s="1697">
        <f t="shared" ref="W28:W46" si="14">J28</f>
        <v>100</v>
      </c>
      <c r="X28" s="1636"/>
      <c r="Y28" s="354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47"/>
      <c r="Q29" s="1586">
        <f t="shared" si="11"/>
        <v>111</v>
      </c>
      <c r="R29" s="1696" t="s">
        <v>28</v>
      </c>
      <c r="S29" s="1697">
        <f t="shared" si="12"/>
        <v>100</v>
      </c>
      <c r="T29" s="1696" t="s">
        <v>28</v>
      </c>
      <c r="U29" s="1697">
        <f t="shared" si="13"/>
        <v>100</v>
      </c>
      <c r="V29" s="1696" t="s">
        <v>28</v>
      </c>
      <c r="W29" s="1697">
        <f t="shared" si="14"/>
        <v>100</v>
      </c>
      <c r="X29" s="1636"/>
      <c r="Y29" s="354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47"/>
      <c r="Q30" s="1586">
        <f t="shared" si="11"/>
        <v>111</v>
      </c>
      <c r="R30" s="1696" t="s">
        <v>28</v>
      </c>
      <c r="S30" s="1697">
        <f t="shared" si="12"/>
        <v>100</v>
      </c>
      <c r="T30" s="1696" t="s">
        <v>28</v>
      </c>
      <c r="U30" s="1697">
        <f t="shared" si="13"/>
        <v>100</v>
      </c>
      <c r="V30" s="1696" t="s">
        <v>28</v>
      </c>
      <c r="W30" s="1697">
        <f t="shared" si="14"/>
        <v>100</v>
      </c>
      <c r="X30" s="1636"/>
      <c r="Y30" s="354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47"/>
      <c r="Q31" s="1586">
        <f t="shared" si="11"/>
        <v>111</v>
      </c>
      <c r="R31" s="1696" t="s">
        <v>28</v>
      </c>
      <c r="S31" s="1697">
        <f t="shared" si="12"/>
        <v>100</v>
      </c>
      <c r="T31" s="1696" t="s">
        <v>28</v>
      </c>
      <c r="U31" s="1697">
        <f t="shared" si="13"/>
        <v>100</v>
      </c>
      <c r="V31" s="1696" t="s">
        <v>28</v>
      </c>
      <c r="W31" s="1697">
        <f t="shared" si="14"/>
        <v>100</v>
      </c>
      <c r="X31" s="1636"/>
      <c r="Y31" s="3549"/>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32" t="s">
        <v>2219</v>
      </c>
      <c r="Q32" s="1586" t="str">
        <f t="shared" si="11"/>
        <v>建筑类型</v>
      </c>
      <c r="R32" s="1696" t="s">
        <v>28</v>
      </c>
      <c r="S32" s="1697">
        <f t="shared" si="12"/>
        <v>100</v>
      </c>
      <c r="T32" s="1696" t="s">
        <v>28</v>
      </c>
      <c r="U32" s="1697">
        <f t="shared" si="13"/>
        <v>100</v>
      </c>
      <c r="V32" s="1696" t="s">
        <v>28</v>
      </c>
      <c r="W32" s="1697">
        <f t="shared" si="14"/>
        <v>100</v>
      </c>
      <c r="X32" s="1636"/>
      <c r="Y32" s="3535"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33"/>
      <c r="Q33" s="1737" t="str">
        <f t="shared" si="11"/>
        <v>项目建筑规模</v>
      </c>
      <c r="R33" s="1738" t="s">
        <v>28</v>
      </c>
      <c r="S33" s="1739" t="e">
        <f t="shared" si="12"/>
        <v>#N/A</v>
      </c>
      <c r="T33" s="1738" t="s">
        <v>28</v>
      </c>
      <c r="U33" s="1739" t="e">
        <f t="shared" si="13"/>
        <v>#N/A</v>
      </c>
      <c r="V33" s="1738" t="s">
        <v>28</v>
      </c>
      <c r="W33" s="1739" t="e">
        <f t="shared" si="14"/>
        <v>#N/A</v>
      </c>
      <c r="X33" s="1740"/>
      <c r="Y33" s="3535"/>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33"/>
      <c r="Q34" s="1586" t="str">
        <f t="shared" si="11"/>
        <v>建筑结构</v>
      </c>
      <c r="R34" s="1696" t="s">
        <v>28</v>
      </c>
      <c r="S34" s="1697">
        <f t="shared" si="12"/>
        <v>100</v>
      </c>
      <c r="T34" s="1696" t="s">
        <v>28</v>
      </c>
      <c r="U34" s="1697">
        <f t="shared" si="13"/>
        <v>100</v>
      </c>
      <c r="V34" s="1696" t="s">
        <v>28</v>
      </c>
      <c r="W34" s="1697">
        <f t="shared" si="14"/>
        <v>100</v>
      </c>
      <c r="X34" s="1636"/>
      <c r="Y34" s="3535"/>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33"/>
      <c r="Q35" s="1586" t="str">
        <f t="shared" si="11"/>
        <v>建筑品质</v>
      </c>
      <c r="R35" s="1696" t="s">
        <v>28</v>
      </c>
      <c r="S35" s="1697">
        <f t="shared" si="12"/>
        <v>100</v>
      </c>
      <c r="T35" s="1696" t="s">
        <v>28</v>
      </c>
      <c r="U35" s="1697">
        <f t="shared" si="13"/>
        <v>100</v>
      </c>
      <c r="V35" s="1696" t="s">
        <v>28</v>
      </c>
      <c r="W35" s="1697">
        <f t="shared" si="14"/>
        <v>100</v>
      </c>
      <c r="X35" s="1636"/>
      <c r="Y35" s="3535"/>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33"/>
      <c r="Q36" s="1586" t="str">
        <f t="shared" si="11"/>
        <v>公共部分装修</v>
      </c>
      <c r="R36" s="1696" t="s">
        <v>28</v>
      </c>
      <c r="S36" s="1697">
        <f t="shared" si="12"/>
        <v>100</v>
      </c>
      <c r="T36" s="1696" t="s">
        <v>28</v>
      </c>
      <c r="U36" s="1697">
        <f t="shared" si="13"/>
        <v>100</v>
      </c>
      <c r="V36" s="1696" t="s">
        <v>28</v>
      </c>
      <c r="W36" s="1697">
        <f t="shared" si="14"/>
        <v>100</v>
      </c>
      <c r="X36" s="1636"/>
      <c r="Y36" s="3535"/>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33"/>
      <c r="Q37" s="1605" t="str">
        <f t="shared" si="11"/>
        <v>成新度</v>
      </c>
      <c r="R37" s="1651" t="s">
        <v>28</v>
      </c>
      <c r="S37" s="1652" t="e">
        <f t="shared" si="12"/>
        <v>#N/A</v>
      </c>
      <c r="T37" s="1651" t="s">
        <v>28</v>
      </c>
      <c r="U37" s="1652" t="e">
        <f t="shared" si="13"/>
        <v>#N/A</v>
      </c>
      <c r="V37" s="1651" t="s">
        <v>28</v>
      </c>
      <c r="W37" s="1652" t="e">
        <f t="shared" si="14"/>
        <v>#N/A</v>
      </c>
      <c r="X37" s="1653"/>
      <c r="Y37" s="3535"/>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33" t="s">
        <v>2219</v>
      </c>
      <c r="Q38" s="1586" t="str">
        <f t="shared" si="11"/>
        <v>物业管理</v>
      </c>
      <c r="R38" s="1696" t="s">
        <v>28</v>
      </c>
      <c r="S38" s="1697">
        <f t="shared" si="12"/>
        <v>100</v>
      </c>
      <c r="T38" s="1696" t="s">
        <v>28</v>
      </c>
      <c r="U38" s="1697">
        <f t="shared" si="13"/>
        <v>100</v>
      </c>
      <c r="V38" s="1696" t="s">
        <v>28</v>
      </c>
      <c r="W38" s="1697">
        <f t="shared" si="14"/>
        <v>100</v>
      </c>
      <c r="X38" s="1636"/>
      <c r="Y38" s="3535"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33"/>
      <c r="Q39" s="1586" t="str">
        <f t="shared" si="11"/>
        <v>市政基础设施</v>
      </c>
      <c r="R39" s="1696" t="s">
        <v>28</v>
      </c>
      <c r="S39" s="1697">
        <f t="shared" si="12"/>
        <v>100</v>
      </c>
      <c r="T39" s="1696" t="s">
        <v>28</v>
      </c>
      <c r="U39" s="1697">
        <f t="shared" si="13"/>
        <v>100</v>
      </c>
      <c r="V39" s="1696" t="s">
        <v>28</v>
      </c>
      <c r="W39" s="1697">
        <f t="shared" si="14"/>
        <v>100</v>
      </c>
      <c r="X39" s="1636"/>
      <c r="Y39" s="3535"/>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33"/>
      <c r="Q40" s="1586" t="str">
        <f t="shared" si="11"/>
        <v>房型</v>
      </c>
      <c r="R40" s="1696" t="s">
        <v>28</v>
      </c>
      <c r="S40" s="1697">
        <f t="shared" si="12"/>
        <v>100</v>
      </c>
      <c r="T40" s="1696" t="s">
        <v>28</v>
      </c>
      <c r="U40" s="1697">
        <f t="shared" si="13"/>
        <v>100</v>
      </c>
      <c r="V40" s="1696" t="s">
        <v>28</v>
      </c>
      <c r="W40" s="1697">
        <f t="shared" si="14"/>
        <v>100</v>
      </c>
      <c r="X40" s="1636"/>
      <c r="Y40" s="3535"/>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33"/>
      <c r="Q41" s="1737" t="str">
        <f t="shared" si="11"/>
        <v>单套/主力户型建筑面积</v>
      </c>
      <c r="R41" s="1738" t="s">
        <v>28</v>
      </c>
      <c r="S41" s="1739">
        <f t="shared" si="12"/>
        <v>100</v>
      </c>
      <c r="T41" s="1738" t="s">
        <v>28</v>
      </c>
      <c r="U41" s="1739">
        <f t="shared" si="13"/>
        <v>100</v>
      </c>
      <c r="V41" s="1738" t="s">
        <v>28</v>
      </c>
      <c r="W41" s="1739">
        <f t="shared" si="14"/>
        <v>100</v>
      </c>
      <c r="X41" s="1740"/>
      <c r="Y41" s="3535"/>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33"/>
      <c r="Q42" s="1586" t="str">
        <f t="shared" si="11"/>
        <v>内部装修</v>
      </c>
      <c r="R42" s="1696" t="s">
        <v>28</v>
      </c>
      <c r="S42" s="1697">
        <f t="shared" si="12"/>
        <v>100</v>
      </c>
      <c r="T42" s="1696" t="s">
        <v>28</v>
      </c>
      <c r="U42" s="1697">
        <f t="shared" si="13"/>
        <v>100</v>
      </c>
      <c r="V42" s="1696" t="s">
        <v>28</v>
      </c>
      <c r="W42" s="1697">
        <f t="shared" si="14"/>
        <v>100</v>
      </c>
      <c r="X42" s="1636"/>
      <c r="Y42" s="3535"/>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33"/>
      <c r="Q43" s="1586" t="str">
        <f t="shared" si="11"/>
        <v>内部装修维护情况</v>
      </c>
      <c r="R43" s="1696" t="s">
        <v>28</v>
      </c>
      <c r="S43" s="1697">
        <f t="shared" si="12"/>
        <v>100</v>
      </c>
      <c r="T43" s="1696" t="s">
        <v>28</v>
      </c>
      <c r="U43" s="1697">
        <f t="shared" si="13"/>
        <v>100</v>
      </c>
      <c r="V43" s="1696" t="s">
        <v>28</v>
      </c>
      <c r="W43" s="1697">
        <f t="shared" si="14"/>
        <v>100</v>
      </c>
      <c r="X43" s="1636"/>
      <c r="Y43" s="353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33"/>
      <c r="Q44" s="1605">
        <f t="shared" si="11"/>
        <v>111</v>
      </c>
      <c r="R44" s="1651" t="s">
        <v>28</v>
      </c>
      <c r="S44" s="1652">
        <f t="shared" si="12"/>
        <v>100</v>
      </c>
      <c r="T44" s="1651" t="s">
        <v>28</v>
      </c>
      <c r="U44" s="1652">
        <f t="shared" si="13"/>
        <v>100</v>
      </c>
      <c r="V44" s="1651" t="s">
        <v>28</v>
      </c>
      <c r="W44" s="1652">
        <f t="shared" si="14"/>
        <v>100</v>
      </c>
      <c r="X44" s="1653"/>
      <c r="Y44" s="353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33"/>
      <c r="Q45" s="1586">
        <f t="shared" si="11"/>
        <v>111</v>
      </c>
      <c r="R45" s="1696" t="s">
        <v>28</v>
      </c>
      <c r="S45" s="1697">
        <f t="shared" si="12"/>
        <v>100</v>
      </c>
      <c r="T45" s="1696" t="s">
        <v>28</v>
      </c>
      <c r="U45" s="1697">
        <f t="shared" si="13"/>
        <v>100</v>
      </c>
      <c r="V45" s="1696" t="s">
        <v>28</v>
      </c>
      <c r="W45" s="1697">
        <f t="shared" si="14"/>
        <v>100</v>
      </c>
      <c r="X45" s="1636"/>
      <c r="Y45" s="353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34"/>
      <c r="Q46" s="1586">
        <f t="shared" si="11"/>
        <v>111</v>
      </c>
      <c r="R46" s="1696" t="s">
        <v>27</v>
      </c>
      <c r="S46" s="1697">
        <f t="shared" si="12"/>
        <v>100</v>
      </c>
      <c r="T46" s="1696" t="s">
        <v>27</v>
      </c>
      <c r="U46" s="1697">
        <f t="shared" si="13"/>
        <v>100</v>
      </c>
      <c r="V46" s="1696" t="s">
        <v>27</v>
      </c>
      <c r="W46" s="1697">
        <f t="shared" si="14"/>
        <v>100</v>
      </c>
      <c r="X46" s="1636"/>
      <c r="Y46" s="3536"/>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27" t="str">
        <f>A47</f>
        <v>成交单价（元/平方米）</v>
      </c>
      <c r="Q47" s="3527"/>
      <c r="R47" s="3528">
        <f>E47</f>
        <v>0</v>
      </c>
      <c r="S47" s="3528"/>
      <c r="T47" s="3528">
        <f>G47</f>
        <v>0</v>
      </c>
      <c r="U47" s="3528"/>
      <c r="V47" s="3528">
        <f>I47</f>
        <v>0</v>
      </c>
      <c r="W47" s="3528"/>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27" t="str">
        <f>A48</f>
        <v>比较价值（元/平方米）</v>
      </c>
      <c r="Q48" s="3527"/>
      <c r="R48" s="3528" t="e">
        <f>IF(E1="售价",ROUND(PRODUCT(R47,AA7:AA46),0),ROUND(PRODUCT(R47,AA7:AA46),1))</f>
        <v>#DIV/0!</v>
      </c>
      <c r="S48" s="3528"/>
      <c r="T48" s="3658" t="e">
        <f>IF(E1="售价",ROUND(PRODUCT(T47,AB7:AB46),0),ROUND(PRODUCT(T47,AB7:AB46),1))</f>
        <v>#DIV/0!</v>
      </c>
      <c r="U48" s="3659"/>
      <c r="V48" s="3528" t="e">
        <f>IF(E1="售价",ROUND(PRODUCT(V47,AC7:AC46),0),ROUND(PRODUCT(V47,AC7:AC46),1))</f>
        <v>#DIV/0!</v>
      </c>
      <c r="W48" s="3528"/>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29" t="str">
        <f>A49</f>
        <v>估价对象XX用房的比较价值（楼面单价，元/平方米）</v>
      </c>
      <c r="Q49" s="3530"/>
      <c r="R49" s="3531" t="e">
        <f>IF(E1="售价",ROUND(IF(D48="简单平均",AVERAGE(R48:V48),R48*F48+T48*H48+V48*J48),0),ROUND(IF(D48="简单平均",AVERAGE(R48:V48),R48*F48+T48*H48+V48*J48),1))</f>
        <v>#DIV/0!</v>
      </c>
      <c r="S49" s="3531"/>
      <c r="T49" s="3531"/>
      <c r="U49" s="3531"/>
      <c r="V49" s="3531"/>
      <c r="W49" s="3531"/>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 type="list" allowBlank="1" showInputMessage="1" showErrorMessage="1" sqref="D48" xr:uid="{00000000-0002-0000-18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437.43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2045"/>
      <c r="Y4" s="3539" t="s">
        <v>2194</v>
      </c>
      <c r="Z4" s="3540"/>
      <c r="AA4" s="3550" t="s">
        <v>2190</v>
      </c>
      <c r="AB4" s="3550" t="s">
        <v>2191</v>
      </c>
      <c r="AC4" s="3550" t="s">
        <v>2192</v>
      </c>
    </row>
    <row r="5" spans="1:29" ht="15">
      <c r="A5" s="1638"/>
      <c r="B5" s="1639"/>
      <c r="C5" s="3566" t="s">
        <v>2195</v>
      </c>
      <c r="D5" s="3567"/>
      <c r="E5" s="3660" t="s">
        <v>2196</v>
      </c>
      <c r="F5" s="3565"/>
      <c r="G5" s="3566" t="s">
        <v>2197</v>
      </c>
      <c r="H5" s="3567"/>
      <c r="I5" s="3566" t="s">
        <v>2198</v>
      </c>
      <c r="J5" s="3567"/>
      <c r="K5" s="1936"/>
      <c r="L5" s="2967"/>
      <c r="M5" s="2968"/>
      <c r="N5" s="2968"/>
      <c r="O5" s="2968"/>
      <c r="P5" s="3559"/>
      <c r="Q5" s="3560"/>
      <c r="R5" s="3541"/>
      <c r="S5" s="3542"/>
      <c r="T5" s="3541"/>
      <c r="U5" s="3542"/>
      <c r="V5" s="3563"/>
      <c r="W5" s="3563"/>
      <c r="X5" s="2045"/>
      <c r="Y5" s="3541"/>
      <c r="Z5" s="3542"/>
      <c r="AA5" s="3551"/>
      <c r="AB5" s="3551"/>
      <c r="AC5" s="3551"/>
    </row>
    <row r="6" spans="1:29" ht="15.7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2045"/>
      <c r="Y6" s="3543"/>
      <c r="Z6" s="3544"/>
      <c r="AA6" s="3552"/>
      <c r="AB6" s="3552"/>
      <c r="AC6" s="3552"/>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37" t="s">
        <v>2202</v>
      </c>
      <c r="Q7" s="3545"/>
      <c r="R7" s="1651" t="s">
        <v>25</v>
      </c>
      <c r="S7" s="1652">
        <f t="shared" ref="S7:S15" si="0">F7</f>
        <v>0</v>
      </c>
      <c r="T7" s="1651" t="s">
        <v>25</v>
      </c>
      <c r="U7" s="1652">
        <f t="shared" ref="U7:U15" si="1">H7</f>
        <v>0</v>
      </c>
      <c r="V7" s="1651" t="s">
        <v>25</v>
      </c>
      <c r="W7" s="1652">
        <f t="shared" ref="W7:W15" si="2">J7</f>
        <v>0</v>
      </c>
      <c r="X7" s="1653"/>
      <c r="Y7" s="3537" t="s">
        <v>2202</v>
      </c>
      <c r="Z7" s="3538"/>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37" t="s">
        <v>2205</v>
      </c>
      <c r="Q8" s="3538"/>
      <c r="R8" s="1651" t="s">
        <v>25</v>
      </c>
      <c r="S8" s="1652">
        <f t="shared" si="0"/>
        <v>0</v>
      </c>
      <c r="T8" s="1651" t="s">
        <v>25</v>
      </c>
      <c r="U8" s="1652">
        <f t="shared" si="1"/>
        <v>0</v>
      </c>
      <c r="V8" s="1651" t="s">
        <v>25</v>
      </c>
      <c r="W8" s="1652">
        <f t="shared" si="2"/>
        <v>0</v>
      </c>
      <c r="X8" s="1653"/>
      <c r="Y8" s="3537" t="s">
        <v>2205</v>
      </c>
      <c r="Z8" s="3538"/>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27" t="s">
        <v>2208</v>
      </c>
      <c r="Q9" s="288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27"/>
      <c r="Q10" s="2885" t="str">
        <f t="shared" si="6"/>
        <v>土地使用年限（年）</v>
      </c>
      <c r="R10" s="1651" t="s">
        <v>25</v>
      </c>
      <c r="S10" s="1652">
        <f t="shared" si="0"/>
        <v>100</v>
      </c>
      <c r="T10" s="1651" t="s">
        <v>25</v>
      </c>
      <c r="U10" s="1652">
        <f t="shared" si="1"/>
        <v>100</v>
      </c>
      <c r="V10" s="1651" t="s">
        <v>25</v>
      </c>
      <c r="W10" s="1652">
        <f t="shared" si="2"/>
        <v>100</v>
      </c>
      <c r="X10" s="1653"/>
      <c r="Y10" s="3452"/>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27"/>
      <c r="Q11" s="2885" t="str">
        <f t="shared" si="6"/>
        <v>容积率</v>
      </c>
      <c r="R11" s="1651" t="s">
        <v>25</v>
      </c>
      <c r="S11" s="1652" t="e">
        <f t="shared" si="0"/>
        <v>#N/A</v>
      </c>
      <c r="T11" s="1651" t="s">
        <v>25</v>
      </c>
      <c r="U11" s="1652" t="e">
        <f t="shared" si="1"/>
        <v>#N/A</v>
      </c>
      <c r="V11" s="1651" t="s">
        <v>25</v>
      </c>
      <c r="W11" s="1652" t="e">
        <f t="shared" si="2"/>
        <v>#N/A</v>
      </c>
      <c r="X11" s="1653"/>
      <c r="Y11" s="345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27"/>
      <c r="Q12" s="2885">
        <f t="shared" si="6"/>
        <v>111</v>
      </c>
      <c r="R12" s="1651" t="s">
        <v>25</v>
      </c>
      <c r="S12" s="1652">
        <f t="shared" si="0"/>
        <v>100</v>
      </c>
      <c r="T12" s="1651" t="s">
        <v>25</v>
      </c>
      <c r="U12" s="1652">
        <f t="shared" si="1"/>
        <v>100</v>
      </c>
      <c r="V12" s="1651" t="s">
        <v>25</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27"/>
      <c r="Q13" s="2885">
        <f t="shared" si="6"/>
        <v>111</v>
      </c>
      <c r="R13" s="1651" t="s">
        <v>25</v>
      </c>
      <c r="S13" s="1652">
        <f t="shared" si="0"/>
        <v>100</v>
      </c>
      <c r="T13" s="1651" t="s">
        <v>25</v>
      </c>
      <c r="U13" s="1652">
        <f t="shared" si="1"/>
        <v>100</v>
      </c>
      <c r="V13" s="1651" t="s">
        <v>25</v>
      </c>
      <c r="W13" s="1652">
        <f t="shared" si="2"/>
        <v>100</v>
      </c>
      <c r="X13" s="1653"/>
      <c r="Y13" s="345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27"/>
      <c r="Q14" s="2885">
        <f t="shared" si="6"/>
        <v>111</v>
      </c>
      <c r="R14" s="1651" t="s">
        <v>25</v>
      </c>
      <c r="S14" s="1652">
        <f t="shared" si="0"/>
        <v>100</v>
      </c>
      <c r="T14" s="1651" t="s">
        <v>25</v>
      </c>
      <c r="U14" s="1652">
        <f t="shared" si="1"/>
        <v>100</v>
      </c>
      <c r="V14" s="1651" t="s">
        <v>25</v>
      </c>
      <c r="W14" s="1652">
        <f t="shared" si="2"/>
        <v>100</v>
      </c>
      <c r="X14" s="1653"/>
      <c r="Y14" s="3452"/>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48" t="s">
        <v>2213</v>
      </c>
      <c r="Q15" s="2886" t="str">
        <f t="shared" si="6"/>
        <v>办公集聚程度</v>
      </c>
      <c r="R15" s="1696" t="s">
        <v>25</v>
      </c>
      <c r="S15" s="1697">
        <f t="shared" si="0"/>
        <v>100</v>
      </c>
      <c r="T15" s="1696" t="s">
        <v>25</v>
      </c>
      <c r="U15" s="1697">
        <f t="shared" si="1"/>
        <v>100</v>
      </c>
      <c r="V15" s="1696" t="s">
        <v>25</v>
      </c>
      <c r="W15" s="1697">
        <f t="shared" si="2"/>
        <v>100</v>
      </c>
      <c r="X15" s="2045"/>
      <c r="Y15" s="3548"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49"/>
      <c r="Q16" s="2886"/>
      <c r="R16" s="1696"/>
      <c r="S16" s="1697"/>
      <c r="T16" s="1696"/>
      <c r="U16" s="1697"/>
      <c r="V16" s="1696"/>
      <c r="W16" s="1697"/>
      <c r="X16" s="2045"/>
      <c r="Y16" s="3549"/>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49"/>
      <c r="Q17" s="2886" t="str">
        <f>B17</f>
        <v>交通便捷度</v>
      </c>
      <c r="R17" s="1696" t="s">
        <v>25</v>
      </c>
      <c r="S17" s="1697">
        <f>F17</f>
        <v>100</v>
      </c>
      <c r="T17" s="1696" t="s">
        <v>25</v>
      </c>
      <c r="U17" s="1697">
        <f>H17</f>
        <v>100</v>
      </c>
      <c r="V17" s="1696" t="s">
        <v>25</v>
      </c>
      <c r="W17" s="1697">
        <f>J17</f>
        <v>100</v>
      </c>
      <c r="X17" s="2045"/>
      <c r="Y17" s="354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49"/>
      <c r="Q18" s="2886"/>
      <c r="R18" s="1696"/>
      <c r="S18" s="1697"/>
      <c r="T18" s="1696"/>
      <c r="U18" s="1697"/>
      <c r="V18" s="1696"/>
      <c r="W18" s="1697"/>
      <c r="X18" s="2045"/>
      <c r="Y18" s="3549"/>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49"/>
      <c r="Q19" s="2886" t="str">
        <f>B19</f>
        <v>公共配套设施</v>
      </c>
      <c r="R19" s="1696" t="s">
        <v>25</v>
      </c>
      <c r="S19" s="1697">
        <f>F19</f>
        <v>100</v>
      </c>
      <c r="T19" s="1696" t="s">
        <v>25</v>
      </c>
      <c r="U19" s="1697">
        <f>H19</f>
        <v>100</v>
      </c>
      <c r="V19" s="1696" t="s">
        <v>25</v>
      </c>
      <c r="W19" s="1697">
        <f>J19</f>
        <v>100</v>
      </c>
      <c r="X19" s="2045"/>
      <c r="Y19" s="354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49"/>
      <c r="Q20" s="2886"/>
      <c r="R20" s="1696"/>
      <c r="S20" s="1697"/>
      <c r="T20" s="1696"/>
      <c r="U20" s="1697"/>
      <c r="V20" s="1696"/>
      <c r="W20" s="1697"/>
      <c r="X20" s="2045"/>
      <c r="Y20" s="3549"/>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49"/>
      <c r="Q21" s="2886" t="str">
        <f>B21</f>
        <v>基础设施水平</v>
      </c>
      <c r="R21" s="1696" t="s">
        <v>25</v>
      </c>
      <c r="S21" s="1697">
        <f>F21</f>
        <v>100</v>
      </c>
      <c r="T21" s="1696" t="s">
        <v>25</v>
      </c>
      <c r="U21" s="1697">
        <f>H21</f>
        <v>100</v>
      </c>
      <c r="V21" s="1696" t="s">
        <v>25</v>
      </c>
      <c r="W21" s="1697">
        <f>J21</f>
        <v>100</v>
      </c>
      <c r="X21" s="2045"/>
      <c r="Y21" s="354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49"/>
      <c r="Q22" s="2886"/>
      <c r="R22" s="1696"/>
      <c r="S22" s="1697"/>
      <c r="T22" s="1696"/>
      <c r="U22" s="1697"/>
      <c r="V22" s="1696"/>
      <c r="W22" s="1697"/>
      <c r="X22" s="2045"/>
      <c r="Y22" s="3549"/>
      <c r="Z22" s="2049"/>
      <c r="AA22" s="2040">
        <v>1</v>
      </c>
      <c r="AB22" s="2040">
        <v>1</v>
      </c>
      <c r="AC22" s="2040">
        <v>1</v>
      </c>
    </row>
    <row r="23" spans="1:29" ht="15">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49"/>
      <c r="Q23" s="2886" t="str">
        <f>B23</f>
        <v>环境质量</v>
      </c>
      <c r="R23" s="1696" t="s">
        <v>25</v>
      </c>
      <c r="S23" s="1697">
        <f>F23</f>
        <v>100</v>
      </c>
      <c r="T23" s="1696" t="s">
        <v>25</v>
      </c>
      <c r="U23" s="1697">
        <f>H23</f>
        <v>100</v>
      </c>
      <c r="V23" s="1696" t="s">
        <v>25</v>
      </c>
      <c r="W23" s="1697">
        <f>J23</f>
        <v>100</v>
      </c>
      <c r="X23" s="2045"/>
      <c r="Y23" s="354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49"/>
      <c r="Q24" s="2886"/>
      <c r="R24" s="1696"/>
      <c r="S24" s="1697"/>
      <c r="T24" s="1696"/>
      <c r="U24" s="1697"/>
      <c r="V24" s="1696"/>
      <c r="W24" s="1697"/>
      <c r="X24" s="2045"/>
      <c r="Y24" s="3549"/>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49"/>
      <c r="Q25" s="2886" t="str">
        <f>B25</f>
        <v>毗邻道路的类型与等级</v>
      </c>
      <c r="R25" s="1696" t="s">
        <v>25</v>
      </c>
      <c r="S25" s="1697">
        <f>F25</f>
        <v>100</v>
      </c>
      <c r="T25" s="1696" t="s">
        <v>25</v>
      </c>
      <c r="U25" s="1697">
        <f>H25</f>
        <v>100</v>
      </c>
      <c r="V25" s="1696" t="s">
        <v>25</v>
      </c>
      <c r="W25" s="1697">
        <f>J25</f>
        <v>100</v>
      </c>
      <c r="X25" s="2045"/>
      <c r="Y25" s="354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49"/>
      <c r="Q26" s="2886"/>
      <c r="R26" s="1696"/>
      <c r="S26" s="1697"/>
      <c r="T26" s="1696"/>
      <c r="U26" s="1697"/>
      <c r="V26" s="1696"/>
      <c r="W26" s="1697"/>
      <c r="X26" s="2045"/>
      <c r="Y26" s="3549"/>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49"/>
      <c r="Q27" s="2886" t="str">
        <f t="shared" ref="Q27:Q47" si="11">B27</f>
        <v>楼层</v>
      </c>
      <c r="R27" s="1696" t="s">
        <v>25</v>
      </c>
      <c r="S27" s="1697">
        <f>F27</f>
        <v>100</v>
      </c>
      <c r="T27" s="1696" t="s">
        <v>25</v>
      </c>
      <c r="U27" s="1697">
        <f>H27</f>
        <v>100</v>
      </c>
      <c r="V27" s="1696" t="s">
        <v>25</v>
      </c>
      <c r="W27" s="1697">
        <f>J27</f>
        <v>100</v>
      </c>
      <c r="X27" s="2045"/>
      <c r="Y27" s="3549"/>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49"/>
      <c r="Q28" s="2885" t="str">
        <f t="shared" si="11"/>
        <v>朝向</v>
      </c>
      <c r="R28" s="1651" t="s">
        <v>25</v>
      </c>
      <c r="S28" s="1652">
        <f>F28</f>
        <v>100</v>
      </c>
      <c r="T28" s="1651" t="s">
        <v>25</v>
      </c>
      <c r="U28" s="1652">
        <f>H28</f>
        <v>100</v>
      </c>
      <c r="V28" s="1651" t="s">
        <v>25</v>
      </c>
      <c r="W28" s="1652">
        <f>J28</f>
        <v>100</v>
      </c>
      <c r="X28" s="1653"/>
      <c r="Y28" s="354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49"/>
      <c r="Q29" s="2886">
        <f t="shared" si="11"/>
        <v>111</v>
      </c>
      <c r="R29" s="1696" t="s">
        <v>25</v>
      </c>
      <c r="S29" s="1697">
        <f t="shared" ref="S29:S47" si="12">F29</f>
        <v>100</v>
      </c>
      <c r="T29" s="1696" t="s">
        <v>25</v>
      </c>
      <c r="U29" s="1697">
        <f t="shared" ref="U29:U47" si="13">H29</f>
        <v>100</v>
      </c>
      <c r="V29" s="1696" t="s">
        <v>25</v>
      </c>
      <c r="W29" s="1697">
        <f t="shared" ref="W29:W47" si="14">J29</f>
        <v>100</v>
      </c>
      <c r="X29" s="2045"/>
      <c r="Y29" s="354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49"/>
      <c r="Q30" s="2886">
        <f t="shared" si="11"/>
        <v>111</v>
      </c>
      <c r="R30" s="1696" t="s">
        <v>25</v>
      </c>
      <c r="S30" s="1697">
        <f t="shared" si="12"/>
        <v>100</v>
      </c>
      <c r="T30" s="1696" t="s">
        <v>25</v>
      </c>
      <c r="U30" s="1697">
        <f t="shared" si="13"/>
        <v>100</v>
      </c>
      <c r="V30" s="1696" t="s">
        <v>25</v>
      </c>
      <c r="W30" s="1697">
        <f t="shared" si="14"/>
        <v>100</v>
      </c>
      <c r="X30" s="2045"/>
      <c r="Y30" s="354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49"/>
      <c r="Q31" s="2886">
        <f t="shared" si="11"/>
        <v>111</v>
      </c>
      <c r="R31" s="1696" t="s">
        <v>25</v>
      </c>
      <c r="S31" s="1697">
        <f t="shared" si="12"/>
        <v>100</v>
      </c>
      <c r="T31" s="1696" t="s">
        <v>25</v>
      </c>
      <c r="U31" s="1697">
        <f t="shared" si="13"/>
        <v>100</v>
      </c>
      <c r="V31" s="1696" t="s">
        <v>25</v>
      </c>
      <c r="W31" s="1697">
        <f t="shared" si="14"/>
        <v>100</v>
      </c>
      <c r="X31" s="2045"/>
      <c r="Y31" s="354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49"/>
      <c r="Q32" s="2886">
        <f t="shared" si="11"/>
        <v>111</v>
      </c>
      <c r="R32" s="1696" t="s">
        <v>25</v>
      </c>
      <c r="S32" s="1697">
        <f t="shared" si="12"/>
        <v>100</v>
      </c>
      <c r="T32" s="1696" t="s">
        <v>25</v>
      </c>
      <c r="U32" s="1697">
        <f t="shared" si="13"/>
        <v>100</v>
      </c>
      <c r="V32" s="1696" t="s">
        <v>25</v>
      </c>
      <c r="W32" s="1697">
        <f t="shared" si="14"/>
        <v>100</v>
      </c>
      <c r="X32" s="2045"/>
      <c r="Y32" s="3549"/>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61" t="s">
        <v>2219</v>
      </c>
      <c r="Q33" s="2886" t="str">
        <f t="shared" si="11"/>
        <v>建筑类型</v>
      </c>
      <c r="R33" s="1696" t="s">
        <v>25</v>
      </c>
      <c r="S33" s="1697">
        <f t="shared" si="12"/>
        <v>100</v>
      </c>
      <c r="T33" s="1696" t="s">
        <v>25</v>
      </c>
      <c r="U33" s="1697">
        <f t="shared" si="13"/>
        <v>100</v>
      </c>
      <c r="V33" s="1696" t="s">
        <v>25</v>
      </c>
      <c r="W33" s="1697">
        <f t="shared" si="14"/>
        <v>100</v>
      </c>
      <c r="X33" s="2045"/>
      <c r="Y33" s="3535"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35"/>
      <c r="Q34" s="1737" t="str">
        <f t="shared" si="11"/>
        <v>项目建筑规模</v>
      </c>
      <c r="R34" s="1738" t="s">
        <v>25</v>
      </c>
      <c r="S34" s="1739" t="e">
        <f t="shared" si="12"/>
        <v>#N/A</v>
      </c>
      <c r="T34" s="1738" t="s">
        <v>25</v>
      </c>
      <c r="U34" s="1739" t="e">
        <f t="shared" si="13"/>
        <v>#N/A</v>
      </c>
      <c r="V34" s="1738" t="s">
        <v>25</v>
      </c>
      <c r="W34" s="1739" t="e">
        <f t="shared" si="14"/>
        <v>#N/A</v>
      </c>
      <c r="X34" s="1740"/>
      <c r="Y34" s="3535"/>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35"/>
      <c r="Q35" s="2886" t="str">
        <f t="shared" si="11"/>
        <v>建筑结构</v>
      </c>
      <c r="R35" s="1696" t="s">
        <v>25</v>
      </c>
      <c r="S35" s="1697">
        <f t="shared" si="12"/>
        <v>100</v>
      </c>
      <c r="T35" s="1696" t="s">
        <v>25</v>
      </c>
      <c r="U35" s="1697">
        <f t="shared" si="13"/>
        <v>100</v>
      </c>
      <c r="V35" s="1696" t="s">
        <v>25</v>
      </c>
      <c r="W35" s="1697">
        <f t="shared" si="14"/>
        <v>100</v>
      </c>
      <c r="X35" s="2045"/>
      <c r="Y35" s="3535"/>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35"/>
      <c r="Q36" s="2886" t="str">
        <f t="shared" si="11"/>
        <v>公共部分装修</v>
      </c>
      <c r="R36" s="1696" t="s">
        <v>25</v>
      </c>
      <c r="S36" s="1697">
        <f t="shared" si="12"/>
        <v>100</v>
      </c>
      <c r="T36" s="1696" t="s">
        <v>25</v>
      </c>
      <c r="U36" s="1697">
        <f t="shared" si="13"/>
        <v>100</v>
      </c>
      <c r="V36" s="1696" t="s">
        <v>25</v>
      </c>
      <c r="W36" s="1697">
        <f t="shared" si="14"/>
        <v>100</v>
      </c>
      <c r="X36" s="2045"/>
      <c r="Y36" s="3535"/>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35"/>
      <c r="Q37" s="2886" t="str">
        <f t="shared" si="11"/>
        <v>成新度</v>
      </c>
      <c r="R37" s="1696" t="s">
        <v>25</v>
      </c>
      <c r="S37" s="1697" t="e">
        <f t="shared" si="12"/>
        <v>#N/A</v>
      </c>
      <c r="T37" s="1696" t="s">
        <v>25</v>
      </c>
      <c r="U37" s="1697" t="e">
        <f t="shared" si="13"/>
        <v>#N/A</v>
      </c>
      <c r="V37" s="1696" t="s">
        <v>25</v>
      </c>
      <c r="W37" s="1697" t="e">
        <f t="shared" si="14"/>
        <v>#N/A</v>
      </c>
      <c r="X37" s="2045"/>
      <c r="Y37" s="3535"/>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35"/>
      <c r="Q38" s="2885" t="str">
        <f t="shared" si="11"/>
        <v>写字楼等级</v>
      </c>
      <c r="R38" s="1651" t="s">
        <v>25</v>
      </c>
      <c r="S38" s="1652">
        <f t="shared" si="12"/>
        <v>100</v>
      </c>
      <c r="T38" s="1651" t="s">
        <v>25</v>
      </c>
      <c r="U38" s="1652">
        <f t="shared" si="13"/>
        <v>100</v>
      </c>
      <c r="V38" s="1651" t="s">
        <v>25</v>
      </c>
      <c r="W38" s="1652">
        <f t="shared" si="14"/>
        <v>100</v>
      </c>
      <c r="X38" s="1653"/>
      <c r="Y38" s="3535"/>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35" t="s">
        <v>2219</v>
      </c>
      <c r="Q39" s="2886" t="str">
        <f t="shared" si="11"/>
        <v>物业管理</v>
      </c>
      <c r="R39" s="1696" t="s">
        <v>25</v>
      </c>
      <c r="S39" s="1697">
        <f t="shared" si="12"/>
        <v>100</v>
      </c>
      <c r="T39" s="1696" t="s">
        <v>25</v>
      </c>
      <c r="U39" s="1697">
        <f t="shared" si="13"/>
        <v>100</v>
      </c>
      <c r="V39" s="1696" t="s">
        <v>25</v>
      </c>
      <c r="W39" s="1697">
        <f t="shared" si="14"/>
        <v>100</v>
      </c>
      <c r="X39" s="2045"/>
      <c r="Y39" s="3535"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35"/>
      <c r="Q40" s="2886" t="str">
        <f t="shared" si="11"/>
        <v>市政基础设施</v>
      </c>
      <c r="R40" s="1696" t="s">
        <v>25</v>
      </c>
      <c r="S40" s="1697">
        <f t="shared" si="12"/>
        <v>100</v>
      </c>
      <c r="T40" s="1696" t="s">
        <v>25</v>
      </c>
      <c r="U40" s="1697">
        <f t="shared" si="13"/>
        <v>100</v>
      </c>
      <c r="V40" s="1696" t="s">
        <v>25</v>
      </c>
      <c r="W40" s="1697">
        <f t="shared" si="14"/>
        <v>100</v>
      </c>
      <c r="X40" s="2045"/>
      <c r="Y40" s="3535"/>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35"/>
      <c r="Q41" s="2886" t="str">
        <f t="shared" si="11"/>
        <v>层高</v>
      </c>
      <c r="R41" s="1696" t="s">
        <v>25</v>
      </c>
      <c r="S41" s="1697">
        <f t="shared" si="12"/>
        <v>100</v>
      </c>
      <c r="T41" s="1696" t="s">
        <v>25</v>
      </c>
      <c r="U41" s="1697">
        <f t="shared" si="13"/>
        <v>100</v>
      </c>
      <c r="V41" s="1696" t="s">
        <v>25</v>
      </c>
      <c r="W41" s="1697">
        <f t="shared" si="14"/>
        <v>100</v>
      </c>
      <c r="X41" s="2045"/>
      <c r="Y41" s="3535"/>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35"/>
      <c r="Q42" s="1737" t="str">
        <f t="shared" si="11"/>
        <v>单套建筑面积</v>
      </c>
      <c r="R42" s="1738" t="s">
        <v>25</v>
      </c>
      <c r="S42" s="1739">
        <f t="shared" si="12"/>
        <v>100</v>
      </c>
      <c r="T42" s="1738" t="s">
        <v>25</v>
      </c>
      <c r="U42" s="1739">
        <f t="shared" si="13"/>
        <v>100</v>
      </c>
      <c r="V42" s="1738" t="s">
        <v>25</v>
      </c>
      <c r="W42" s="1739">
        <f t="shared" si="14"/>
        <v>100</v>
      </c>
      <c r="X42" s="1740"/>
      <c r="Y42" s="3535"/>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35"/>
      <c r="Q43" s="2886" t="str">
        <f t="shared" si="11"/>
        <v>内部装修</v>
      </c>
      <c r="R43" s="1696" t="s">
        <v>25</v>
      </c>
      <c r="S43" s="1697">
        <f t="shared" si="12"/>
        <v>100</v>
      </c>
      <c r="T43" s="1696" t="s">
        <v>25</v>
      </c>
      <c r="U43" s="1697">
        <f t="shared" si="13"/>
        <v>100</v>
      </c>
      <c r="V43" s="1696" t="s">
        <v>25</v>
      </c>
      <c r="W43" s="1697">
        <f t="shared" si="14"/>
        <v>100</v>
      </c>
      <c r="X43" s="2045"/>
      <c r="Y43" s="3535"/>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35"/>
      <c r="Q44" s="2886" t="str">
        <f t="shared" si="11"/>
        <v>内部装修维护情况</v>
      </c>
      <c r="R44" s="1696" t="s">
        <v>25</v>
      </c>
      <c r="S44" s="1697">
        <f t="shared" si="12"/>
        <v>100</v>
      </c>
      <c r="T44" s="1696" t="s">
        <v>25</v>
      </c>
      <c r="U44" s="1697">
        <f t="shared" si="13"/>
        <v>100</v>
      </c>
      <c r="V44" s="1696" t="s">
        <v>25</v>
      </c>
      <c r="W44" s="1697">
        <f t="shared" si="14"/>
        <v>100</v>
      </c>
      <c r="X44" s="2045"/>
      <c r="Y44" s="353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35"/>
      <c r="Q45" s="2885">
        <f t="shared" si="11"/>
        <v>111</v>
      </c>
      <c r="R45" s="1651" t="s">
        <v>25</v>
      </c>
      <c r="S45" s="1652">
        <f t="shared" si="12"/>
        <v>100</v>
      </c>
      <c r="T45" s="1651" t="s">
        <v>25</v>
      </c>
      <c r="U45" s="1652">
        <f t="shared" si="13"/>
        <v>100</v>
      </c>
      <c r="V45" s="1651" t="s">
        <v>25</v>
      </c>
      <c r="W45" s="1652">
        <f t="shared" si="14"/>
        <v>100</v>
      </c>
      <c r="X45" s="1653"/>
      <c r="Y45" s="353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35"/>
      <c r="Q46" s="2886">
        <f t="shared" si="11"/>
        <v>111</v>
      </c>
      <c r="R46" s="1696" t="s">
        <v>25</v>
      </c>
      <c r="S46" s="1697">
        <f t="shared" si="12"/>
        <v>100</v>
      </c>
      <c r="T46" s="1696" t="s">
        <v>25</v>
      </c>
      <c r="U46" s="1697">
        <f t="shared" si="13"/>
        <v>100</v>
      </c>
      <c r="V46" s="1696" t="s">
        <v>25</v>
      </c>
      <c r="W46" s="1697">
        <f t="shared" si="14"/>
        <v>100</v>
      </c>
      <c r="X46" s="2045"/>
      <c r="Y46" s="3535"/>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36"/>
      <c r="Q47" s="2886">
        <f t="shared" si="11"/>
        <v>111</v>
      </c>
      <c r="R47" s="1696" t="s">
        <v>25</v>
      </c>
      <c r="S47" s="1697">
        <f t="shared" si="12"/>
        <v>100</v>
      </c>
      <c r="T47" s="1696" t="s">
        <v>25</v>
      </c>
      <c r="U47" s="1697">
        <f t="shared" si="13"/>
        <v>100</v>
      </c>
      <c r="V47" s="1696" t="s">
        <v>25</v>
      </c>
      <c r="W47" s="1697">
        <f t="shared" si="14"/>
        <v>100</v>
      </c>
      <c r="X47" s="2045"/>
      <c r="Y47" s="3536"/>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27" t="str">
        <f>A48</f>
        <v>成交单价（元/平方米）</v>
      </c>
      <c r="Q48" s="3527"/>
      <c r="R48" s="3528">
        <f>E48</f>
        <v>0</v>
      </c>
      <c r="S48" s="3528"/>
      <c r="T48" s="3528">
        <f>G48</f>
        <v>0</v>
      </c>
      <c r="U48" s="3528"/>
      <c r="V48" s="3528">
        <f>I48</f>
        <v>0</v>
      </c>
      <c r="W48" s="3528"/>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27" t="str">
        <f>A49</f>
        <v>比较价值（元/平方米）</v>
      </c>
      <c r="Q49" s="3527"/>
      <c r="R49" s="3528" t="e">
        <f>IF(E1="售价",ROUND(PRODUCT(R48,AA7:AA47),0),ROUND(PRODUCT(R48,AA7:AA47),1))</f>
        <v>#DIV/0!</v>
      </c>
      <c r="S49" s="3528"/>
      <c r="T49" s="3528" t="e">
        <f>IF(E1="售价",ROUND(PRODUCT(T48,AB7:AB47),0),ROUND(PRODUCT(T48,AB7:AB47),1))</f>
        <v>#DIV/0!</v>
      </c>
      <c r="U49" s="3528"/>
      <c r="V49" s="3528" t="e">
        <f>IF(E1="售价",ROUND(PRODUCT(V48,AC7:AC47),0),ROUND(PRODUCT(V48,AC7:AC47),1))</f>
        <v>#DIV/0!</v>
      </c>
      <c r="W49" s="3528"/>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29" t="str">
        <f>A50</f>
        <v>估价对象XX用房的比较价值（楼面单价，元/平方米）</v>
      </c>
      <c r="Q50" s="3530"/>
      <c r="R50" s="3531" t="e">
        <f>IF(E1="售价",ROUND(IF(D49="简单平均",AVERAGE(R49:V49),R49*F49+T49*H49+V49*J49),0),ROUND(IF(D49="简单平均",AVERAGE(R49:V49),R49*F49+T49*H49+V49*J49),1))</f>
        <v>#DIV/0!</v>
      </c>
      <c r="S50" s="3531"/>
      <c r="T50" s="3531"/>
      <c r="U50" s="3531"/>
      <c r="V50" s="3531"/>
      <c r="W50" s="3531"/>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70" t="s">
        <v>2202</v>
      </c>
      <c r="Q7" s="3678"/>
      <c r="R7" s="627" t="s">
        <v>25</v>
      </c>
      <c r="S7" s="628">
        <f t="shared" ref="S7:S15" si="0">F7</f>
        <v>0</v>
      </c>
      <c r="T7" s="627" t="s">
        <v>25</v>
      </c>
      <c r="U7" s="628">
        <f t="shared" ref="U7:U15" si="1">H7</f>
        <v>0</v>
      </c>
      <c r="V7" s="627" t="s">
        <v>25</v>
      </c>
      <c r="W7" s="628">
        <f t="shared" ref="W7:W15" si="2">J7</f>
        <v>0</v>
      </c>
      <c r="X7" s="629"/>
      <c r="Y7" s="3670" t="s">
        <v>2202</v>
      </c>
      <c r="Z7" s="3671"/>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2" t="s">
        <v>2208</v>
      </c>
      <c r="Q9" s="1297" t="str">
        <f t="shared" ref="Q9:Q15" si="6">B9</f>
        <v>用途</v>
      </c>
      <c r="R9" s="627" t="s">
        <v>25</v>
      </c>
      <c r="S9" s="628">
        <f t="shared" si="0"/>
        <v>100</v>
      </c>
      <c r="T9" s="627" t="s">
        <v>25</v>
      </c>
      <c r="U9" s="628">
        <f t="shared" si="1"/>
        <v>100</v>
      </c>
      <c r="V9" s="627" t="s">
        <v>25</v>
      </c>
      <c r="W9" s="628">
        <f t="shared" si="2"/>
        <v>100</v>
      </c>
      <c r="X9" s="629"/>
      <c r="Y9" s="3681"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79" t="s">
        <v>2213</v>
      </c>
      <c r="Q15" s="1304" t="str">
        <f t="shared" si="6"/>
        <v>产业集聚程度</v>
      </c>
      <c r="R15" s="631" t="s">
        <v>25</v>
      </c>
      <c r="S15" s="632">
        <f t="shared" si="0"/>
        <v>100</v>
      </c>
      <c r="T15" s="631" t="s">
        <v>25</v>
      </c>
      <c r="U15" s="632">
        <f t="shared" si="1"/>
        <v>100</v>
      </c>
      <c r="V15" s="631" t="s">
        <v>25</v>
      </c>
      <c r="W15" s="632">
        <f t="shared" si="2"/>
        <v>100</v>
      </c>
      <c r="X15" s="1305"/>
      <c r="Y15" s="367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80"/>
      <c r="Q16" s="1304"/>
      <c r="R16" s="631"/>
      <c r="S16" s="632"/>
      <c r="T16" s="631"/>
      <c r="U16" s="632"/>
      <c r="V16" s="631"/>
      <c r="W16" s="632"/>
      <c r="X16" s="1305"/>
      <c r="Y16" s="3680"/>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80"/>
      <c r="Q18" s="1304"/>
      <c r="R18" s="631"/>
      <c r="S18" s="632"/>
      <c r="T18" s="631"/>
      <c r="U18" s="632"/>
      <c r="V18" s="631"/>
      <c r="W18" s="632"/>
      <c r="X18" s="1305"/>
      <c r="Y18" s="3680"/>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80"/>
      <c r="Q19" s="1304" t="str">
        <f>B19</f>
        <v>公共配套设施</v>
      </c>
      <c r="R19" s="631" t="s">
        <v>25</v>
      </c>
      <c r="S19" s="632">
        <f>F19</f>
        <v>100</v>
      </c>
      <c r="T19" s="631" t="s">
        <v>25</v>
      </c>
      <c r="U19" s="632">
        <f>H19</f>
        <v>100</v>
      </c>
      <c r="V19" s="631" t="s">
        <v>25</v>
      </c>
      <c r="W19" s="632">
        <f>J19</f>
        <v>100</v>
      </c>
      <c r="X19" s="1305"/>
      <c r="Y19" s="368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80"/>
      <c r="Q20" s="1304"/>
      <c r="R20" s="631"/>
      <c r="S20" s="632"/>
      <c r="T20" s="631"/>
      <c r="U20" s="632"/>
      <c r="V20" s="631"/>
      <c r="W20" s="632"/>
      <c r="X20" s="1305"/>
      <c r="Y20" s="3680"/>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80"/>
      <c r="Q21" s="1304" t="str">
        <f>B21</f>
        <v>基础设施水平</v>
      </c>
      <c r="R21" s="631" t="s">
        <v>25</v>
      </c>
      <c r="S21" s="632">
        <f>F21</f>
        <v>100</v>
      </c>
      <c r="T21" s="631" t="s">
        <v>25</v>
      </c>
      <c r="U21" s="632">
        <f>H21</f>
        <v>100</v>
      </c>
      <c r="V21" s="631" t="s">
        <v>25</v>
      </c>
      <c r="W21" s="632">
        <f>J21</f>
        <v>100</v>
      </c>
      <c r="X21" s="1305"/>
      <c r="Y21" s="368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80"/>
      <c r="Q22" s="1304"/>
      <c r="R22" s="631"/>
      <c r="S22" s="632"/>
      <c r="T22" s="631"/>
      <c r="U22" s="632"/>
      <c r="V22" s="631"/>
      <c r="W22" s="632"/>
      <c r="X22" s="1305"/>
      <c r="Y22" s="3680"/>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80"/>
      <c r="Q23" s="1304" t="str">
        <f>B23</f>
        <v>环境质量</v>
      </c>
      <c r="R23" s="631" t="s">
        <v>25</v>
      </c>
      <c r="S23" s="632">
        <f>F23</f>
        <v>100</v>
      </c>
      <c r="T23" s="631" t="s">
        <v>25</v>
      </c>
      <c r="U23" s="632">
        <f>H23</f>
        <v>100</v>
      </c>
      <c r="V23" s="631" t="s">
        <v>25</v>
      </c>
      <c r="W23" s="632">
        <f>J23</f>
        <v>100</v>
      </c>
      <c r="X23" s="1305"/>
      <c r="Y23" s="368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80"/>
      <c r="Q24" s="1304"/>
      <c r="R24" s="631"/>
      <c r="S24" s="632"/>
      <c r="T24" s="631"/>
      <c r="U24" s="632"/>
      <c r="V24" s="631"/>
      <c r="W24" s="632"/>
      <c r="X24" s="1305"/>
      <c r="Y24" s="368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80"/>
      <c r="Q25" s="1304">
        <f>B25</f>
        <v>111</v>
      </c>
      <c r="R25" s="631" t="s">
        <v>25</v>
      </c>
      <c r="S25" s="632">
        <f>F25</f>
        <v>100</v>
      </c>
      <c r="T25" s="631" t="s">
        <v>25</v>
      </c>
      <c r="U25" s="632">
        <f>H25</f>
        <v>100</v>
      </c>
      <c r="V25" s="631" t="s">
        <v>25</v>
      </c>
      <c r="W25" s="632">
        <f>J25</f>
        <v>100</v>
      </c>
      <c r="X25" s="1305"/>
      <c r="Y25" s="368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80"/>
      <c r="Q26" s="1304">
        <f t="shared" ref="Q26:Q40" si="11">B26</f>
        <v>111</v>
      </c>
      <c r="R26" s="631" t="s">
        <v>25</v>
      </c>
      <c r="S26" s="632">
        <f>F26</f>
        <v>100</v>
      </c>
      <c r="T26" s="631" t="s">
        <v>25</v>
      </c>
      <c r="U26" s="632">
        <f>H26</f>
        <v>100</v>
      </c>
      <c r="V26" s="631" t="s">
        <v>25</v>
      </c>
      <c r="W26" s="632">
        <f>J26</f>
        <v>100</v>
      </c>
      <c r="X26" s="1305"/>
      <c r="Y26" s="368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80"/>
      <c r="Q27" s="1297">
        <f t="shared" si="11"/>
        <v>111</v>
      </c>
      <c r="R27" s="627" t="s">
        <v>25</v>
      </c>
      <c r="S27" s="628">
        <f>F27</f>
        <v>100</v>
      </c>
      <c r="T27" s="627" t="s">
        <v>25</v>
      </c>
      <c r="U27" s="628">
        <f>H27</f>
        <v>100</v>
      </c>
      <c r="V27" s="627" t="s">
        <v>25</v>
      </c>
      <c r="W27" s="628">
        <f>J27</f>
        <v>100</v>
      </c>
      <c r="X27" s="629"/>
      <c r="Y27" s="368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80"/>
      <c r="Q28" s="1304">
        <f t="shared" si="11"/>
        <v>111</v>
      </c>
      <c r="R28" s="631" t="s">
        <v>25</v>
      </c>
      <c r="S28" s="632">
        <f t="shared" ref="S28:S40" si="12">F28</f>
        <v>100</v>
      </c>
      <c r="T28" s="631" t="s">
        <v>25</v>
      </c>
      <c r="U28" s="632">
        <f t="shared" ref="U28:U40" si="13">H28</f>
        <v>100</v>
      </c>
      <c r="V28" s="631" t="s">
        <v>25</v>
      </c>
      <c r="W28" s="632">
        <f t="shared" ref="W28:W40" si="14">J28</f>
        <v>100</v>
      </c>
      <c r="X28" s="1305"/>
      <c r="Y28" s="3680"/>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7" t="s">
        <v>2219</v>
      </c>
      <c r="Q29" s="1304" t="str">
        <f t="shared" si="11"/>
        <v>建筑类型</v>
      </c>
      <c r="R29" s="631" t="s">
        <v>25</v>
      </c>
      <c r="S29" s="632">
        <f t="shared" si="12"/>
        <v>100</v>
      </c>
      <c r="T29" s="631" t="s">
        <v>25</v>
      </c>
      <c r="U29" s="632">
        <f t="shared" si="13"/>
        <v>100</v>
      </c>
      <c r="V29" s="631" t="s">
        <v>25</v>
      </c>
      <c r="W29" s="632">
        <f t="shared" si="14"/>
        <v>100</v>
      </c>
      <c r="X29" s="1305"/>
      <c r="Y29" s="366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8"/>
      <c r="Q30" s="633" t="str">
        <f t="shared" si="11"/>
        <v>项目建筑规模</v>
      </c>
      <c r="R30" s="634" t="s">
        <v>25</v>
      </c>
      <c r="S30" s="635" t="e">
        <f t="shared" si="12"/>
        <v>#N/A</v>
      </c>
      <c r="T30" s="634" t="s">
        <v>25</v>
      </c>
      <c r="U30" s="635" t="e">
        <f t="shared" si="13"/>
        <v>#N/A</v>
      </c>
      <c r="V30" s="634" t="s">
        <v>25</v>
      </c>
      <c r="W30" s="635" t="e">
        <f t="shared" si="14"/>
        <v>#N/A</v>
      </c>
      <c r="X30" s="636"/>
      <c r="Y30" s="366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8"/>
      <c r="Q31" s="1304" t="str">
        <f t="shared" si="11"/>
        <v>建筑结构</v>
      </c>
      <c r="R31" s="631" t="s">
        <v>25</v>
      </c>
      <c r="S31" s="632">
        <f t="shared" si="12"/>
        <v>100</v>
      </c>
      <c r="T31" s="631" t="s">
        <v>25</v>
      </c>
      <c r="U31" s="632">
        <f t="shared" si="13"/>
        <v>100</v>
      </c>
      <c r="V31" s="631" t="s">
        <v>25</v>
      </c>
      <c r="W31" s="632">
        <f t="shared" si="14"/>
        <v>100</v>
      </c>
      <c r="X31" s="1305"/>
      <c r="Y31" s="366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8"/>
      <c r="Q32" s="1304" t="str">
        <f t="shared" si="11"/>
        <v>公共部分装修</v>
      </c>
      <c r="R32" s="631" t="s">
        <v>25</v>
      </c>
      <c r="S32" s="632">
        <f t="shared" si="12"/>
        <v>100</v>
      </c>
      <c r="T32" s="631" t="s">
        <v>25</v>
      </c>
      <c r="U32" s="632">
        <f t="shared" si="13"/>
        <v>100</v>
      </c>
      <c r="V32" s="631" t="s">
        <v>25</v>
      </c>
      <c r="W32" s="632">
        <f t="shared" si="14"/>
        <v>100</v>
      </c>
      <c r="X32" s="1305"/>
      <c r="Y32" s="366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8"/>
      <c r="Q33" s="1304" t="str">
        <f t="shared" si="11"/>
        <v>成新度</v>
      </c>
      <c r="R33" s="631" t="s">
        <v>25</v>
      </c>
      <c r="S33" s="632" t="e">
        <f t="shared" si="12"/>
        <v>#N/A</v>
      </c>
      <c r="T33" s="631" t="s">
        <v>25</v>
      </c>
      <c r="U33" s="632" t="e">
        <f t="shared" si="13"/>
        <v>#N/A</v>
      </c>
      <c r="V33" s="631" t="s">
        <v>25</v>
      </c>
      <c r="W33" s="632" t="e">
        <f t="shared" si="14"/>
        <v>#N/A</v>
      </c>
      <c r="X33" s="1305"/>
      <c r="Y33" s="366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8"/>
      <c r="Q34" s="1297" t="str">
        <f t="shared" si="11"/>
        <v>物业管理</v>
      </c>
      <c r="R34" s="627" t="s">
        <v>25</v>
      </c>
      <c r="S34" s="628">
        <f t="shared" si="12"/>
        <v>100</v>
      </c>
      <c r="T34" s="627" t="s">
        <v>25</v>
      </c>
      <c r="U34" s="628">
        <f t="shared" si="13"/>
        <v>100</v>
      </c>
      <c r="V34" s="627" t="s">
        <v>25</v>
      </c>
      <c r="W34" s="628">
        <f t="shared" si="14"/>
        <v>100</v>
      </c>
      <c r="X34" s="629"/>
      <c r="Y34" s="366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8" t="s">
        <v>2219</v>
      </c>
      <c r="Q35" s="1304" t="str">
        <f t="shared" si="11"/>
        <v>市政基础设施</v>
      </c>
      <c r="R35" s="631" t="s">
        <v>25</v>
      </c>
      <c r="S35" s="632">
        <f t="shared" si="12"/>
        <v>100</v>
      </c>
      <c r="T35" s="631" t="s">
        <v>25</v>
      </c>
      <c r="U35" s="632">
        <f t="shared" si="13"/>
        <v>100</v>
      </c>
      <c r="V35" s="631" t="s">
        <v>25</v>
      </c>
      <c r="W35" s="632">
        <f t="shared" si="14"/>
        <v>100</v>
      </c>
      <c r="X35" s="1305"/>
      <c r="Y35" s="366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8"/>
      <c r="Q36" s="1304" t="str">
        <f t="shared" si="11"/>
        <v>内部装修</v>
      </c>
      <c r="R36" s="631" t="s">
        <v>25</v>
      </c>
      <c r="S36" s="632">
        <f t="shared" si="12"/>
        <v>100</v>
      </c>
      <c r="T36" s="631" t="s">
        <v>25</v>
      </c>
      <c r="U36" s="632">
        <f t="shared" si="13"/>
        <v>100</v>
      </c>
      <c r="V36" s="631" t="s">
        <v>25</v>
      </c>
      <c r="W36" s="632">
        <f t="shared" si="14"/>
        <v>100</v>
      </c>
      <c r="X36" s="1305"/>
      <c r="Y36" s="366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8"/>
      <c r="Q37" s="1304" t="str">
        <f t="shared" si="11"/>
        <v>内部装修状况</v>
      </c>
      <c r="R37" s="631" t="s">
        <v>25</v>
      </c>
      <c r="S37" s="632">
        <f t="shared" si="12"/>
        <v>100</v>
      </c>
      <c r="T37" s="631" t="s">
        <v>25</v>
      </c>
      <c r="U37" s="632">
        <f t="shared" si="13"/>
        <v>100</v>
      </c>
      <c r="V37" s="631" t="s">
        <v>25</v>
      </c>
      <c r="W37" s="632">
        <f t="shared" si="14"/>
        <v>100</v>
      </c>
      <c r="X37" s="1305"/>
      <c r="Y37" s="366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8"/>
      <c r="Q38" s="633">
        <f t="shared" si="11"/>
        <v>111</v>
      </c>
      <c r="R38" s="634" t="s">
        <v>25</v>
      </c>
      <c r="S38" s="635">
        <f t="shared" si="12"/>
        <v>100</v>
      </c>
      <c r="T38" s="634" t="s">
        <v>25</v>
      </c>
      <c r="U38" s="635">
        <f t="shared" si="13"/>
        <v>100</v>
      </c>
      <c r="V38" s="634" t="s">
        <v>25</v>
      </c>
      <c r="W38" s="635">
        <f t="shared" si="14"/>
        <v>100</v>
      </c>
      <c r="X38" s="636"/>
      <c r="Y38" s="366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8"/>
      <c r="Q39" s="1304">
        <f t="shared" si="11"/>
        <v>111</v>
      </c>
      <c r="R39" s="631" t="s">
        <v>25</v>
      </c>
      <c r="S39" s="632">
        <f t="shared" si="12"/>
        <v>100</v>
      </c>
      <c r="T39" s="631" t="s">
        <v>25</v>
      </c>
      <c r="U39" s="632">
        <f t="shared" si="13"/>
        <v>100</v>
      </c>
      <c r="V39" s="631" t="s">
        <v>25</v>
      </c>
      <c r="W39" s="632">
        <f t="shared" si="14"/>
        <v>100</v>
      </c>
      <c r="X39" s="1305"/>
      <c r="Y39" s="366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9"/>
      <c r="Q40" s="1304">
        <f t="shared" si="11"/>
        <v>111</v>
      </c>
      <c r="R40" s="631" t="s">
        <v>25</v>
      </c>
      <c r="S40" s="632">
        <f t="shared" si="12"/>
        <v>100</v>
      </c>
      <c r="T40" s="631" t="s">
        <v>25</v>
      </c>
      <c r="U40" s="632">
        <f t="shared" si="13"/>
        <v>100</v>
      </c>
      <c r="V40" s="631" t="s">
        <v>25</v>
      </c>
      <c r="W40" s="632">
        <f t="shared" si="14"/>
        <v>100</v>
      </c>
      <c r="X40" s="1305"/>
      <c r="Y40" s="366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62" t="str">
        <f>A41</f>
        <v>成交单价（元/平方米）</v>
      </c>
      <c r="Q41" s="3662"/>
      <c r="R41" s="3663">
        <f>E41</f>
        <v>0</v>
      </c>
      <c r="S41" s="3663"/>
      <c r="T41" s="3663">
        <f>G41</f>
        <v>0</v>
      </c>
      <c r="U41" s="3663"/>
      <c r="V41" s="3663">
        <f>I41</f>
        <v>0</v>
      </c>
      <c r="W41" s="3663"/>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62" t="str">
        <f>A42</f>
        <v>比较价值（元/平方米）</v>
      </c>
      <c r="Q42" s="3662"/>
      <c r="R42" s="3663" t="e">
        <f>IF(E1="售价",ROUND(PRODUCT(R41,AA7:AA40),0),ROUND(PRODUCT(R41,AA7:AA40),1))</f>
        <v>#DIV/0!</v>
      </c>
      <c r="S42" s="3663"/>
      <c r="T42" s="3663" t="e">
        <f>IF(E1="售价",ROUND(PRODUCT(T41,AB7:AB40),0),ROUND(PRODUCT(T41,AB7:AB40),1))</f>
        <v>#DIV/0!</v>
      </c>
      <c r="U42" s="3663"/>
      <c r="V42" s="3663" t="e">
        <f>IF(E1="售价",ROUND(PRODUCT(V41,AC7:AC40),0),ROUND(PRODUCT(V41,AC7:AC40),1))</f>
        <v>#DIV/0!</v>
      </c>
      <c r="W42" s="366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64" t="str">
        <f>A43</f>
        <v>估价对象XX用房的比较价值（楼面单价，元/平方米）</v>
      </c>
      <c r="Q43" s="3665"/>
      <c r="R43" s="3666" t="e">
        <f>IF(E1="售价",ROUND(IF(D42="简单平均",AVERAGE(R42:V42),R42*F42+T42*H42+V42*J42),0),ROUND(IF(D42="简单平均",AVERAGE(R42:V42),R42*F42+T42*H42+V42*J42),1))</f>
        <v>#DIV/0!</v>
      </c>
      <c r="S43" s="3666"/>
      <c r="T43" s="3666"/>
      <c r="U43" s="3666"/>
      <c r="V43" s="3666"/>
      <c r="W43" s="3666"/>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437.43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70" t="s">
        <v>2202</v>
      </c>
      <c r="Q7" s="3678"/>
      <c r="R7" s="627" t="s">
        <v>25</v>
      </c>
      <c r="S7" s="628">
        <f t="shared" ref="S7:S14" si="0">F7</f>
        <v>0</v>
      </c>
      <c r="T7" s="627" t="s">
        <v>25</v>
      </c>
      <c r="U7" s="628">
        <f t="shared" ref="U7:U14" si="1">H7</f>
        <v>0</v>
      </c>
      <c r="V7" s="627" t="s">
        <v>25</v>
      </c>
      <c r="W7" s="628">
        <f t="shared" ref="W7:W14" si="2">J7</f>
        <v>0</v>
      </c>
      <c r="X7" s="629"/>
      <c r="Y7" s="3670" t="s">
        <v>2202</v>
      </c>
      <c r="Z7" s="367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2" t="s">
        <v>2208</v>
      </c>
      <c r="Q9" s="1297" t="str">
        <f t="shared" ref="Q9:Q14" si="6">B9</f>
        <v>用途</v>
      </c>
      <c r="R9" s="627" t="s">
        <v>25</v>
      </c>
      <c r="S9" s="628">
        <f t="shared" si="0"/>
        <v>100</v>
      </c>
      <c r="T9" s="627" t="s">
        <v>25</v>
      </c>
      <c r="U9" s="628">
        <f t="shared" si="1"/>
        <v>100</v>
      </c>
      <c r="V9" s="627" t="s">
        <v>25</v>
      </c>
      <c r="W9" s="628">
        <f t="shared" si="2"/>
        <v>100</v>
      </c>
      <c r="X9" s="629"/>
      <c r="Y9" s="3681"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79" t="s">
        <v>2213</v>
      </c>
      <c r="Q14" s="1304" t="str">
        <f t="shared" si="6"/>
        <v>交通便捷度</v>
      </c>
      <c r="R14" s="631" t="s">
        <v>25</v>
      </c>
      <c r="S14" s="632">
        <f t="shared" si="0"/>
        <v>100</v>
      </c>
      <c r="T14" s="631" t="s">
        <v>25</v>
      </c>
      <c r="U14" s="632">
        <f t="shared" si="1"/>
        <v>100</v>
      </c>
      <c r="V14" s="631" t="s">
        <v>25</v>
      </c>
      <c r="W14" s="632">
        <f t="shared" si="2"/>
        <v>100</v>
      </c>
      <c r="X14" s="1305"/>
      <c r="Y14" s="367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80"/>
      <c r="Q15" s="1304"/>
      <c r="R15" s="631"/>
      <c r="S15" s="632"/>
      <c r="T15" s="631"/>
      <c r="U15" s="632"/>
      <c r="V15" s="631"/>
      <c r="W15" s="632"/>
      <c r="X15" s="1305"/>
      <c r="Y15" s="3680"/>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80"/>
      <c r="Q17" s="1304"/>
      <c r="R17" s="631"/>
      <c r="S17" s="632"/>
      <c r="T17" s="631"/>
      <c r="U17" s="632"/>
      <c r="V17" s="631"/>
      <c r="W17" s="632"/>
      <c r="X17" s="1305"/>
      <c r="Y17" s="3680"/>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80"/>
      <c r="Q19" s="1304"/>
      <c r="R19" s="631"/>
      <c r="S19" s="632"/>
      <c r="T19" s="631"/>
      <c r="U19" s="632"/>
      <c r="V19" s="631"/>
      <c r="W19" s="632"/>
      <c r="X19" s="1305"/>
      <c r="Y19" s="3680"/>
      <c r="Z19" s="1306"/>
      <c r="AA19" s="1307">
        <v>1</v>
      </c>
      <c r="AB19" s="1307">
        <v>1</v>
      </c>
      <c r="AC19" s="1307">
        <v>1</v>
      </c>
    </row>
    <row r="20" spans="1:29" ht="15">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80"/>
      <c r="Q21" s="1304"/>
      <c r="R21" s="631"/>
      <c r="S21" s="632"/>
      <c r="T21" s="631"/>
      <c r="U21" s="632"/>
      <c r="V21" s="631"/>
      <c r="W21" s="632"/>
      <c r="X21" s="1305"/>
      <c r="Y21" s="368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80"/>
      <c r="Q24" s="1304">
        <f t="shared" ref="Q24:Q36"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8"/>
      <c r="Q27" s="633" t="str">
        <f t="shared" si="11"/>
        <v>项目停车位配比</v>
      </c>
      <c r="R27" s="634" t="s">
        <v>25</v>
      </c>
      <c r="S27" s="635">
        <f t="shared" si="12"/>
        <v>100</v>
      </c>
      <c r="T27" s="634" t="s">
        <v>25</v>
      </c>
      <c r="U27" s="635">
        <f t="shared" si="13"/>
        <v>100</v>
      </c>
      <c r="V27" s="634" t="s">
        <v>25</v>
      </c>
      <c r="W27" s="635">
        <f t="shared" si="14"/>
        <v>100</v>
      </c>
      <c r="X27" s="636"/>
      <c r="Y27" s="366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8"/>
      <c r="Q28" s="1304" t="str">
        <f t="shared" si="11"/>
        <v>公共部分装修</v>
      </c>
      <c r="R28" s="631" t="s">
        <v>25</v>
      </c>
      <c r="S28" s="632">
        <f t="shared" si="12"/>
        <v>100</v>
      </c>
      <c r="T28" s="631" t="s">
        <v>25</v>
      </c>
      <c r="U28" s="632">
        <f t="shared" si="13"/>
        <v>100</v>
      </c>
      <c r="V28" s="631" t="s">
        <v>25</v>
      </c>
      <c r="W28" s="632">
        <f t="shared" si="14"/>
        <v>100</v>
      </c>
      <c r="X28" s="1305"/>
      <c r="Y28" s="366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8"/>
      <c r="Q29" s="1304" t="str">
        <f t="shared" si="11"/>
        <v>成新率</v>
      </c>
      <c r="R29" s="631" t="s">
        <v>25</v>
      </c>
      <c r="S29" s="632" t="e">
        <f t="shared" si="12"/>
        <v>#N/A</v>
      </c>
      <c r="T29" s="631" t="s">
        <v>25</v>
      </c>
      <c r="U29" s="632" t="e">
        <f t="shared" si="13"/>
        <v>#N/A</v>
      </c>
      <c r="V29" s="631" t="s">
        <v>25</v>
      </c>
      <c r="W29" s="632" t="e">
        <f t="shared" si="14"/>
        <v>#N/A</v>
      </c>
      <c r="X29" s="1305"/>
      <c r="Y29" s="366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8"/>
      <c r="Q30" s="1304" t="str">
        <f t="shared" si="11"/>
        <v>物业等级</v>
      </c>
      <c r="R30" s="631" t="s">
        <v>25</v>
      </c>
      <c r="S30" s="632">
        <f t="shared" si="12"/>
        <v>100</v>
      </c>
      <c r="T30" s="631" t="s">
        <v>25</v>
      </c>
      <c r="U30" s="632">
        <f t="shared" si="13"/>
        <v>100</v>
      </c>
      <c r="V30" s="631" t="s">
        <v>25</v>
      </c>
      <c r="W30" s="632">
        <f t="shared" si="14"/>
        <v>100</v>
      </c>
      <c r="X30" s="1305"/>
      <c r="Y30" s="366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8"/>
      <c r="Q31" s="1297" t="str">
        <f t="shared" si="11"/>
        <v>停车位面积</v>
      </c>
      <c r="R31" s="627" t="s">
        <v>25</v>
      </c>
      <c r="S31" s="628" t="e">
        <f t="shared" si="12"/>
        <v>#N/A</v>
      </c>
      <c r="T31" s="627" t="s">
        <v>25</v>
      </c>
      <c r="U31" s="628" t="e">
        <f t="shared" si="13"/>
        <v>#N/A</v>
      </c>
      <c r="V31" s="627" t="s">
        <v>25</v>
      </c>
      <c r="W31" s="628" t="e">
        <f t="shared" si="14"/>
        <v>#N/A</v>
      </c>
      <c r="X31" s="629"/>
      <c r="Y31" s="366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8" t="s">
        <v>2219</v>
      </c>
      <c r="Q32" s="1304" t="str">
        <f t="shared" si="11"/>
        <v>车位类型</v>
      </c>
      <c r="R32" s="631" t="s">
        <v>25</v>
      </c>
      <c r="S32" s="632">
        <f t="shared" si="12"/>
        <v>100</v>
      </c>
      <c r="T32" s="631" t="s">
        <v>25</v>
      </c>
      <c r="U32" s="632">
        <f t="shared" si="13"/>
        <v>100</v>
      </c>
      <c r="V32" s="631" t="s">
        <v>25</v>
      </c>
      <c r="W32" s="632">
        <f t="shared" si="14"/>
        <v>100</v>
      </c>
      <c r="X32" s="1305"/>
      <c r="Y32" s="366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8"/>
      <c r="Q33" s="1304" t="str">
        <f t="shared" si="11"/>
        <v>是否直接入户</v>
      </c>
      <c r="R33" s="631" t="s">
        <v>25</v>
      </c>
      <c r="S33" s="632">
        <f t="shared" si="12"/>
        <v>100</v>
      </c>
      <c r="T33" s="631" t="s">
        <v>25</v>
      </c>
      <c r="U33" s="632">
        <f t="shared" si="13"/>
        <v>100</v>
      </c>
      <c r="V33" s="631" t="s">
        <v>25</v>
      </c>
      <c r="W33" s="632">
        <f t="shared" si="14"/>
        <v>100</v>
      </c>
      <c r="X33" s="1305"/>
      <c r="Y33" s="366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8"/>
      <c r="Q35" s="633">
        <f t="shared" si="11"/>
        <v>111</v>
      </c>
      <c r="R35" s="634" t="s">
        <v>25</v>
      </c>
      <c r="S35" s="635">
        <f t="shared" si="12"/>
        <v>100</v>
      </c>
      <c r="T35" s="634" t="s">
        <v>25</v>
      </c>
      <c r="U35" s="635">
        <f t="shared" si="13"/>
        <v>100</v>
      </c>
      <c r="V35" s="634" t="s">
        <v>25</v>
      </c>
      <c r="W35" s="635">
        <f t="shared" si="14"/>
        <v>100</v>
      </c>
      <c r="X35" s="636"/>
      <c r="Y35" s="366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8"/>
      <c r="Q36" s="1304">
        <f t="shared" si="11"/>
        <v>111</v>
      </c>
      <c r="R36" s="631" t="s">
        <v>25</v>
      </c>
      <c r="S36" s="632">
        <f t="shared" si="12"/>
        <v>100</v>
      </c>
      <c r="T36" s="631" t="s">
        <v>25</v>
      </c>
      <c r="U36" s="632">
        <f t="shared" si="13"/>
        <v>100</v>
      </c>
      <c r="V36" s="631" t="s">
        <v>25</v>
      </c>
      <c r="W36" s="632">
        <f t="shared" si="14"/>
        <v>100</v>
      </c>
      <c r="X36" s="1305"/>
      <c r="Y36" s="366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62" t="str">
        <f>A37</f>
        <v>成交单价</v>
      </c>
      <c r="Q37" s="3662"/>
      <c r="R37" s="3663">
        <f>E37</f>
        <v>0</v>
      </c>
      <c r="S37" s="3663"/>
      <c r="T37" s="3663">
        <f>G37</f>
        <v>0</v>
      </c>
      <c r="U37" s="3663"/>
      <c r="V37" s="3663">
        <f>I37</f>
        <v>0</v>
      </c>
      <c r="W37" s="3663"/>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2" t="str">
        <f>A38</f>
        <v>比较价值</v>
      </c>
      <c r="Q38" s="3662"/>
      <c r="R38" s="3663" t="e">
        <f>IF(E1="售价",ROUND(PRODUCT(R37,AA7:AA36),0),ROUND(PRODUCT(R37,AA7:AA36),1))</f>
        <v>#DIV/0!</v>
      </c>
      <c r="S38" s="3663"/>
      <c r="T38" s="3663" t="e">
        <f>IF(E1="售价",ROUND(PRODUCT(T37,AB7:AB36),0),ROUND(PRODUCT(T37,AB7:AB36),1))</f>
        <v>#DIV/0!</v>
      </c>
      <c r="U38" s="3663"/>
      <c r="V38" s="3663" t="e">
        <f>IF(E1="售价",ROUND(PRODUCT(V37,AC7:AC36),0),ROUND(PRODUCT(V37,AC7:AC36),1))</f>
        <v>#DIV/0!</v>
      </c>
      <c r="W38" s="366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64" t="str">
        <f>A39</f>
        <v>估价对象XX用房的比较价值（楼面单价，元/平方米）</v>
      </c>
      <c r="Q39" s="3665"/>
      <c r="R39" s="3666" t="e">
        <f>IF(E1="售价",ROUND(IF(D38="简单平均",AVERAGE(R38:W38),R38*F38+T38*H38+V38*J38),0),ROUND(IF(D38="简单平均",AVERAGE(R38:V38),R38*F38+T38*H38+V38*J38),1))</f>
        <v>#DIV/0!</v>
      </c>
      <c r="S39" s="3666"/>
      <c r="T39" s="3666"/>
      <c r="U39" s="3666"/>
      <c r="V39" s="3666"/>
      <c r="W39" s="3666"/>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437.43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70" t="s">
        <v>2202</v>
      </c>
      <c r="Q7" s="3678"/>
      <c r="R7" s="627" t="s">
        <v>25</v>
      </c>
      <c r="S7" s="628">
        <f t="shared" ref="S7:S14" si="0">F7</f>
        <v>0</v>
      </c>
      <c r="T7" s="627" t="s">
        <v>25</v>
      </c>
      <c r="U7" s="628">
        <f t="shared" ref="U7:U14" si="1">H7</f>
        <v>0</v>
      </c>
      <c r="V7" s="627" t="s">
        <v>25</v>
      </c>
      <c r="W7" s="628">
        <f t="shared" ref="W7:W14" si="2">J7</f>
        <v>0</v>
      </c>
      <c r="X7" s="629"/>
      <c r="Y7" s="3670" t="s">
        <v>2202</v>
      </c>
      <c r="Z7" s="367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2" t="s">
        <v>2208</v>
      </c>
      <c r="Q9" s="1297" t="str">
        <f t="shared" ref="Q9:Q14" si="6">B9</f>
        <v>用途</v>
      </c>
      <c r="R9" s="627" t="s">
        <v>25</v>
      </c>
      <c r="S9" s="628">
        <f t="shared" si="0"/>
        <v>100</v>
      </c>
      <c r="T9" s="627" t="s">
        <v>25</v>
      </c>
      <c r="U9" s="628">
        <f t="shared" si="1"/>
        <v>100</v>
      </c>
      <c r="V9" s="627" t="s">
        <v>25</v>
      </c>
      <c r="W9" s="628">
        <f t="shared" si="2"/>
        <v>100</v>
      </c>
      <c r="X9" s="629"/>
      <c r="Y9" s="3681"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79" t="s">
        <v>2213</v>
      </c>
      <c r="Q14" s="1304" t="str">
        <f t="shared" si="6"/>
        <v>交通便捷度</v>
      </c>
      <c r="R14" s="631" t="s">
        <v>25</v>
      </c>
      <c r="S14" s="632">
        <f t="shared" si="0"/>
        <v>100</v>
      </c>
      <c r="T14" s="631" t="s">
        <v>25</v>
      </c>
      <c r="U14" s="632">
        <f t="shared" si="1"/>
        <v>100</v>
      </c>
      <c r="V14" s="631" t="s">
        <v>25</v>
      </c>
      <c r="W14" s="632">
        <f t="shared" si="2"/>
        <v>100</v>
      </c>
      <c r="X14" s="1305"/>
      <c r="Y14" s="367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80"/>
      <c r="Q15" s="1304"/>
      <c r="R15" s="631"/>
      <c r="S15" s="632"/>
      <c r="T15" s="631"/>
      <c r="U15" s="632"/>
      <c r="V15" s="631"/>
      <c r="W15" s="632"/>
      <c r="X15" s="1305"/>
      <c r="Y15" s="3680"/>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80"/>
      <c r="Q17" s="1304"/>
      <c r="R17" s="631"/>
      <c r="S17" s="632"/>
      <c r="T17" s="631"/>
      <c r="U17" s="632"/>
      <c r="V17" s="631"/>
      <c r="W17" s="632"/>
      <c r="X17" s="1305"/>
      <c r="Y17" s="3680"/>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80"/>
      <c r="Q19" s="1304"/>
      <c r="R19" s="631"/>
      <c r="S19" s="632"/>
      <c r="T19" s="631"/>
      <c r="U19" s="632"/>
      <c r="V19" s="631"/>
      <c r="W19" s="632"/>
      <c r="X19" s="1305"/>
      <c r="Y19" s="3680"/>
      <c r="Z19" s="1306"/>
      <c r="AA19" s="1307">
        <v>1</v>
      </c>
      <c r="AB19" s="1307">
        <v>1</v>
      </c>
      <c r="AC19" s="1307">
        <v>1</v>
      </c>
    </row>
    <row r="20" spans="1:29" ht="15">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80"/>
      <c r="Q21" s="1304"/>
      <c r="R21" s="631"/>
      <c r="S21" s="632"/>
      <c r="T21" s="631"/>
      <c r="U21" s="632"/>
      <c r="V21" s="631"/>
      <c r="W21" s="632"/>
      <c r="X21" s="1305"/>
      <c r="Y21" s="368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80"/>
      <c r="Q24" s="1304">
        <f t="shared" ref="Q24:Q34"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8"/>
      <c r="Q27" s="633" t="str">
        <f t="shared" si="11"/>
        <v>成新率</v>
      </c>
      <c r="R27" s="634" t="s">
        <v>25</v>
      </c>
      <c r="S27" s="635" t="e">
        <f t="shared" si="12"/>
        <v>#N/A</v>
      </c>
      <c r="T27" s="634" t="s">
        <v>25</v>
      </c>
      <c r="U27" s="635" t="e">
        <f t="shared" si="13"/>
        <v>#N/A</v>
      </c>
      <c r="V27" s="634" t="s">
        <v>25</v>
      </c>
      <c r="W27" s="635" t="e">
        <f t="shared" si="14"/>
        <v>#N/A</v>
      </c>
      <c r="X27" s="636"/>
      <c r="Y27" s="366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8"/>
      <c r="Q28" s="1304" t="str">
        <f t="shared" si="11"/>
        <v>物业等级</v>
      </c>
      <c r="R28" s="631" t="s">
        <v>25</v>
      </c>
      <c r="S28" s="632">
        <f t="shared" si="12"/>
        <v>100</v>
      </c>
      <c r="T28" s="631" t="s">
        <v>25</v>
      </c>
      <c r="U28" s="632">
        <f t="shared" si="13"/>
        <v>100</v>
      </c>
      <c r="V28" s="631" t="s">
        <v>25</v>
      </c>
      <c r="W28" s="632">
        <f t="shared" si="14"/>
        <v>100</v>
      </c>
      <c r="X28" s="1305"/>
      <c r="Y28" s="366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8"/>
      <c r="Q29" s="1304" t="str">
        <f t="shared" si="11"/>
        <v>有无电梯</v>
      </c>
      <c r="R29" s="631" t="s">
        <v>25</v>
      </c>
      <c r="S29" s="632">
        <f t="shared" si="12"/>
        <v>100</v>
      </c>
      <c r="T29" s="631" t="s">
        <v>25</v>
      </c>
      <c r="U29" s="632">
        <f t="shared" si="13"/>
        <v>100</v>
      </c>
      <c r="V29" s="631" t="s">
        <v>25</v>
      </c>
      <c r="W29" s="632">
        <f t="shared" si="14"/>
        <v>100</v>
      </c>
      <c r="X29" s="1305"/>
      <c r="Y29" s="366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8"/>
      <c r="Q30" s="1304" t="str">
        <f t="shared" si="11"/>
        <v>建筑面积</v>
      </c>
      <c r="R30" s="631" t="s">
        <v>25</v>
      </c>
      <c r="S30" s="632" t="e">
        <f t="shared" si="12"/>
        <v>#N/A</v>
      </c>
      <c r="T30" s="631" t="s">
        <v>25</v>
      </c>
      <c r="U30" s="632" t="e">
        <f t="shared" si="13"/>
        <v>#N/A</v>
      </c>
      <c r="V30" s="631" t="s">
        <v>25</v>
      </c>
      <c r="W30" s="632" t="e">
        <f t="shared" si="14"/>
        <v>#N/A</v>
      </c>
      <c r="X30" s="1305"/>
      <c r="Y30" s="366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8"/>
      <c r="Q31" s="1297" t="str">
        <f t="shared" si="11"/>
        <v>是否封闭</v>
      </c>
      <c r="R31" s="627" t="s">
        <v>25</v>
      </c>
      <c r="S31" s="628">
        <f t="shared" si="12"/>
        <v>100</v>
      </c>
      <c r="T31" s="627" t="s">
        <v>25</v>
      </c>
      <c r="U31" s="628">
        <f t="shared" si="13"/>
        <v>100</v>
      </c>
      <c r="V31" s="627" t="s">
        <v>25</v>
      </c>
      <c r="W31" s="628">
        <f t="shared" si="14"/>
        <v>100</v>
      </c>
      <c r="X31" s="629"/>
      <c r="Y31" s="366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8" t="s">
        <v>2219</v>
      </c>
      <c r="Q32" s="1304">
        <f t="shared" si="11"/>
        <v>111</v>
      </c>
      <c r="R32" s="631" t="s">
        <v>25</v>
      </c>
      <c r="S32" s="632">
        <f t="shared" si="12"/>
        <v>100</v>
      </c>
      <c r="T32" s="631" t="s">
        <v>25</v>
      </c>
      <c r="U32" s="632">
        <f t="shared" si="13"/>
        <v>100</v>
      </c>
      <c r="V32" s="631" t="s">
        <v>25</v>
      </c>
      <c r="W32" s="632">
        <f t="shared" si="14"/>
        <v>100</v>
      </c>
      <c r="X32" s="1305"/>
      <c r="Y32" s="366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8"/>
      <c r="Q33" s="1304">
        <f t="shared" si="11"/>
        <v>111</v>
      </c>
      <c r="R33" s="631" t="s">
        <v>25</v>
      </c>
      <c r="S33" s="632">
        <f t="shared" si="12"/>
        <v>100</v>
      </c>
      <c r="T33" s="631" t="s">
        <v>25</v>
      </c>
      <c r="U33" s="632">
        <f t="shared" si="13"/>
        <v>100</v>
      </c>
      <c r="V33" s="631" t="s">
        <v>25</v>
      </c>
      <c r="W33" s="632">
        <f t="shared" si="14"/>
        <v>100</v>
      </c>
      <c r="X33" s="1305"/>
      <c r="Y33" s="366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62" t="str">
        <f>A35</f>
        <v>成交单价（元/平方米）</v>
      </c>
      <c r="Q35" s="3662"/>
      <c r="R35" s="3663">
        <f>E35</f>
        <v>0</v>
      </c>
      <c r="S35" s="3663"/>
      <c r="T35" s="3663">
        <f>G35</f>
        <v>0</v>
      </c>
      <c r="U35" s="3663"/>
      <c r="V35" s="3663">
        <f>I35</f>
        <v>0</v>
      </c>
      <c r="W35" s="3663"/>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62" t="str">
        <f>A36</f>
        <v>比较价值（元/平方米）</v>
      </c>
      <c r="Q36" s="3662"/>
      <c r="R36" s="3663" t="e">
        <f>IF(E1="售价",ROUND(PRODUCT(R35,AA7:AA34),0),ROUND(PRODUCT(R35,AA7:AA34),1))</f>
        <v>#DIV/0!</v>
      </c>
      <c r="S36" s="3663"/>
      <c r="T36" s="3663" t="e">
        <f>IF(E1="售价",ROUND(PRODUCT(T35,AB7:AB34),0),ROUND(PRODUCT(T35,AB7:AB34),1))</f>
        <v>#DIV/0!</v>
      </c>
      <c r="U36" s="3663"/>
      <c r="V36" s="3663" t="e">
        <f>IF(E1="售价",ROUND(PRODUCT(V35,AC7:AC34),0),ROUND(PRODUCT(V35,AC7:AC34),1))</f>
        <v>#DIV/0!</v>
      </c>
      <c r="W36" s="366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64" t="str">
        <f>A37</f>
        <v>估价对象XX用房的比较价值（楼面单价，元/平方米）</v>
      </c>
      <c r="Q37" s="3665"/>
      <c r="R37" s="3666" t="e">
        <f>IF(E1="售价",ROUND(IF(D36="简单平均",AVERAGE(R36:W36),R36*F36+T36*H36+V36*J36),0),ROUND(IF(D36="简单平均",AVERAGE(R36:V36),R36*F36+T36*H36+V36*J36),1))</f>
        <v>#DIV/0!</v>
      </c>
      <c r="S37" s="3666"/>
      <c r="T37" s="3666"/>
      <c r="U37" s="3666"/>
      <c r="V37" s="3666"/>
      <c r="W37" s="3666"/>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估价对象为北京市房地产，为XX所有。根据《》[]，估价对象建筑面积为437.43平方米。根据《》[]，估价对象（分摊）出让国有建设用地使用权面积为平方米。估价对象用途为。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1636"/>
      <c r="Y4" s="3539" t="s">
        <v>2194</v>
      </c>
      <c r="Z4" s="3540"/>
      <c r="AA4" s="3550" t="s">
        <v>2190</v>
      </c>
      <c r="AB4" s="3551" t="s">
        <v>2191</v>
      </c>
      <c r="AC4" s="3550" t="s">
        <v>2192</v>
      </c>
    </row>
    <row r="5" spans="1:30" ht="15">
      <c r="A5" s="1638"/>
      <c r="B5" s="1639"/>
      <c r="C5" s="3566" t="s">
        <v>2195</v>
      </c>
      <c r="D5" s="3567"/>
      <c r="E5" s="3660" t="s">
        <v>2196</v>
      </c>
      <c r="F5" s="3565"/>
      <c r="G5" s="3566" t="s">
        <v>2197</v>
      </c>
      <c r="H5" s="3567"/>
      <c r="I5" s="3566" t="s">
        <v>2198</v>
      </c>
      <c r="J5" s="3567"/>
      <c r="K5" s="1936"/>
      <c r="L5" s="2967"/>
      <c r="M5" s="2968"/>
      <c r="N5" s="2968"/>
      <c r="O5" s="2968"/>
      <c r="P5" s="3559"/>
      <c r="Q5" s="3560"/>
      <c r="R5" s="3541"/>
      <c r="S5" s="3542"/>
      <c r="T5" s="3541"/>
      <c r="U5" s="3542"/>
      <c r="V5" s="3563"/>
      <c r="W5" s="3563"/>
      <c r="X5" s="1636"/>
      <c r="Y5" s="3541"/>
      <c r="Z5" s="3542"/>
      <c r="AA5" s="3551"/>
      <c r="AB5" s="3551"/>
      <c r="AC5" s="3551"/>
    </row>
    <row r="6" spans="1:30" ht="15.7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1636"/>
      <c r="Y6" s="3543"/>
      <c r="Z6" s="3544"/>
      <c r="AA6" s="3552"/>
      <c r="AB6" s="3552"/>
      <c r="AC6" s="3552"/>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37" t="s">
        <v>2202</v>
      </c>
      <c r="Q7" s="3545"/>
      <c r="R7" s="1651" t="s">
        <v>25</v>
      </c>
      <c r="S7" s="1652">
        <f t="shared" ref="S7:S15" si="0">F7</f>
        <v>0</v>
      </c>
      <c r="T7" s="1651" t="s">
        <v>25</v>
      </c>
      <c r="U7" s="1652">
        <f t="shared" ref="U7:U15" si="1">H7</f>
        <v>0</v>
      </c>
      <c r="V7" s="1651" t="s">
        <v>25</v>
      </c>
      <c r="W7" s="1652">
        <f t="shared" ref="W7:W15" si="2">J7</f>
        <v>0</v>
      </c>
      <c r="X7" s="1653"/>
      <c r="Y7" s="3537" t="s">
        <v>2202</v>
      </c>
      <c r="Z7" s="353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37" t="s">
        <v>2205</v>
      </c>
      <c r="Q8" s="3538"/>
      <c r="R8" s="1651" t="s">
        <v>25</v>
      </c>
      <c r="S8" s="1652">
        <f t="shared" si="0"/>
        <v>0</v>
      </c>
      <c r="T8" s="1651" t="s">
        <v>25</v>
      </c>
      <c r="U8" s="1652">
        <f t="shared" si="1"/>
        <v>0</v>
      </c>
      <c r="V8" s="1651" t="s">
        <v>25</v>
      </c>
      <c r="W8" s="1652">
        <f t="shared" si="2"/>
        <v>0</v>
      </c>
      <c r="X8" s="1653"/>
      <c r="Y8" s="3537" t="s">
        <v>2205</v>
      </c>
      <c r="Z8" s="3538"/>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27" t="s">
        <v>2208</v>
      </c>
      <c r="Q9" s="160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112</v>
      </c>
      <c r="G10" s="1728"/>
      <c r="H10" s="1668">
        <f>ROUND(100/'数据-取费表'!B14,0)</f>
        <v>112</v>
      </c>
      <c r="I10" s="1728"/>
      <c r="J10" s="1668">
        <f>ROUND(100/'数据-取费表'!B14,0)</f>
        <v>112</v>
      </c>
      <c r="K10" s="1940"/>
      <c r="L10" s="2969"/>
      <c r="M10" s="2970"/>
      <c r="N10" s="2970"/>
      <c r="O10" s="3015"/>
      <c r="P10" s="3527"/>
      <c r="Q10" s="1605" t="str">
        <f t="shared" si="6"/>
        <v>土地使用年限（年）</v>
      </c>
      <c r="R10" s="1651" t="s">
        <v>25</v>
      </c>
      <c r="S10" s="1652">
        <f t="shared" si="0"/>
        <v>112</v>
      </c>
      <c r="T10" s="1651" t="s">
        <v>25</v>
      </c>
      <c r="U10" s="1652">
        <f t="shared" si="1"/>
        <v>112</v>
      </c>
      <c r="V10" s="1651" t="s">
        <v>25</v>
      </c>
      <c r="W10" s="1652">
        <f t="shared" si="2"/>
        <v>112</v>
      </c>
      <c r="X10" s="1653"/>
      <c r="Y10" s="3452"/>
      <c r="Z10" s="1664" t="str">
        <f t="shared" si="7"/>
        <v>土地使用年限（年）</v>
      </c>
      <c r="AA10" s="1654">
        <f t="shared" si="3"/>
        <v>0.8928571428571429</v>
      </c>
      <c r="AB10" s="1654">
        <f t="shared" si="4"/>
        <v>0.8928571428571429</v>
      </c>
      <c r="AC10" s="1654">
        <f t="shared" si="5"/>
        <v>0.8928571428571429</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27"/>
      <c r="Q11" s="1605" t="str">
        <f t="shared" si="6"/>
        <v>容积率</v>
      </c>
      <c r="R11" s="1651" t="s">
        <v>25</v>
      </c>
      <c r="S11" s="1652" t="e">
        <f t="shared" si="0"/>
        <v>#N/A</v>
      </c>
      <c r="T11" s="1651" t="s">
        <v>25</v>
      </c>
      <c r="U11" s="1652" t="e">
        <f t="shared" si="1"/>
        <v>#N/A</v>
      </c>
      <c r="V11" s="1651" t="s">
        <v>25</v>
      </c>
      <c r="W11" s="1652" t="e">
        <f t="shared" si="2"/>
        <v>#N/A</v>
      </c>
      <c r="X11" s="1653"/>
      <c r="Y11" s="3452"/>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27"/>
      <c r="Q12" s="1605" t="str">
        <f t="shared" si="6"/>
        <v>配建</v>
      </c>
      <c r="R12" s="1651" t="s">
        <v>25</v>
      </c>
      <c r="S12" s="1652">
        <f t="shared" si="0"/>
        <v>100</v>
      </c>
      <c r="T12" s="1651" t="s">
        <v>25</v>
      </c>
      <c r="U12" s="1652">
        <f t="shared" si="1"/>
        <v>100</v>
      </c>
      <c r="V12" s="1651" t="s">
        <v>25</v>
      </c>
      <c r="W12" s="1652">
        <f t="shared" si="2"/>
        <v>100</v>
      </c>
      <c r="X12" s="1653"/>
      <c r="Y12" s="345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27"/>
      <c r="Q13" s="1605">
        <f t="shared" si="6"/>
        <v>111</v>
      </c>
      <c r="R13" s="1651" t="s">
        <v>25</v>
      </c>
      <c r="S13" s="1652">
        <f t="shared" si="0"/>
        <v>100</v>
      </c>
      <c r="T13" s="1651" t="s">
        <v>25</v>
      </c>
      <c r="U13" s="1652">
        <f t="shared" si="1"/>
        <v>100</v>
      </c>
      <c r="V13" s="1651" t="s">
        <v>25</v>
      </c>
      <c r="W13" s="1652">
        <f t="shared" si="2"/>
        <v>100</v>
      </c>
      <c r="X13" s="1653"/>
      <c r="Y13" s="345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27"/>
      <c r="Q14" s="1605">
        <f t="shared" si="6"/>
        <v>111</v>
      </c>
      <c r="R14" s="1651" t="s">
        <v>25</v>
      </c>
      <c r="S14" s="1652">
        <f t="shared" si="0"/>
        <v>100</v>
      </c>
      <c r="T14" s="1651" t="s">
        <v>25</v>
      </c>
      <c r="U14" s="1652">
        <f t="shared" si="1"/>
        <v>100</v>
      </c>
      <c r="V14" s="1651" t="s">
        <v>25</v>
      </c>
      <c r="W14" s="1652">
        <f t="shared" si="2"/>
        <v>100</v>
      </c>
      <c r="X14" s="1653"/>
      <c r="Y14" s="3452"/>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48" t="s">
        <v>2213</v>
      </c>
      <c r="Q15" s="1586" t="str">
        <f t="shared" si="6"/>
        <v>居住社区成熟度</v>
      </c>
      <c r="R15" s="1696" t="s">
        <v>25</v>
      </c>
      <c r="S15" s="1697">
        <f t="shared" si="0"/>
        <v>100</v>
      </c>
      <c r="T15" s="1696" t="s">
        <v>25</v>
      </c>
      <c r="U15" s="1697">
        <f t="shared" si="1"/>
        <v>100</v>
      </c>
      <c r="V15" s="1696" t="s">
        <v>25</v>
      </c>
      <c r="W15" s="1697">
        <f t="shared" si="2"/>
        <v>100</v>
      </c>
      <c r="X15" s="1636"/>
      <c r="Y15" s="3548"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49"/>
      <c r="Q16" s="1586"/>
      <c r="R16" s="1696"/>
      <c r="S16" s="1697"/>
      <c r="T16" s="1696"/>
      <c r="U16" s="1697"/>
      <c r="V16" s="1696"/>
      <c r="W16" s="1697"/>
      <c r="X16" s="1636"/>
      <c r="Y16" s="3549"/>
      <c r="Z16" s="1698"/>
      <c r="AA16" s="1699">
        <v>1</v>
      </c>
      <c r="AB16" s="1699">
        <v>1</v>
      </c>
      <c r="AC16" s="1699">
        <v>1</v>
      </c>
    </row>
    <row r="17" spans="1:29" ht="15">
      <c r="A17" s="1638"/>
      <c r="B17" s="1947" t="s">
        <v>2298</v>
      </c>
      <c r="C17" s="1948" t="str">
        <f>估价对象房地状况!C16</f>
        <v>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49"/>
      <c r="Q17" s="1586" t="str">
        <f>B17</f>
        <v>商业繁华度</v>
      </c>
      <c r="R17" s="1696" t="s">
        <v>25</v>
      </c>
      <c r="S17" s="1697">
        <f>F17</f>
        <v>100</v>
      </c>
      <c r="T17" s="1696" t="s">
        <v>25</v>
      </c>
      <c r="U17" s="1697">
        <f>H17</f>
        <v>100</v>
      </c>
      <c r="V17" s="1696" t="s">
        <v>25</v>
      </c>
      <c r="W17" s="1697">
        <f>J17</f>
        <v>100</v>
      </c>
      <c r="X17" s="1636"/>
      <c r="Y17" s="354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49"/>
      <c r="Q18" s="1586"/>
      <c r="R18" s="1696"/>
      <c r="S18" s="1697"/>
      <c r="T18" s="1696"/>
      <c r="U18" s="1697"/>
      <c r="V18" s="1696"/>
      <c r="W18" s="1697"/>
      <c r="X18" s="1636"/>
      <c r="Y18" s="3549"/>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49"/>
      <c r="Q19" s="1586" t="str">
        <f>B19</f>
        <v>办公集聚程度</v>
      </c>
      <c r="R19" s="1696" t="s">
        <v>25</v>
      </c>
      <c r="S19" s="1697">
        <f>F19</f>
        <v>100</v>
      </c>
      <c r="T19" s="1696" t="s">
        <v>25</v>
      </c>
      <c r="U19" s="1697">
        <f>H19</f>
        <v>100</v>
      </c>
      <c r="V19" s="1696" t="s">
        <v>25</v>
      </c>
      <c r="W19" s="1697">
        <f>J19</f>
        <v>100</v>
      </c>
      <c r="X19" s="1636"/>
      <c r="Y19" s="354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49"/>
      <c r="Q20" s="1586"/>
      <c r="R20" s="1696"/>
      <c r="S20" s="1697"/>
      <c r="T20" s="1696"/>
      <c r="U20" s="1697"/>
      <c r="V20" s="1696"/>
      <c r="W20" s="1697"/>
      <c r="X20" s="1636"/>
      <c r="Y20" s="3549"/>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49"/>
      <c r="Q21" s="1586" t="str">
        <f>B21</f>
        <v>交通便捷度</v>
      </c>
      <c r="R21" s="1696" t="s">
        <v>25</v>
      </c>
      <c r="S21" s="1697">
        <f>F21</f>
        <v>100</v>
      </c>
      <c r="T21" s="1696" t="s">
        <v>25</v>
      </c>
      <c r="U21" s="1697">
        <f>H21</f>
        <v>100</v>
      </c>
      <c r="V21" s="1696" t="s">
        <v>25</v>
      </c>
      <c r="W21" s="1697">
        <f>J21</f>
        <v>100</v>
      </c>
      <c r="X21" s="1636"/>
      <c r="Y21" s="354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49"/>
      <c r="Q22" s="1586"/>
      <c r="R22" s="1696"/>
      <c r="S22" s="1697"/>
      <c r="T22" s="1696"/>
      <c r="U22" s="1697"/>
      <c r="V22" s="1696"/>
      <c r="W22" s="1697"/>
      <c r="X22" s="1636"/>
      <c r="Y22" s="3549"/>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49"/>
      <c r="Q23" s="1586" t="str">
        <f t="shared" ref="Q23:Q37" si="8">B23</f>
        <v>区域土地利用方向</v>
      </c>
      <c r="R23" s="1696" t="s">
        <v>25</v>
      </c>
      <c r="S23" s="1697">
        <f>F23</f>
        <v>100</v>
      </c>
      <c r="T23" s="1696" t="s">
        <v>25</v>
      </c>
      <c r="U23" s="1697">
        <f>H23</f>
        <v>100</v>
      </c>
      <c r="V23" s="1696" t="s">
        <v>25</v>
      </c>
      <c r="W23" s="1697">
        <f>J23</f>
        <v>100</v>
      </c>
      <c r="X23" s="1636"/>
      <c r="Y23" s="354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49"/>
      <c r="Q24" s="1586"/>
      <c r="R24" s="1696"/>
      <c r="S24" s="1697"/>
      <c r="T24" s="1696"/>
      <c r="U24" s="1697"/>
      <c r="V24" s="1696"/>
      <c r="W24" s="1697"/>
      <c r="X24" s="1636"/>
      <c r="Y24" s="3549"/>
      <c r="Z24" s="1698"/>
      <c r="AA24" s="1699"/>
      <c r="AB24" s="1699"/>
      <c r="AC24" s="1699"/>
    </row>
    <row r="25" spans="1:29" ht="27">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49"/>
      <c r="Q25" s="1586" t="str">
        <f t="shared" si="8"/>
        <v>自然及人文环境状况</v>
      </c>
      <c r="R25" s="1696" t="s">
        <v>25</v>
      </c>
      <c r="S25" s="1697">
        <f>F25</f>
        <v>100</v>
      </c>
      <c r="T25" s="1696" t="s">
        <v>25</v>
      </c>
      <c r="U25" s="1697">
        <f>H25</f>
        <v>100</v>
      </c>
      <c r="V25" s="1696" t="s">
        <v>25</v>
      </c>
      <c r="W25" s="1697">
        <f>J25</f>
        <v>100</v>
      </c>
      <c r="X25" s="1636"/>
      <c r="Y25" s="354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49"/>
      <c r="Q26" s="1586"/>
      <c r="R26" s="1696"/>
      <c r="S26" s="1697"/>
      <c r="T26" s="1696"/>
      <c r="U26" s="1697"/>
      <c r="V26" s="1696"/>
      <c r="W26" s="1697"/>
      <c r="X26" s="1636"/>
      <c r="Y26" s="3549"/>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49"/>
      <c r="Q27" s="1605" t="str">
        <f t="shared" ref="Q27" si="9">B27</f>
        <v>公共配套设施</v>
      </c>
      <c r="R27" s="1651" t="s">
        <v>25</v>
      </c>
      <c r="S27" s="1652">
        <f>F27</f>
        <v>100</v>
      </c>
      <c r="T27" s="1651" t="s">
        <v>25</v>
      </c>
      <c r="U27" s="1652">
        <f>H27</f>
        <v>100</v>
      </c>
      <c r="V27" s="1651" t="s">
        <v>25</v>
      </c>
      <c r="W27" s="1652">
        <f>J27</f>
        <v>100</v>
      </c>
      <c r="X27" s="1636"/>
      <c r="Y27" s="354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49"/>
      <c r="Q28" s="1586"/>
      <c r="R28" s="1696"/>
      <c r="S28" s="1697"/>
      <c r="T28" s="1696"/>
      <c r="U28" s="1697"/>
      <c r="V28" s="1696"/>
      <c r="W28" s="1697"/>
      <c r="X28" s="1636"/>
      <c r="Y28" s="3549"/>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49"/>
      <c r="Q29" s="1605" t="str">
        <f t="shared" si="8"/>
        <v>基础设施水平</v>
      </c>
      <c r="R29" s="1651" t="s">
        <v>25</v>
      </c>
      <c r="S29" s="1652">
        <f>F29</f>
        <v>100</v>
      </c>
      <c r="T29" s="1651" t="s">
        <v>25</v>
      </c>
      <c r="U29" s="1652">
        <f>H29</f>
        <v>100</v>
      </c>
      <c r="V29" s="1651" t="s">
        <v>25</v>
      </c>
      <c r="W29" s="1652">
        <f>J29</f>
        <v>100</v>
      </c>
      <c r="X29" s="1653"/>
      <c r="Y29" s="354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49"/>
      <c r="Q30" s="1605"/>
      <c r="R30" s="1651"/>
      <c r="S30" s="1652"/>
      <c r="T30" s="1651"/>
      <c r="U30" s="1652"/>
      <c r="V30" s="1651"/>
      <c r="W30" s="1652"/>
      <c r="X30" s="1653"/>
      <c r="Y30" s="3549"/>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4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49"/>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49"/>
      <c r="Q32" s="1586" t="str">
        <f t="shared" si="8"/>
        <v>毗邻道路的类型与等级</v>
      </c>
      <c r="R32" s="1696" t="s">
        <v>25</v>
      </c>
      <c r="S32" s="1697">
        <f t="shared" si="10"/>
        <v>100</v>
      </c>
      <c r="T32" s="1696" t="s">
        <v>25</v>
      </c>
      <c r="U32" s="1697">
        <f t="shared" si="11"/>
        <v>100</v>
      </c>
      <c r="V32" s="1696" t="s">
        <v>25</v>
      </c>
      <c r="W32" s="1697">
        <f t="shared" si="12"/>
        <v>100</v>
      </c>
      <c r="X32" s="1636"/>
      <c r="Y32" s="354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49"/>
      <c r="Q33" s="1586"/>
      <c r="R33" s="1696"/>
      <c r="S33" s="1697"/>
      <c r="T33" s="1696"/>
      <c r="U33" s="1697"/>
      <c r="V33" s="1696"/>
      <c r="W33" s="1697"/>
      <c r="X33" s="1636"/>
      <c r="Y33" s="3549"/>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49"/>
      <c r="Q34" s="1586" t="str">
        <f t="shared" si="8"/>
        <v>土地级别</v>
      </c>
      <c r="R34" s="1696" t="s">
        <v>25</v>
      </c>
      <c r="S34" s="1697">
        <f t="shared" si="10"/>
        <v>100</v>
      </c>
      <c r="T34" s="1696" t="s">
        <v>25</v>
      </c>
      <c r="U34" s="1697">
        <f t="shared" si="11"/>
        <v>100</v>
      </c>
      <c r="V34" s="1696" t="s">
        <v>25</v>
      </c>
      <c r="W34" s="1697">
        <f t="shared" si="12"/>
        <v>100</v>
      </c>
      <c r="X34" s="1636"/>
      <c r="Y34" s="354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49"/>
      <c r="Q35" s="1586">
        <f t="shared" si="8"/>
        <v>111</v>
      </c>
      <c r="R35" s="1696" t="s">
        <v>25</v>
      </c>
      <c r="S35" s="1697">
        <f t="shared" si="10"/>
        <v>100</v>
      </c>
      <c r="T35" s="1696" t="s">
        <v>25</v>
      </c>
      <c r="U35" s="1697">
        <f t="shared" si="11"/>
        <v>100</v>
      </c>
      <c r="V35" s="1696" t="s">
        <v>25</v>
      </c>
      <c r="W35" s="1697">
        <f t="shared" si="12"/>
        <v>100</v>
      </c>
      <c r="X35" s="1636"/>
      <c r="Y35" s="354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61" t="s">
        <v>2219</v>
      </c>
      <c r="Q36" s="1586">
        <f t="shared" si="8"/>
        <v>111</v>
      </c>
      <c r="R36" s="1696" t="s">
        <v>25</v>
      </c>
      <c r="S36" s="1697">
        <f t="shared" si="10"/>
        <v>100</v>
      </c>
      <c r="T36" s="1696" t="s">
        <v>25</v>
      </c>
      <c r="U36" s="1697">
        <f t="shared" si="11"/>
        <v>100</v>
      </c>
      <c r="V36" s="1696" t="s">
        <v>25</v>
      </c>
      <c r="W36" s="1697">
        <f t="shared" si="12"/>
        <v>100</v>
      </c>
      <c r="X36" s="1636"/>
      <c r="Y36" s="3535"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35"/>
      <c r="Q37" s="1586">
        <f t="shared" si="8"/>
        <v>111</v>
      </c>
      <c r="R37" s="1738" t="s">
        <v>25</v>
      </c>
      <c r="S37" s="1739">
        <f t="shared" si="10"/>
        <v>100</v>
      </c>
      <c r="T37" s="1738" t="s">
        <v>25</v>
      </c>
      <c r="U37" s="1739">
        <f t="shared" si="11"/>
        <v>100</v>
      </c>
      <c r="V37" s="1738" t="s">
        <v>25</v>
      </c>
      <c r="W37" s="1739">
        <f t="shared" si="12"/>
        <v>100</v>
      </c>
      <c r="X37" s="1740"/>
      <c r="Y37" s="3535"/>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35"/>
      <c r="Q38" s="1586" t="str">
        <f>B38</f>
        <v>宗地面积</v>
      </c>
      <c r="R38" s="1696" t="s">
        <v>25</v>
      </c>
      <c r="S38" s="1697" t="e">
        <f t="shared" si="10"/>
        <v>#N/A</v>
      </c>
      <c r="T38" s="1696" t="s">
        <v>25</v>
      </c>
      <c r="U38" s="1697" t="e">
        <f t="shared" si="11"/>
        <v>#N/A</v>
      </c>
      <c r="V38" s="1696" t="s">
        <v>25</v>
      </c>
      <c r="W38" s="1697" t="e">
        <f t="shared" si="12"/>
        <v>#N/A</v>
      </c>
      <c r="X38" s="1636"/>
      <c r="Y38" s="3535"/>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35"/>
      <c r="Q39" s="1586" t="str">
        <f t="shared" ref="Q39:Q45" si="14">B39</f>
        <v>宗地形状</v>
      </c>
      <c r="R39" s="1696" t="s">
        <v>25</v>
      </c>
      <c r="S39" s="1697">
        <f t="shared" si="10"/>
        <v>100</v>
      </c>
      <c r="T39" s="1696" t="s">
        <v>25</v>
      </c>
      <c r="U39" s="1697">
        <f t="shared" si="11"/>
        <v>100</v>
      </c>
      <c r="V39" s="1696" t="s">
        <v>25</v>
      </c>
      <c r="W39" s="1697">
        <f t="shared" si="12"/>
        <v>100</v>
      </c>
      <c r="X39" s="1636"/>
      <c r="Y39" s="3535"/>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35"/>
      <c r="Q40" s="1586" t="str">
        <f t="shared" si="14"/>
        <v>临街宽度及深度</v>
      </c>
      <c r="R40" s="1696" t="s">
        <v>25</v>
      </c>
      <c r="S40" s="1697">
        <f t="shared" si="10"/>
        <v>100</v>
      </c>
      <c r="T40" s="1696" t="s">
        <v>25</v>
      </c>
      <c r="U40" s="1697">
        <f t="shared" si="11"/>
        <v>100</v>
      </c>
      <c r="V40" s="1696" t="s">
        <v>25</v>
      </c>
      <c r="W40" s="1697">
        <f t="shared" si="12"/>
        <v>100</v>
      </c>
      <c r="X40" s="1636"/>
      <c r="Y40" s="3535"/>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35"/>
      <c r="Q41" s="1586" t="str">
        <f t="shared" si="14"/>
        <v>宗地开发程度</v>
      </c>
      <c r="R41" s="1651" t="s">
        <v>25</v>
      </c>
      <c r="S41" s="1652">
        <f t="shared" si="10"/>
        <v>100</v>
      </c>
      <c r="T41" s="1651" t="s">
        <v>25</v>
      </c>
      <c r="U41" s="1652">
        <f t="shared" si="11"/>
        <v>100</v>
      </c>
      <c r="V41" s="1651" t="s">
        <v>25</v>
      </c>
      <c r="W41" s="1652">
        <f t="shared" si="12"/>
        <v>100</v>
      </c>
      <c r="X41" s="1653"/>
      <c r="Y41" s="3535"/>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35" t="s">
        <v>2219</v>
      </c>
      <c r="Q42" s="1586" t="str">
        <f t="shared" si="14"/>
        <v>工程地质条件</v>
      </c>
      <c r="R42" s="1696" t="s">
        <v>25</v>
      </c>
      <c r="S42" s="1697">
        <f t="shared" si="10"/>
        <v>100</v>
      </c>
      <c r="T42" s="1696" t="s">
        <v>25</v>
      </c>
      <c r="U42" s="1697">
        <f t="shared" si="11"/>
        <v>100</v>
      </c>
      <c r="V42" s="1696" t="s">
        <v>25</v>
      </c>
      <c r="W42" s="1697">
        <f t="shared" si="12"/>
        <v>100</v>
      </c>
      <c r="X42" s="1636"/>
      <c r="Y42" s="3535"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35"/>
      <c r="Q43" s="1586">
        <f t="shared" si="14"/>
        <v>111</v>
      </c>
      <c r="R43" s="1696" t="s">
        <v>25</v>
      </c>
      <c r="S43" s="1697">
        <f t="shared" si="10"/>
        <v>100</v>
      </c>
      <c r="T43" s="1696" t="s">
        <v>25</v>
      </c>
      <c r="U43" s="1697">
        <f t="shared" si="11"/>
        <v>100</v>
      </c>
      <c r="V43" s="1696" t="s">
        <v>25</v>
      </c>
      <c r="W43" s="1697">
        <f t="shared" si="12"/>
        <v>100</v>
      </c>
      <c r="X43" s="1636"/>
      <c r="Y43" s="353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35"/>
      <c r="Q44" s="1586">
        <f t="shared" si="14"/>
        <v>111</v>
      </c>
      <c r="R44" s="1696" t="s">
        <v>25</v>
      </c>
      <c r="S44" s="1697">
        <f t="shared" si="10"/>
        <v>100</v>
      </c>
      <c r="T44" s="1696" t="s">
        <v>25</v>
      </c>
      <c r="U44" s="1697">
        <f t="shared" si="11"/>
        <v>100</v>
      </c>
      <c r="V44" s="1696" t="s">
        <v>25</v>
      </c>
      <c r="W44" s="1697">
        <f t="shared" si="12"/>
        <v>100</v>
      </c>
      <c r="X44" s="1636"/>
      <c r="Y44" s="3535"/>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35"/>
      <c r="Q45" s="1586">
        <f t="shared" si="14"/>
        <v>111</v>
      </c>
      <c r="R45" s="1738" t="s">
        <v>25</v>
      </c>
      <c r="S45" s="1739">
        <f t="shared" si="10"/>
        <v>100</v>
      </c>
      <c r="T45" s="1738" t="s">
        <v>25</v>
      </c>
      <c r="U45" s="1739">
        <f t="shared" si="11"/>
        <v>100</v>
      </c>
      <c r="V45" s="1738" t="s">
        <v>25</v>
      </c>
      <c r="W45" s="1739">
        <f t="shared" si="12"/>
        <v>100</v>
      </c>
      <c r="X45" s="1740"/>
      <c r="Y45" s="3535"/>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27" t="str">
        <f>A46</f>
        <v>成交单价</v>
      </c>
      <c r="Q46" s="3527"/>
      <c r="R46" s="3563">
        <f>E46</f>
        <v>0</v>
      </c>
      <c r="S46" s="3563"/>
      <c r="T46" s="3563">
        <f>G46</f>
        <v>0</v>
      </c>
      <c r="U46" s="3563"/>
      <c r="V46" s="3563">
        <f>I46</f>
        <v>0</v>
      </c>
      <c r="W46" s="3563"/>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27" t="str">
        <f>A47</f>
        <v>比较价值（元/平方米）</v>
      </c>
      <c r="Q47" s="3527"/>
      <c r="R47" s="3704" t="e">
        <f>ROUND(PRODUCT(R46,AA7:AA45),0)</f>
        <v>#DIV/0!</v>
      </c>
      <c r="S47" s="3704"/>
      <c r="T47" s="3704" t="e">
        <f>ROUND(PRODUCT(T46,AB7:AB45),0)</f>
        <v>#DIV/0!</v>
      </c>
      <c r="U47" s="3704"/>
      <c r="V47" s="3704" t="e">
        <f>ROUND(PRODUCT(V46,AC7:AC45),0)</f>
        <v>#DIV/0!</v>
      </c>
      <c r="W47" s="370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29" t="str">
        <f>A48</f>
        <v>估价对象XX用房的比较价值（楼面单价，元/平方米）</v>
      </c>
      <c r="Q48" s="3530"/>
      <c r="R48" s="3705" t="e">
        <f>ROUND(IF(D47="简单平均",AVERAGE(R47:W47),R47*F47+T47*H47+V47*J47),0)</f>
        <v>#DIV/0!</v>
      </c>
      <c r="S48" s="3705"/>
      <c r="T48" s="3705"/>
      <c r="U48" s="3705"/>
      <c r="V48" s="3705"/>
      <c r="W48" s="3705"/>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101</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70" t="s">
        <v>2202</v>
      </c>
      <c r="Q7" s="3678"/>
      <c r="R7" s="627" t="s">
        <v>25</v>
      </c>
      <c r="S7" s="628">
        <f t="shared" ref="S7:S15" si="0">F7</f>
        <v>0</v>
      </c>
      <c r="T7" s="627" t="s">
        <v>25</v>
      </c>
      <c r="U7" s="628">
        <f t="shared" ref="U7:U15" si="1">H7</f>
        <v>0</v>
      </c>
      <c r="V7" s="627" t="s">
        <v>25</v>
      </c>
      <c r="W7" s="628">
        <f t="shared" ref="W7:W15" si="2">J7</f>
        <v>0</v>
      </c>
      <c r="X7" s="629"/>
      <c r="Y7" s="3670" t="s">
        <v>2202</v>
      </c>
      <c r="Z7" s="367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2" t="s">
        <v>2208</v>
      </c>
      <c r="Q9" s="1297" t="str">
        <f t="shared" ref="Q9:Q15" si="6">B9</f>
        <v>用途</v>
      </c>
      <c r="R9" s="627" t="s">
        <v>25</v>
      </c>
      <c r="S9" s="628">
        <f t="shared" si="0"/>
        <v>100</v>
      </c>
      <c r="T9" s="627" t="s">
        <v>25</v>
      </c>
      <c r="U9" s="628">
        <f t="shared" si="1"/>
        <v>100</v>
      </c>
      <c r="V9" s="627" t="s">
        <v>25</v>
      </c>
      <c r="W9" s="628">
        <f t="shared" si="2"/>
        <v>100</v>
      </c>
      <c r="X9" s="629"/>
      <c r="Y9" s="3681"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112</v>
      </c>
      <c r="G10" s="322"/>
      <c r="H10" s="29">
        <f>ROUND(100/'数据-取费表'!B14,0)</f>
        <v>112</v>
      </c>
      <c r="I10" s="322"/>
      <c r="J10" s="29">
        <f>ROUND(100/'数据-取费表'!B14,0)</f>
        <v>112</v>
      </c>
      <c r="K10" s="553"/>
      <c r="L10" s="3000"/>
      <c r="M10" s="3001"/>
      <c r="N10" s="3001"/>
      <c r="O10" s="3002"/>
      <c r="P10" s="3662"/>
      <c r="Q10" s="1297" t="str">
        <f t="shared" si="6"/>
        <v>土地使用年限（年）</v>
      </c>
      <c r="R10" s="627" t="s">
        <v>25</v>
      </c>
      <c r="S10" s="628">
        <f t="shared" si="0"/>
        <v>112</v>
      </c>
      <c r="T10" s="627" t="s">
        <v>25</v>
      </c>
      <c r="U10" s="628">
        <f t="shared" si="1"/>
        <v>112</v>
      </c>
      <c r="V10" s="627" t="s">
        <v>25</v>
      </c>
      <c r="W10" s="628">
        <f t="shared" si="2"/>
        <v>112</v>
      </c>
      <c r="X10" s="629"/>
      <c r="Y10" s="3681"/>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79" t="s">
        <v>2213</v>
      </c>
      <c r="Q15" s="1304" t="str">
        <f t="shared" si="6"/>
        <v>产业集聚程度</v>
      </c>
      <c r="R15" s="631" t="s">
        <v>25</v>
      </c>
      <c r="S15" s="632">
        <f t="shared" si="0"/>
        <v>100</v>
      </c>
      <c r="T15" s="631" t="s">
        <v>25</v>
      </c>
      <c r="U15" s="632">
        <f t="shared" si="1"/>
        <v>100</v>
      </c>
      <c r="V15" s="631" t="s">
        <v>25</v>
      </c>
      <c r="W15" s="632">
        <f t="shared" si="2"/>
        <v>100</v>
      </c>
      <c r="X15" s="1305"/>
      <c r="Y15" s="367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80"/>
      <c r="Q16" s="1304"/>
      <c r="R16" s="631"/>
      <c r="S16" s="632"/>
      <c r="T16" s="631"/>
      <c r="U16" s="632"/>
      <c r="V16" s="631"/>
      <c r="W16" s="632"/>
      <c r="X16" s="1305"/>
      <c r="Y16" s="3680"/>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80"/>
      <c r="Q18" s="1304"/>
      <c r="R18" s="631"/>
      <c r="S18" s="632"/>
      <c r="T18" s="631"/>
      <c r="U18" s="632"/>
      <c r="V18" s="631"/>
      <c r="W18" s="632"/>
      <c r="X18" s="1305"/>
      <c r="Y18" s="3680"/>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80"/>
      <c r="Q19" s="1304" t="str">
        <f t="shared" ref="Q19:Q33" si="8">B19</f>
        <v>区域土地利用方向</v>
      </c>
      <c r="R19" s="631" t="s">
        <v>25</v>
      </c>
      <c r="S19" s="632">
        <f>F19</f>
        <v>100</v>
      </c>
      <c r="T19" s="631" t="s">
        <v>25</v>
      </c>
      <c r="U19" s="632">
        <f>H19</f>
        <v>100</v>
      </c>
      <c r="V19" s="631" t="s">
        <v>25</v>
      </c>
      <c r="W19" s="632">
        <f>J19</f>
        <v>100</v>
      </c>
      <c r="X19" s="1305"/>
      <c r="Y19" s="368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80"/>
      <c r="Q20" s="1304"/>
      <c r="R20" s="631"/>
      <c r="S20" s="632"/>
      <c r="T20" s="631"/>
      <c r="U20" s="632"/>
      <c r="V20" s="631"/>
      <c r="W20" s="632"/>
      <c r="X20" s="1305"/>
      <c r="Y20" s="3680"/>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80"/>
      <c r="Q21" s="1304" t="str">
        <f t="shared" si="8"/>
        <v>环境状况</v>
      </c>
      <c r="R21" s="631" t="s">
        <v>25</v>
      </c>
      <c r="S21" s="632">
        <f>F21</f>
        <v>100</v>
      </c>
      <c r="T21" s="631" t="s">
        <v>25</v>
      </c>
      <c r="U21" s="632">
        <f>H21</f>
        <v>100</v>
      </c>
      <c r="V21" s="631" t="s">
        <v>25</v>
      </c>
      <c r="W21" s="632">
        <f>J21</f>
        <v>100</v>
      </c>
      <c r="X21" s="1305"/>
      <c r="Y21" s="368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80"/>
      <c r="Q22" s="1304"/>
      <c r="R22" s="631"/>
      <c r="S22" s="632"/>
      <c r="T22" s="631"/>
      <c r="U22" s="632"/>
      <c r="V22" s="631"/>
      <c r="W22" s="632"/>
      <c r="X22" s="1305"/>
      <c r="Y22" s="3680"/>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80"/>
      <c r="Q23" s="1297" t="str">
        <f t="shared" si="8"/>
        <v>公共配套设施</v>
      </c>
      <c r="R23" s="627" t="s">
        <v>25</v>
      </c>
      <c r="S23" s="628">
        <f>F23</f>
        <v>100</v>
      </c>
      <c r="T23" s="627" t="s">
        <v>25</v>
      </c>
      <c r="U23" s="628">
        <f>H23</f>
        <v>100</v>
      </c>
      <c r="V23" s="627" t="s">
        <v>25</v>
      </c>
      <c r="W23" s="628">
        <f>J23</f>
        <v>100</v>
      </c>
      <c r="X23" s="629"/>
      <c r="Y23" s="368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80"/>
      <c r="Q24" s="1297"/>
      <c r="R24" s="627"/>
      <c r="S24" s="628"/>
      <c r="T24" s="627"/>
      <c r="U24" s="628"/>
      <c r="V24" s="627"/>
      <c r="W24" s="628"/>
      <c r="X24" s="629"/>
      <c r="Y24" s="3680"/>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80"/>
      <c r="Q25" s="1297" t="str">
        <f t="shared" ref="Q25" si="9">B25</f>
        <v>基础设施水平</v>
      </c>
      <c r="R25" s="627" t="s">
        <v>25</v>
      </c>
      <c r="S25" s="628">
        <f>F25</f>
        <v>100</v>
      </c>
      <c r="T25" s="627" t="s">
        <v>25</v>
      </c>
      <c r="U25" s="628">
        <f>H25</f>
        <v>100</v>
      </c>
      <c r="V25" s="627" t="s">
        <v>25</v>
      </c>
      <c r="W25" s="628">
        <f>J25</f>
        <v>100</v>
      </c>
      <c r="X25" s="629"/>
      <c r="Y25" s="368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80"/>
      <c r="Q26" s="1297"/>
      <c r="R26" s="627"/>
      <c r="S26" s="628"/>
      <c r="T26" s="627"/>
      <c r="U26" s="628"/>
      <c r="V26" s="627"/>
      <c r="W26" s="628"/>
      <c r="X26" s="629"/>
      <c r="Y26" s="368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8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0"/>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80"/>
      <c r="Q28" s="1304" t="str">
        <f t="shared" si="8"/>
        <v>毗邻道路的类型与等级</v>
      </c>
      <c r="R28" s="631" t="s">
        <v>25</v>
      </c>
      <c r="S28" s="632">
        <f t="shared" si="10"/>
        <v>100</v>
      </c>
      <c r="T28" s="631" t="s">
        <v>25</v>
      </c>
      <c r="U28" s="632">
        <f t="shared" si="11"/>
        <v>100</v>
      </c>
      <c r="V28" s="631" t="s">
        <v>25</v>
      </c>
      <c r="W28" s="632">
        <f t="shared" si="12"/>
        <v>100</v>
      </c>
      <c r="X28" s="1305"/>
      <c r="Y28" s="368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80"/>
      <c r="Q29" s="1304"/>
      <c r="R29" s="631"/>
      <c r="S29" s="632"/>
      <c r="T29" s="631"/>
      <c r="U29" s="632"/>
      <c r="V29" s="631"/>
      <c r="W29" s="632"/>
      <c r="X29" s="1305"/>
      <c r="Y29" s="368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80"/>
      <c r="Q30" s="1304" t="str">
        <f t="shared" si="8"/>
        <v>土地级别</v>
      </c>
      <c r="R30" s="631" t="s">
        <v>25</v>
      </c>
      <c r="S30" s="632">
        <f t="shared" si="10"/>
        <v>100</v>
      </c>
      <c r="T30" s="631" t="s">
        <v>25</v>
      </c>
      <c r="U30" s="632">
        <f t="shared" si="11"/>
        <v>100</v>
      </c>
      <c r="V30" s="631" t="s">
        <v>25</v>
      </c>
      <c r="W30" s="632">
        <f t="shared" si="12"/>
        <v>100</v>
      </c>
      <c r="X30" s="1305"/>
      <c r="Y30" s="368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80"/>
      <c r="Q31" s="1304">
        <f t="shared" si="8"/>
        <v>111</v>
      </c>
      <c r="R31" s="631" t="s">
        <v>25</v>
      </c>
      <c r="S31" s="632">
        <f t="shared" si="10"/>
        <v>100</v>
      </c>
      <c r="T31" s="631" t="s">
        <v>25</v>
      </c>
      <c r="U31" s="632">
        <f t="shared" si="11"/>
        <v>100</v>
      </c>
      <c r="V31" s="631" t="s">
        <v>25</v>
      </c>
      <c r="W31" s="632">
        <f t="shared" si="12"/>
        <v>100</v>
      </c>
      <c r="X31" s="1305"/>
      <c r="Y31" s="368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7" t="s">
        <v>2219</v>
      </c>
      <c r="Q32" s="1304">
        <f t="shared" si="8"/>
        <v>111</v>
      </c>
      <c r="R32" s="631" t="s">
        <v>25</v>
      </c>
      <c r="S32" s="632">
        <f t="shared" si="10"/>
        <v>100</v>
      </c>
      <c r="T32" s="631" t="s">
        <v>25</v>
      </c>
      <c r="U32" s="632">
        <f t="shared" si="11"/>
        <v>100</v>
      </c>
      <c r="V32" s="631" t="s">
        <v>25</v>
      </c>
      <c r="W32" s="632">
        <f t="shared" si="12"/>
        <v>100</v>
      </c>
      <c r="X32" s="1305"/>
      <c r="Y32" s="366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8"/>
      <c r="Q33" s="1304">
        <f t="shared" si="8"/>
        <v>111</v>
      </c>
      <c r="R33" s="634" t="s">
        <v>25</v>
      </c>
      <c r="S33" s="635">
        <f t="shared" si="10"/>
        <v>100</v>
      </c>
      <c r="T33" s="634" t="s">
        <v>25</v>
      </c>
      <c r="U33" s="635">
        <f t="shared" si="11"/>
        <v>100</v>
      </c>
      <c r="V33" s="634" t="s">
        <v>25</v>
      </c>
      <c r="W33" s="635">
        <f t="shared" si="12"/>
        <v>100</v>
      </c>
      <c r="X33" s="636"/>
      <c r="Y33" s="366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8"/>
      <c r="Q34" s="1304" t="str">
        <f>B34</f>
        <v>宗地面积</v>
      </c>
      <c r="R34" s="631" t="s">
        <v>25</v>
      </c>
      <c r="S34" s="632" t="e">
        <f t="shared" si="10"/>
        <v>#N/A</v>
      </c>
      <c r="T34" s="631" t="s">
        <v>25</v>
      </c>
      <c r="U34" s="632" t="e">
        <f t="shared" si="11"/>
        <v>#N/A</v>
      </c>
      <c r="V34" s="631" t="s">
        <v>25</v>
      </c>
      <c r="W34" s="632" t="e">
        <f t="shared" si="12"/>
        <v>#N/A</v>
      </c>
      <c r="X34" s="1305"/>
      <c r="Y34" s="366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8"/>
      <c r="Q35" s="1304" t="str">
        <f t="shared" ref="Q35:Q40" si="14">B35</f>
        <v>宗地形状</v>
      </c>
      <c r="R35" s="631" t="s">
        <v>25</v>
      </c>
      <c r="S35" s="632">
        <f t="shared" si="10"/>
        <v>100</v>
      </c>
      <c r="T35" s="631" t="s">
        <v>25</v>
      </c>
      <c r="U35" s="632">
        <f t="shared" si="11"/>
        <v>100</v>
      </c>
      <c r="V35" s="631" t="s">
        <v>25</v>
      </c>
      <c r="W35" s="632">
        <f t="shared" si="12"/>
        <v>100</v>
      </c>
      <c r="X35" s="1305"/>
      <c r="Y35" s="366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8"/>
      <c r="Q36" s="1304" t="str">
        <f t="shared" si="14"/>
        <v>宗地开发程度</v>
      </c>
      <c r="R36" s="627" t="s">
        <v>25</v>
      </c>
      <c r="S36" s="628">
        <f t="shared" si="10"/>
        <v>100</v>
      </c>
      <c r="T36" s="627" t="s">
        <v>25</v>
      </c>
      <c r="U36" s="628">
        <f t="shared" si="11"/>
        <v>100</v>
      </c>
      <c r="V36" s="627" t="s">
        <v>25</v>
      </c>
      <c r="W36" s="628">
        <f t="shared" si="12"/>
        <v>100</v>
      </c>
      <c r="X36" s="629"/>
      <c r="Y36" s="366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8" t="s">
        <v>2219</v>
      </c>
      <c r="Q37" s="1304" t="str">
        <f t="shared" si="14"/>
        <v>工程地质条件</v>
      </c>
      <c r="R37" s="631" t="s">
        <v>25</v>
      </c>
      <c r="S37" s="632">
        <f t="shared" si="10"/>
        <v>100</v>
      </c>
      <c r="T37" s="631" t="s">
        <v>25</v>
      </c>
      <c r="U37" s="632">
        <f t="shared" si="11"/>
        <v>100</v>
      </c>
      <c r="V37" s="631" t="s">
        <v>25</v>
      </c>
      <c r="W37" s="632">
        <f t="shared" si="12"/>
        <v>100</v>
      </c>
      <c r="X37" s="1305"/>
      <c r="Y37" s="366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8"/>
      <c r="Q38" s="1304">
        <f t="shared" si="14"/>
        <v>111</v>
      </c>
      <c r="R38" s="631" t="s">
        <v>25</v>
      </c>
      <c r="S38" s="632">
        <f t="shared" si="10"/>
        <v>100</v>
      </c>
      <c r="T38" s="631" t="s">
        <v>25</v>
      </c>
      <c r="U38" s="632">
        <f t="shared" si="11"/>
        <v>100</v>
      </c>
      <c r="V38" s="631" t="s">
        <v>25</v>
      </c>
      <c r="W38" s="632">
        <f t="shared" si="12"/>
        <v>100</v>
      </c>
      <c r="X38" s="1305"/>
      <c r="Y38" s="366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8"/>
      <c r="Q39" s="1304">
        <f t="shared" si="14"/>
        <v>111</v>
      </c>
      <c r="R39" s="631" t="s">
        <v>25</v>
      </c>
      <c r="S39" s="632">
        <f t="shared" si="10"/>
        <v>100</v>
      </c>
      <c r="T39" s="631" t="s">
        <v>25</v>
      </c>
      <c r="U39" s="632">
        <f t="shared" si="11"/>
        <v>100</v>
      </c>
      <c r="V39" s="631" t="s">
        <v>25</v>
      </c>
      <c r="W39" s="632">
        <f t="shared" si="12"/>
        <v>100</v>
      </c>
      <c r="X39" s="1305"/>
      <c r="Y39" s="366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8"/>
      <c r="Q40" s="1304">
        <f t="shared" si="14"/>
        <v>111</v>
      </c>
      <c r="R40" s="634" t="s">
        <v>25</v>
      </c>
      <c r="S40" s="635">
        <f t="shared" si="10"/>
        <v>100</v>
      </c>
      <c r="T40" s="634" t="s">
        <v>25</v>
      </c>
      <c r="U40" s="635">
        <f t="shared" si="11"/>
        <v>100</v>
      </c>
      <c r="V40" s="634" t="s">
        <v>25</v>
      </c>
      <c r="W40" s="635">
        <f t="shared" si="12"/>
        <v>100</v>
      </c>
      <c r="X40" s="636"/>
      <c r="Y40" s="366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62" t="str">
        <f>A41</f>
        <v>成交单价</v>
      </c>
      <c r="Q41" s="3662"/>
      <c r="R41" s="3695">
        <f>E41</f>
        <v>0</v>
      </c>
      <c r="S41" s="3695"/>
      <c r="T41" s="3695">
        <f>G41</f>
        <v>0</v>
      </c>
      <c r="U41" s="3695"/>
      <c r="V41" s="3695">
        <f>I41</f>
        <v>0</v>
      </c>
      <c r="W41" s="3695"/>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2" t="str">
        <f>A42</f>
        <v>比较价值（元/平方米）</v>
      </c>
      <c r="Q42" s="3662"/>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64" t="str">
        <f>A43</f>
        <v>估价对象XX用房的比较价值（楼面单价，元/平方米）</v>
      </c>
      <c r="Q43" s="3665"/>
      <c r="R43" s="3706" t="e">
        <f>ROUND(IF(D42="简单平均",AVERAGE(R42:W42),R42*F42+T42*H42+V42*J42),0)</f>
        <v>#DIV/0!</v>
      </c>
      <c r="S43" s="3706"/>
      <c r="T43" s="3706"/>
      <c r="U43" s="3706"/>
      <c r="V43" s="3706"/>
      <c r="W43" s="3706"/>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101</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8" t="s">
        <v>779</v>
      </c>
      <c r="B1" s="370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8" t="s">
        <v>105</v>
      </c>
      <c r="B1" s="3708"/>
      <c r="C1" s="3708"/>
      <c r="D1" s="3708"/>
      <c r="E1" s="3708"/>
      <c r="F1" s="370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9" t="s">
        <v>118</v>
      </c>
      <c r="B2" s="3709"/>
      <c r="C2" s="3709"/>
      <c r="D2" s="3709"/>
      <c r="E2" s="3709"/>
      <c r="F2" s="370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5540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2" t="s">
        <v>132</v>
      </c>
      <c r="B18" s="768" t="s">
        <v>517</v>
      </c>
      <c r="C18" s="769" t="s">
        <v>518</v>
      </c>
      <c r="D18" s="770"/>
      <c r="E18" s="768">
        <v>1</v>
      </c>
      <c r="F18" s="771" t="s">
        <v>519</v>
      </c>
      <c r="G18" s="772"/>
      <c r="H18" s="764"/>
      <c r="I18" s="764"/>
    </row>
    <row r="19" spans="1:9" s="773" customFormat="1" ht="19.5" customHeight="1">
      <c r="A19" s="3712"/>
      <c r="B19" s="3712" t="s">
        <v>520</v>
      </c>
      <c r="C19" s="769" t="s">
        <v>521</v>
      </c>
      <c r="D19" s="770"/>
      <c r="E19" s="768">
        <v>0.9</v>
      </c>
      <c r="F19" s="771" t="s">
        <v>522</v>
      </c>
      <c r="G19" s="772"/>
      <c r="H19" s="764"/>
      <c r="I19" s="764"/>
    </row>
    <row r="20" spans="1:9" s="773" customFormat="1" ht="19.5" customHeight="1">
      <c r="A20" s="3712"/>
      <c r="B20" s="3712"/>
      <c r="C20" s="769" t="s">
        <v>523</v>
      </c>
      <c r="D20" s="770"/>
      <c r="E20" s="768">
        <v>1.1000000000000001</v>
      </c>
      <c r="F20" s="771" t="s">
        <v>524</v>
      </c>
      <c r="G20" s="772"/>
      <c r="H20" s="764"/>
      <c r="I20" s="764"/>
    </row>
    <row r="21" spans="1:9" s="773" customFormat="1" ht="19.5" customHeight="1">
      <c r="A21" s="3712"/>
      <c r="B21" s="3712"/>
      <c r="C21" s="769" t="s">
        <v>525</v>
      </c>
      <c r="D21" s="770"/>
      <c r="E21" s="768">
        <v>0.8</v>
      </c>
      <c r="F21" s="771" t="s">
        <v>526</v>
      </c>
      <c r="G21" s="772"/>
      <c r="H21" s="764"/>
      <c r="I21" s="764"/>
    </row>
    <row r="22" spans="1:9" s="773" customFormat="1" ht="19.5" customHeight="1">
      <c r="A22" s="3712"/>
      <c r="B22" s="3712"/>
      <c r="C22" s="769" t="s">
        <v>527</v>
      </c>
      <c r="D22" s="770"/>
      <c r="E22" s="768">
        <v>0.5</v>
      </c>
      <c r="F22" s="771"/>
      <c r="G22" s="772"/>
      <c r="H22" s="764"/>
      <c r="I22" s="764"/>
    </row>
    <row r="23" spans="1:9" s="773" customFormat="1" ht="19.5" customHeight="1">
      <c r="A23" s="3712" t="s">
        <v>133</v>
      </c>
      <c r="B23" s="768" t="s">
        <v>517</v>
      </c>
      <c r="C23" s="769" t="s">
        <v>528</v>
      </c>
      <c r="D23" s="770"/>
      <c r="E23" s="768">
        <v>1</v>
      </c>
      <c r="F23" s="771" t="s">
        <v>529</v>
      </c>
      <c r="G23" s="772"/>
      <c r="H23" s="764"/>
      <c r="I23" s="764"/>
    </row>
    <row r="24" spans="1:9" s="773" customFormat="1" ht="19.5" customHeight="1">
      <c r="A24" s="3712"/>
      <c r="B24" s="3712" t="s">
        <v>520</v>
      </c>
      <c r="C24" s="769" t="s">
        <v>530</v>
      </c>
      <c r="D24" s="770"/>
      <c r="E24" s="768">
        <v>0.5</v>
      </c>
      <c r="F24" s="771"/>
      <c r="G24" s="772"/>
      <c r="H24" s="764"/>
      <c r="I24" s="764"/>
    </row>
    <row r="25" spans="1:9" s="773" customFormat="1" ht="19.5" customHeight="1">
      <c r="A25" s="3712"/>
      <c r="B25" s="3712"/>
      <c r="C25" s="769" t="s">
        <v>531</v>
      </c>
      <c r="D25" s="770"/>
      <c r="E25" s="768">
        <v>1.1000000000000001</v>
      </c>
      <c r="F25" s="771"/>
      <c r="G25" s="772"/>
      <c r="H25" s="764"/>
      <c r="I25" s="764"/>
    </row>
    <row r="26" spans="1:9" s="773" customFormat="1" ht="19.5" customHeight="1">
      <c r="A26" s="3712"/>
      <c r="B26" s="3712"/>
      <c r="C26" s="769" t="s">
        <v>532</v>
      </c>
      <c r="D26" s="770"/>
      <c r="E26" s="768">
        <v>1.1000000000000001</v>
      </c>
      <c r="F26" s="771"/>
      <c r="G26" s="772"/>
      <c r="H26" s="764"/>
      <c r="I26" s="764"/>
    </row>
    <row r="27" spans="1:9" s="773" customFormat="1" ht="19.5" customHeight="1">
      <c r="A27" s="3712"/>
      <c r="B27" s="3712"/>
      <c r="C27" s="769" t="s">
        <v>533</v>
      </c>
      <c r="D27" s="770"/>
      <c r="E27" s="768">
        <v>0.9</v>
      </c>
      <c r="F27" s="771" t="s">
        <v>534</v>
      </c>
      <c r="G27" s="772"/>
      <c r="H27" s="764"/>
      <c r="I27" s="764"/>
    </row>
    <row r="28" spans="1:9" s="773" customFormat="1" ht="19.5" customHeight="1">
      <c r="A28" s="3712"/>
      <c r="B28" s="3712"/>
      <c r="C28" s="769" t="s">
        <v>535</v>
      </c>
      <c r="D28" s="770"/>
      <c r="E28" s="768">
        <v>0.9</v>
      </c>
      <c r="F28" s="771" t="s">
        <v>536</v>
      </c>
      <c r="G28" s="772"/>
      <c r="H28" s="764"/>
      <c r="I28" s="764"/>
    </row>
    <row r="29" spans="1:9" s="773" customFormat="1" ht="19.5" customHeight="1">
      <c r="A29" s="3712"/>
      <c r="B29" s="3712"/>
      <c r="C29" s="769" t="s">
        <v>537</v>
      </c>
      <c r="D29" s="770"/>
      <c r="E29" s="768">
        <v>0.9</v>
      </c>
      <c r="F29" s="771" t="s">
        <v>538</v>
      </c>
      <c r="G29" s="772"/>
      <c r="H29" s="764"/>
      <c r="I29" s="764"/>
    </row>
    <row r="30" spans="1:9" s="773" customFormat="1" ht="19.5" customHeight="1">
      <c r="A30" s="3712"/>
      <c r="B30" s="3712"/>
      <c r="C30" s="769" t="s">
        <v>539</v>
      </c>
      <c r="D30" s="770"/>
      <c r="E30" s="768">
        <v>0.9</v>
      </c>
      <c r="F30" s="771" t="s">
        <v>540</v>
      </c>
      <c r="G30" s="772"/>
      <c r="H30" s="764"/>
      <c r="I30" s="764"/>
    </row>
    <row r="31" spans="1:9" s="773" customFormat="1" ht="19.5" customHeight="1">
      <c r="A31" s="3712"/>
      <c r="B31" s="3712"/>
      <c r="C31" s="769" t="s">
        <v>541</v>
      </c>
      <c r="D31" s="770"/>
      <c r="E31" s="768">
        <v>0.8</v>
      </c>
      <c r="F31" s="771" t="s">
        <v>542</v>
      </c>
      <c r="G31" s="772"/>
      <c r="H31" s="764"/>
      <c r="I31" s="764"/>
    </row>
    <row r="32" spans="1:9" s="773" customFormat="1" ht="19.5" customHeight="1">
      <c r="A32" s="3712"/>
      <c r="B32" s="3712"/>
      <c r="C32" s="769" t="s">
        <v>543</v>
      </c>
      <c r="D32" s="770"/>
      <c r="E32" s="768">
        <v>0.8</v>
      </c>
      <c r="F32" s="771" t="s">
        <v>544</v>
      </c>
      <c r="G32" s="772"/>
      <c r="H32" s="764"/>
      <c r="I32" s="764"/>
    </row>
    <row r="33" spans="1:9" s="773" customFormat="1" ht="19.5" customHeight="1">
      <c r="A33" s="3712" t="s">
        <v>134</v>
      </c>
      <c r="B33" s="768" t="s">
        <v>517</v>
      </c>
      <c r="C33" s="769" t="s">
        <v>545</v>
      </c>
      <c r="D33" s="770"/>
      <c r="E33" s="768">
        <v>1</v>
      </c>
      <c r="F33" s="771" t="s">
        <v>546</v>
      </c>
      <c r="G33" s="772"/>
      <c r="H33" s="764"/>
      <c r="I33" s="764"/>
    </row>
    <row r="34" spans="1:9" s="773" customFormat="1" ht="19.5" customHeight="1">
      <c r="A34" s="3712"/>
      <c r="B34" s="768" t="s">
        <v>520</v>
      </c>
      <c r="C34" s="769" t="s">
        <v>547</v>
      </c>
      <c r="D34" s="770"/>
      <c r="E34" s="768">
        <v>1.5</v>
      </c>
      <c r="F34" s="771" t="s">
        <v>548</v>
      </c>
      <c r="G34" s="772"/>
      <c r="H34" s="764"/>
      <c r="I34" s="764"/>
    </row>
    <row r="35" spans="1:9" s="773" customFormat="1" ht="19.5" customHeight="1">
      <c r="A35" s="3712" t="s">
        <v>135</v>
      </c>
      <c r="B35" s="768" t="s">
        <v>517</v>
      </c>
      <c r="C35" s="769" t="s">
        <v>549</v>
      </c>
      <c r="D35" s="770"/>
      <c r="E35" s="768">
        <v>1</v>
      </c>
      <c r="F35" s="771" t="s">
        <v>550</v>
      </c>
      <c r="G35" s="772"/>
      <c r="H35" s="764"/>
      <c r="I35" s="764"/>
    </row>
    <row r="36" spans="1:9" s="773" customFormat="1" ht="19.5" customHeight="1">
      <c r="A36" s="3712"/>
      <c r="B36" s="3712" t="s">
        <v>520</v>
      </c>
      <c r="C36" s="769" t="s">
        <v>551</v>
      </c>
      <c r="D36" s="770"/>
      <c r="E36" s="768">
        <v>1</v>
      </c>
      <c r="F36" s="771" t="s">
        <v>552</v>
      </c>
      <c r="G36" s="772"/>
      <c r="H36" s="764"/>
      <c r="I36" s="764"/>
    </row>
    <row r="37" spans="1:9" s="773" customFormat="1" ht="19.5" customHeight="1">
      <c r="A37" s="3712"/>
      <c r="B37" s="3712"/>
      <c r="C37" s="769" t="s">
        <v>553</v>
      </c>
      <c r="D37" s="770"/>
      <c r="E37" s="768">
        <v>1.5</v>
      </c>
      <c r="F37" s="771" t="s">
        <v>554</v>
      </c>
      <c r="G37" s="772"/>
      <c r="H37" s="764"/>
      <c r="I37" s="764"/>
    </row>
    <row r="38" spans="1:9" s="773" customFormat="1" ht="19.5" customHeight="1">
      <c r="A38" s="3712"/>
      <c r="B38" s="3712"/>
      <c r="C38" s="769" t="s">
        <v>555</v>
      </c>
      <c r="D38" s="770"/>
      <c r="E38" s="768">
        <v>1</v>
      </c>
      <c r="F38" s="771" t="s">
        <v>556</v>
      </c>
      <c r="G38" s="772"/>
      <c r="H38" s="764"/>
      <c r="I38" s="764"/>
    </row>
    <row r="39" spans="1:9" s="773" customFormat="1" ht="19.5" customHeight="1">
      <c r="A39" s="3712"/>
      <c r="B39" s="371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2" t="s">
        <v>571</v>
      </c>
      <c r="C61" s="682" t="s">
        <v>572</v>
      </c>
      <c r="D61" s="682" t="s">
        <v>573</v>
      </c>
      <c r="E61" s="781">
        <v>0.5</v>
      </c>
      <c r="F61" s="768">
        <v>80</v>
      </c>
    </row>
    <row r="62" spans="1:8" s="764" customFormat="1" ht="24">
      <c r="A62" s="768">
        <v>2</v>
      </c>
      <c r="B62" s="3712"/>
      <c r="C62" s="682" t="s">
        <v>574</v>
      </c>
      <c r="D62" s="682" t="s">
        <v>575</v>
      </c>
      <c r="E62" s="781">
        <v>0.5</v>
      </c>
      <c r="F62" s="768">
        <v>80</v>
      </c>
    </row>
    <row r="63" spans="1:8" s="764" customFormat="1" ht="36">
      <c r="A63" s="768">
        <v>3</v>
      </c>
      <c r="B63" s="3712"/>
      <c r="C63" s="682" t="s">
        <v>576</v>
      </c>
      <c r="D63" s="682" t="s">
        <v>577</v>
      </c>
      <c r="E63" s="781">
        <v>0.5</v>
      </c>
      <c r="F63" s="768">
        <v>80</v>
      </c>
    </row>
    <row r="64" spans="1:8" s="764" customFormat="1" ht="36">
      <c r="A64" s="768">
        <v>4</v>
      </c>
      <c r="B64" s="3712"/>
      <c r="C64" s="682" t="s">
        <v>578</v>
      </c>
      <c r="D64" s="682" t="s">
        <v>579</v>
      </c>
      <c r="E64" s="781">
        <v>0.4</v>
      </c>
      <c r="F64" s="768">
        <v>60</v>
      </c>
    </row>
    <row r="65" spans="1:6" s="764" customFormat="1" ht="36">
      <c r="A65" s="768">
        <v>5</v>
      </c>
      <c r="B65" s="3712"/>
      <c r="C65" s="682" t="s">
        <v>580</v>
      </c>
      <c r="D65" s="682" t="s">
        <v>581</v>
      </c>
      <c r="E65" s="781">
        <v>0.2</v>
      </c>
      <c r="F65" s="768">
        <v>30</v>
      </c>
    </row>
    <row r="66" spans="1:6" s="764" customFormat="1" ht="36">
      <c r="A66" s="768">
        <v>6</v>
      </c>
      <c r="B66" s="3712"/>
      <c r="C66" s="682" t="s">
        <v>582</v>
      </c>
      <c r="D66" s="682" t="s">
        <v>583</v>
      </c>
      <c r="E66" s="781">
        <v>0.3</v>
      </c>
      <c r="F66" s="768">
        <v>50</v>
      </c>
    </row>
    <row r="67" spans="1:6" s="764" customFormat="1" ht="36">
      <c r="A67" s="768">
        <v>7</v>
      </c>
      <c r="B67" s="3712"/>
      <c r="C67" s="682" t="s">
        <v>584</v>
      </c>
      <c r="D67" s="682" t="s">
        <v>585</v>
      </c>
      <c r="E67" s="781">
        <v>0.2</v>
      </c>
      <c r="F67" s="768">
        <v>30</v>
      </c>
    </row>
    <row r="68" spans="1:6" s="764" customFormat="1" ht="36">
      <c r="A68" s="768">
        <v>8</v>
      </c>
      <c r="B68" s="3712"/>
      <c r="C68" s="682" t="s">
        <v>586</v>
      </c>
      <c r="D68" s="682" t="s">
        <v>587</v>
      </c>
      <c r="E68" s="781">
        <v>0.2</v>
      </c>
      <c r="F68" s="768">
        <v>30</v>
      </c>
    </row>
    <row r="69" spans="1:6" s="764" customFormat="1" ht="36">
      <c r="A69" s="768">
        <v>9</v>
      </c>
      <c r="B69" s="3712"/>
      <c r="C69" s="682" t="s">
        <v>588</v>
      </c>
      <c r="D69" s="682" t="s">
        <v>589</v>
      </c>
      <c r="E69" s="781">
        <v>0.2</v>
      </c>
      <c r="F69" s="768">
        <v>30</v>
      </c>
    </row>
    <row r="70" spans="1:6" s="764" customFormat="1" ht="48">
      <c r="A70" s="768">
        <v>10</v>
      </c>
      <c r="B70" s="3712"/>
      <c r="C70" s="682" t="s">
        <v>590</v>
      </c>
      <c r="D70" s="682" t="s">
        <v>591</v>
      </c>
      <c r="E70" s="781">
        <v>0.2</v>
      </c>
      <c r="F70" s="768">
        <v>30</v>
      </c>
    </row>
    <row r="71" spans="1:6" s="764" customFormat="1" ht="48">
      <c r="A71" s="768">
        <v>11</v>
      </c>
      <c r="B71" s="3712"/>
      <c r="C71" s="682" t="s">
        <v>592</v>
      </c>
      <c r="D71" s="682" t="s">
        <v>593</v>
      </c>
      <c r="E71" s="781">
        <v>0.2</v>
      </c>
      <c r="F71" s="768">
        <v>30</v>
      </c>
    </row>
    <row r="72" spans="1:6" s="764" customFormat="1" ht="36">
      <c r="A72" s="768">
        <v>12</v>
      </c>
      <c r="B72" s="3712"/>
      <c r="C72" s="682" t="s">
        <v>594</v>
      </c>
      <c r="D72" s="682" t="s">
        <v>595</v>
      </c>
      <c r="E72" s="781">
        <v>0.5</v>
      </c>
      <c r="F72" s="768">
        <v>80</v>
      </c>
    </row>
    <row r="73" spans="1:6" s="764" customFormat="1" ht="24">
      <c r="A73" s="768">
        <v>13</v>
      </c>
      <c r="B73" s="3712"/>
      <c r="C73" s="682" t="s">
        <v>596</v>
      </c>
      <c r="D73" s="682" t="s">
        <v>597</v>
      </c>
      <c r="E73" s="781">
        <v>0.4</v>
      </c>
      <c r="F73" s="768">
        <v>60</v>
      </c>
    </row>
    <row r="74" spans="1:6" s="764" customFormat="1" ht="24">
      <c r="A74" s="768">
        <v>14</v>
      </c>
      <c r="B74" s="3712"/>
      <c r="C74" s="682" t="s">
        <v>598</v>
      </c>
      <c r="D74" s="682" t="s">
        <v>599</v>
      </c>
      <c r="E74" s="781">
        <v>0.2</v>
      </c>
      <c r="F74" s="768">
        <v>30</v>
      </c>
    </row>
    <row r="75" spans="1:6" s="764" customFormat="1" ht="24">
      <c r="A75" s="768">
        <v>15</v>
      </c>
      <c r="B75" s="3712"/>
      <c r="C75" s="682" t="s">
        <v>600</v>
      </c>
      <c r="D75" s="682" t="s">
        <v>601</v>
      </c>
      <c r="E75" s="781">
        <v>0.2</v>
      </c>
      <c r="F75" s="768">
        <v>30</v>
      </c>
    </row>
    <row r="76" spans="1:6" s="764" customFormat="1" ht="24">
      <c r="A76" s="768">
        <v>16</v>
      </c>
      <c r="B76" s="3712" t="s">
        <v>602</v>
      </c>
      <c r="C76" s="682" t="s">
        <v>603</v>
      </c>
      <c r="D76" s="682" t="s">
        <v>604</v>
      </c>
      <c r="E76" s="781">
        <v>0.5</v>
      </c>
      <c r="F76" s="768">
        <v>80</v>
      </c>
    </row>
    <row r="77" spans="1:6" s="764" customFormat="1" ht="24">
      <c r="A77" s="768">
        <v>17</v>
      </c>
      <c r="B77" s="3712"/>
      <c r="C77" s="682" t="s">
        <v>605</v>
      </c>
      <c r="D77" s="682" t="s">
        <v>606</v>
      </c>
      <c r="E77" s="781">
        <v>0.5</v>
      </c>
      <c r="F77" s="768">
        <v>80</v>
      </c>
    </row>
    <row r="78" spans="1:6" s="764" customFormat="1" ht="24">
      <c r="A78" s="768">
        <v>18</v>
      </c>
      <c r="B78" s="3712"/>
      <c r="C78" s="682" t="s">
        <v>607</v>
      </c>
      <c r="D78" s="682" t="s">
        <v>608</v>
      </c>
      <c r="E78" s="781">
        <v>0.2</v>
      </c>
      <c r="F78" s="768">
        <v>30</v>
      </c>
    </row>
    <row r="79" spans="1:6" s="764" customFormat="1" ht="24">
      <c r="A79" s="768">
        <v>19</v>
      </c>
      <c r="B79" s="3712"/>
      <c r="C79" s="682" t="s">
        <v>609</v>
      </c>
      <c r="D79" s="682" t="s">
        <v>610</v>
      </c>
      <c r="E79" s="781">
        <v>0.5</v>
      </c>
      <c r="F79" s="768">
        <v>80</v>
      </c>
    </row>
    <row r="80" spans="1:6" s="764" customFormat="1" ht="36">
      <c r="A80" s="768">
        <v>20</v>
      </c>
      <c r="B80" s="3712"/>
      <c r="C80" s="682" t="s">
        <v>611</v>
      </c>
      <c r="D80" s="682" t="s">
        <v>612</v>
      </c>
      <c r="E80" s="781">
        <v>0.2</v>
      </c>
      <c r="F80" s="768">
        <v>30</v>
      </c>
    </row>
    <row r="81" spans="1:6" s="764" customFormat="1" ht="36">
      <c r="A81" s="768">
        <v>21</v>
      </c>
      <c r="B81" s="3712"/>
      <c r="C81" s="682" t="s">
        <v>613</v>
      </c>
      <c r="D81" s="682" t="s">
        <v>614</v>
      </c>
      <c r="E81" s="781">
        <v>0.2</v>
      </c>
      <c r="F81" s="768">
        <v>30</v>
      </c>
    </row>
    <row r="82" spans="1:6" s="764" customFormat="1" ht="48">
      <c r="A82" s="768">
        <v>22</v>
      </c>
      <c r="B82" s="3712"/>
      <c r="C82" s="682" t="s">
        <v>615</v>
      </c>
      <c r="D82" s="682" t="s">
        <v>616</v>
      </c>
      <c r="E82" s="781">
        <v>0.2</v>
      </c>
      <c r="F82" s="768">
        <v>30</v>
      </c>
    </row>
    <row r="83" spans="1:6" s="764" customFormat="1" ht="48">
      <c r="A83" s="768">
        <v>23</v>
      </c>
      <c r="B83" s="3712"/>
      <c r="C83" s="682" t="s">
        <v>617</v>
      </c>
      <c r="D83" s="682" t="s">
        <v>618</v>
      </c>
      <c r="E83" s="781">
        <v>0.2</v>
      </c>
      <c r="F83" s="768">
        <v>30</v>
      </c>
    </row>
    <row r="84" spans="1:6" s="764" customFormat="1" ht="36">
      <c r="A84" s="768">
        <v>24</v>
      </c>
      <c r="B84" s="3712"/>
      <c r="C84" s="682" t="s">
        <v>619</v>
      </c>
      <c r="D84" s="682" t="s">
        <v>620</v>
      </c>
      <c r="E84" s="781">
        <v>0.2</v>
      </c>
      <c r="F84" s="768">
        <v>30</v>
      </c>
    </row>
    <row r="85" spans="1:6" s="764" customFormat="1" ht="36">
      <c r="A85" s="768">
        <v>25</v>
      </c>
      <c r="B85" s="3712"/>
      <c r="C85" s="682" t="s">
        <v>621</v>
      </c>
      <c r="D85" s="682" t="s">
        <v>622</v>
      </c>
      <c r="E85" s="781">
        <v>0.5</v>
      </c>
      <c r="F85" s="768">
        <v>80</v>
      </c>
    </row>
    <row r="86" spans="1:6" s="764" customFormat="1" ht="36">
      <c r="A86" s="768">
        <v>26</v>
      </c>
      <c r="B86" s="3712"/>
      <c r="C86" s="682" t="s">
        <v>623</v>
      </c>
      <c r="D86" s="682" t="s">
        <v>624</v>
      </c>
      <c r="E86" s="781">
        <v>0.2</v>
      </c>
      <c r="F86" s="768">
        <v>30</v>
      </c>
    </row>
    <row r="87" spans="1:6" s="764" customFormat="1" ht="36">
      <c r="A87" s="768">
        <v>27</v>
      </c>
      <c r="B87" s="3712"/>
      <c r="C87" s="682" t="s">
        <v>625</v>
      </c>
      <c r="D87" s="682" t="s">
        <v>626</v>
      </c>
      <c r="E87" s="781">
        <v>0.2</v>
      </c>
      <c r="F87" s="768">
        <v>30</v>
      </c>
    </row>
    <row r="88" spans="1:6" s="764" customFormat="1" ht="36">
      <c r="A88" s="768">
        <v>28</v>
      </c>
      <c r="B88" s="3712"/>
      <c r="C88" s="682" t="s">
        <v>627</v>
      </c>
      <c r="D88" s="682" t="s">
        <v>628</v>
      </c>
      <c r="E88" s="781">
        <v>0.2</v>
      </c>
      <c r="F88" s="768">
        <v>30</v>
      </c>
    </row>
    <row r="89" spans="1:6" s="764" customFormat="1" ht="24">
      <c r="A89" s="768">
        <v>29</v>
      </c>
      <c r="B89" s="3712"/>
      <c r="C89" s="682" t="s">
        <v>629</v>
      </c>
      <c r="D89" s="682" t="s">
        <v>630</v>
      </c>
      <c r="E89" s="781">
        <v>0.2</v>
      </c>
      <c r="F89" s="768">
        <v>30</v>
      </c>
    </row>
    <row r="90" spans="1:6" s="764" customFormat="1" ht="24">
      <c r="A90" s="768">
        <v>30</v>
      </c>
      <c r="B90" s="3712"/>
      <c r="C90" s="682" t="s">
        <v>631</v>
      </c>
      <c r="D90" s="682" t="s">
        <v>632</v>
      </c>
      <c r="E90" s="781">
        <v>0.2</v>
      </c>
      <c r="F90" s="768">
        <v>30</v>
      </c>
    </row>
    <row r="91" spans="1:6" s="764" customFormat="1" ht="36">
      <c r="A91" s="768">
        <v>31</v>
      </c>
      <c r="B91" s="3712"/>
      <c r="C91" s="682" t="s">
        <v>633</v>
      </c>
      <c r="D91" s="682" t="s">
        <v>634</v>
      </c>
      <c r="E91" s="781">
        <v>0.2</v>
      </c>
      <c r="F91" s="768">
        <v>30</v>
      </c>
    </row>
    <row r="92" spans="1:6" s="764" customFormat="1" ht="24">
      <c r="A92" s="768">
        <v>32</v>
      </c>
      <c r="B92" s="3712" t="s">
        <v>635</v>
      </c>
      <c r="C92" s="768" t="s">
        <v>636</v>
      </c>
      <c r="D92" s="682" t="s">
        <v>637</v>
      </c>
      <c r="E92" s="781">
        <v>0.2</v>
      </c>
      <c r="F92" s="768">
        <v>30</v>
      </c>
    </row>
    <row r="93" spans="1:6" s="764" customFormat="1" ht="36">
      <c r="A93" s="768">
        <v>33</v>
      </c>
      <c r="B93" s="3712"/>
      <c r="C93" s="768" t="s">
        <v>638</v>
      </c>
      <c r="D93" s="682" t="s">
        <v>639</v>
      </c>
      <c r="E93" s="781">
        <v>0.2</v>
      </c>
      <c r="F93" s="768">
        <v>30</v>
      </c>
    </row>
    <row r="94" spans="1:6" s="764" customFormat="1" ht="48">
      <c r="A94" s="768">
        <v>34</v>
      </c>
      <c r="B94" s="3712"/>
      <c r="C94" s="768" t="s">
        <v>640</v>
      </c>
      <c r="D94" s="682" t="s">
        <v>641</v>
      </c>
      <c r="E94" s="781">
        <v>0.2</v>
      </c>
      <c r="F94" s="768">
        <v>30</v>
      </c>
    </row>
    <row r="95" spans="1:6" s="764" customFormat="1" ht="36">
      <c r="A95" s="768">
        <v>35</v>
      </c>
      <c r="B95" s="3712"/>
      <c r="C95" s="768" t="s">
        <v>642</v>
      </c>
      <c r="D95" s="682" t="s">
        <v>643</v>
      </c>
      <c r="E95" s="781">
        <v>0.2</v>
      </c>
      <c r="F95" s="768">
        <v>30</v>
      </c>
    </row>
    <row r="96" spans="1:6" s="764" customFormat="1" ht="48">
      <c r="A96" s="768">
        <v>36</v>
      </c>
      <c r="B96" s="3712"/>
      <c r="C96" s="682" t="s">
        <v>644</v>
      </c>
      <c r="D96" s="682" t="s">
        <v>645</v>
      </c>
      <c r="E96" s="781">
        <v>0.2</v>
      </c>
      <c r="F96" s="768">
        <v>30</v>
      </c>
    </row>
    <row r="97" spans="1:6" s="764" customFormat="1" ht="36">
      <c r="A97" s="768">
        <v>37</v>
      </c>
      <c r="B97" s="3712"/>
      <c r="C97" s="768" t="s">
        <v>646</v>
      </c>
      <c r="D97" s="682" t="s">
        <v>647</v>
      </c>
      <c r="E97" s="781">
        <v>0.2</v>
      </c>
      <c r="F97" s="768">
        <v>30</v>
      </c>
    </row>
    <row r="98" spans="1:6" s="764" customFormat="1" ht="36">
      <c r="A98" s="768">
        <v>38</v>
      </c>
      <c r="B98" s="3712"/>
      <c r="C98" s="768" t="s">
        <v>648</v>
      </c>
      <c r="D98" s="682" t="s">
        <v>649</v>
      </c>
      <c r="E98" s="781">
        <v>0.2</v>
      </c>
      <c r="F98" s="768">
        <v>30</v>
      </c>
    </row>
    <row r="99" spans="1:6" s="764" customFormat="1" ht="36">
      <c r="A99" s="768">
        <v>39</v>
      </c>
      <c r="B99" s="3712" t="s">
        <v>650</v>
      </c>
      <c r="C99" s="768" t="s">
        <v>651</v>
      </c>
      <c r="D99" s="682" t="s">
        <v>652</v>
      </c>
      <c r="E99" s="781">
        <v>0.3</v>
      </c>
      <c r="F99" s="768">
        <v>50</v>
      </c>
    </row>
    <row r="100" spans="1:6" s="764" customFormat="1" ht="24">
      <c r="A100" s="768">
        <v>40</v>
      </c>
      <c r="B100" s="3712"/>
      <c r="C100" s="768" t="s">
        <v>653</v>
      </c>
      <c r="D100" s="682" t="s">
        <v>654</v>
      </c>
      <c r="E100" s="781">
        <v>0.2</v>
      </c>
      <c r="F100" s="768">
        <v>30</v>
      </c>
    </row>
    <row r="101" spans="1:6" s="764" customFormat="1" ht="36">
      <c r="A101" s="768">
        <v>41</v>
      </c>
      <c r="B101" s="371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2" t="s">
        <v>665</v>
      </c>
      <c r="C105" s="768" t="s">
        <v>666</v>
      </c>
      <c r="D105" s="682" t="s">
        <v>667</v>
      </c>
      <c r="E105" s="781">
        <v>0.2</v>
      </c>
      <c r="F105" s="768">
        <v>30</v>
      </c>
    </row>
    <row r="106" spans="1:6" s="764" customFormat="1" ht="36">
      <c r="A106" s="768">
        <v>46</v>
      </c>
      <c r="B106" s="3712"/>
      <c r="C106" s="768" t="s">
        <v>668</v>
      </c>
      <c r="D106" s="682" t="s">
        <v>669</v>
      </c>
      <c r="E106" s="781">
        <v>0.2</v>
      </c>
      <c r="F106" s="768">
        <v>30</v>
      </c>
    </row>
    <row r="107" spans="1:6" s="764" customFormat="1" ht="36">
      <c r="A107" s="768">
        <v>47</v>
      </c>
      <c r="B107" s="3712" t="s">
        <v>670</v>
      </c>
      <c r="C107" s="768" t="s">
        <v>671</v>
      </c>
      <c r="D107" s="682" t="s">
        <v>672</v>
      </c>
      <c r="E107" s="781">
        <v>0.3</v>
      </c>
      <c r="F107" s="768">
        <v>50</v>
      </c>
    </row>
    <row r="108" spans="1:6" s="764" customFormat="1" ht="36">
      <c r="A108" s="768">
        <v>48</v>
      </c>
      <c r="B108" s="371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2" t="s">
        <v>681</v>
      </c>
      <c r="C111" s="768" t="s">
        <v>682</v>
      </c>
      <c r="D111" s="682" t="s">
        <v>683</v>
      </c>
      <c r="E111" s="781">
        <v>0.2</v>
      </c>
      <c r="F111" s="768">
        <v>30</v>
      </c>
    </row>
    <row r="112" spans="1:6" s="764" customFormat="1" ht="24">
      <c r="A112" s="768">
        <v>52</v>
      </c>
      <c r="B112" s="3712"/>
      <c r="C112" s="768" t="s">
        <v>684</v>
      </c>
      <c r="D112" s="682" t="s">
        <v>685</v>
      </c>
      <c r="E112" s="781">
        <v>0.2</v>
      </c>
      <c r="F112" s="768">
        <v>30</v>
      </c>
    </row>
    <row r="113" spans="1:6" s="764" customFormat="1" ht="24">
      <c r="A113" s="768">
        <v>53</v>
      </c>
      <c r="B113" s="371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2" t="s">
        <v>694</v>
      </c>
      <c r="C116" s="768" t="s">
        <v>695</v>
      </c>
      <c r="D116" s="682" t="s">
        <v>696</v>
      </c>
      <c r="E116" s="781">
        <v>0.2</v>
      </c>
      <c r="F116" s="768">
        <v>30</v>
      </c>
    </row>
    <row r="117" spans="1:6" ht="36">
      <c r="A117" s="768">
        <v>57</v>
      </c>
      <c r="B117" s="371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0.86970000000000003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F29" sqref="F2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8" t="s">
        <v>964</v>
      </c>
      <c r="C1" s="3718"/>
      <c r="D1" s="3718"/>
      <c r="E1" s="3718"/>
      <c r="F1" s="3718"/>
      <c r="G1" s="3714" t="s">
        <v>965</v>
      </c>
      <c r="H1" s="3714"/>
      <c r="I1" s="3714"/>
      <c r="J1" s="3714"/>
      <c r="K1" s="3714"/>
      <c r="L1" s="3714"/>
      <c r="N1" s="3714" t="s">
        <v>966</v>
      </c>
      <c r="O1" s="3714"/>
      <c r="P1" s="3714"/>
      <c r="Q1" s="3714"/>
      <c r="S1" s="3714" t="s">
        <v>967</v>
      </c>
      <c r="T1" s="3714"/>
      <c r="U1" s="3714"/>
      <c r="V1" s="3714"/>
      <c r="X1" s="3713" t="s">
        <v>968</v>
      </c>
      <c r="Y1" s="3714"/>
      <c r="Z1" s="3714"/>
      <c r="AA1" s="3714"/>
      <c r="AB1" s="3714"/>
      <c r="AD1" s="3713" t="s">
        <v>969</v>
      </c>
      <c r="AE1" s="3714"/>
      <c r="AF1" s="3714"/>
      <c r="AG1" s="3714"/>
      <c r="AH1" s="371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2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4"/>
      <c r="C2" s="3344"/>
      <c r="D2" s="3344"/>
      <c r="E2" s="3344"/>
    </row>
    <row r="3" spans="1:5" ht="13.5" customHeight="1">
      <c r="A3" s="1332"/>
      <c r="B3" s="1332"/>
      <c r="C3" s="1332"/>
      <c r="D3" s="1332"/>
      <c r="E3" s="1332"/>
    </row>
    <row r="4" spans="1:5" ht="19.5" thickBot="1">
      <c r="A4" s="3345" t="str">
        <f>IF(项目基本情况!D5="房地产市场价值","估价结果一览表（市场价值不需本页表格)","估价结果一览表")</f>
        <v>估价结果一览表</v>
      </c>
      <c r="B4" s="3345"/>
      <c r="C4" s="3345"/>
      <c r="D4" s="3345"/>
      <c r="E4" s="3345"/>
    </row>
    <row r="5" spans="1:5" ht="14.25" customHeight="1" thickTop="1">
      <c r="A5" s="1329"/>
      <c r="B5" s="1333" t="s">
        <v>742</v>
      </c>
      <c r="C5" s="3346" t="s">
        <v>775</v>
      </c>
      <c r="D5" s="3347"/>
      <c r="E5" s="1329"/>
    </row>
    <row r="6" spans="1:5" ht="14.25">
      <c r="A6" s="1329"/>
      <c r="B6" s="1334" t="str">
        <f>项目基本情况!I1</f>
        <v>北京市房地产</v>
      </c>
      <c r="C6" s="3348">
        <f>项目基本情况!C12</f>
        <v>437.43</v>
      </c>
      <c r="D6" s="3348"/>
      <c r="E6" s="1329"/>
    </row>
    <row r="7" spans="1:5" ht="14.25">
      <c r="A7" s="1329"/>
      <c r="B7" s="3342" t="s">
        <v>776</v>
      </c>
      <c r="C7" s="1335" t="str">
        <f>IF('数据-取费表'!B3="万元","总价（万元）","总价（元）")</f>
        <v>总价（万元）</v>
      </c>
      <c r="D7" s="1336">
        <f ca="1">IF('数据-取费表'!E3="否",结果表!I102,'结果表 (1修多)'!I104)</f>
        <v>1389</v>
      </c>
      <c r="E7" s="1329"/>
    </row>
    <row r="8" spans="1:5" ht="14.25">
      <c r="A8" s="1329"/>
      <c r="B8" s="3342"/>
      <c r="C8" s="1337" t="s">
        <v>1106</v>
      </c>
      <c r="D8" s="1338" t="str">
        <f ca="1">IF('数据-取费表'!B3="万元",NUMBERSTRING(INT(D7*10000),2)&amp;"元整",NUMBERSTRING(INT(D7),2)&amp;"元整")</f>
        <v>壹仟叁佰捌拾玖万元整</v>
      </c>
      <c r="E8" s="1329"/>
    </row>
    <row r="9" spans="1:5" ht="14.25">
      <c r="A9" s="1329"/>
      <c r="B9" s="3342"/>
      <c r="C9" s="1339" t="s">
        <v>1202</v>
      </c>
      <c r="D9" s="1336">
        <f ca="1">IF('数据-取费表'!E3="否",结果表!I103,'结果表 (1修多)'!I105)</f>
        <v>31754</v>
      </c>
      <c r="E9" s="1329"/>
    </row>
    <row r="10" spans="1:5" ht="14.25">
      <c r="A10" s="1329"/>
      <c r="B10" s="334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9" t="str">
        <f>IF('数据-取费表'!E3="否",结果表!F110,'结果表 (1修多)'!F112)</f>
        <v>3.房地产抵押价值</v>
      </c>
      <c r="C15" s="1330" t="str">
        <f>C7</f>
        <v>总价（万元）</v>
      </c>
      <c r="D15" s="1336">
        <f ca="1">IF('数据-取费表'!E3="否",结果表!I110,'结果表 (1修多)'!I112)</f>
        <v>1389</v>
      </c>
      <c r="E15" s="1329"/>
    </row>
    <row r="16" spans="1:5" ht="14.25">
      <c r="A16" s="1329"/>
      <c r="B16" s="3349"/>
      <c r="C16" s="1337" t="s">
        <v>1106</v>
      </c>
      <c r="D16" s="1336" t="str">
        <f ca="1">IF('数据-取费表'!B3="万元",NUMBERSTRING(INT(D15*10000),2)&amp;"元整",NUMBERSTRING(INT(D15),2)&amp;"元整")</f>
        <v>壹仟叁佰捌拾玖万元整</v>
      </c>
      <c r="E16" s="1329"/>
    </row>
    <row r="17" spans="1:5" ht="14.25">
      <c r="A17" s="1329"/>
      <c r="B17" s="3349"/>
      <c r="C17" s="1339" t="s">
        <v>1202</v>
      </c>
      <c r="D17" s="1336">
        <f ca="1">IF('数据-取费表'!E3="否",结果表!I111,'结果表 (1修多)'!I113)</f>
        <v>31754</v>
      </c>
      <c r="E17" s="1329"/>
    </row>
    <row r="18" spans="1:5" ht="14.25">
      <c r="A18" s="1329"/>
      <c r="B18" s="3349" t="str">
        <f>IF('数据-取费表'!E3="否",结果表!F112,'结果表 (1修多)'!F114)</f>
        <v>——</v>
      </c>
      <c r="C18" s="1330" t="str">
        <f>C7</f>
        <v>总价（万元）</v>
      </c>
      <c r="D18" s="1336" t="str">
        <f>IF('数据-取费表'!E3="否",结果表!I112,'结果表 (1修多)'!I114)</f>
        <v>——</v>
      </c>
      <c r="E18" s="1329"/>
    </row>
    <row r="19" spans="1:5" ht="14.25">
      <c r="A19" s="1329"/>
      <c r="B19" s="3349"/>
      <c r="C19" s="1337" t="s">
        <v>1106</v>
      </c>
      <c r="D19" s="1336" t="e">
        <f>IF('数据-取费表'!B3="万元",NUMBERSTRING(INT(D18*10000),2)&amp;"元整",NUMBERSTRING(INT(D18),2)&amp;"元整")</f>
        <v>#VALUE!</v>
      </c>
      <c r="E19" s="1329"/>
    </row>
    <row r="20" spans="1:5" ht="14.25">
      <c r="A20" s="1329"/>
      <c r="B20" s="3349"/>
      <c r="C20" s="1339" t="s">
        <v>1202</v>
      </c>
      <c r="D20" s="1336" t="str">
        <f>IF('数据-取费表'!E3="否",结果表!I113,'结果表 (1修多)'!I115)</f>
        <v>——</v>
      </c>
      <c r="E20" s="1329"/>
    </row>
    <row r="21" spans="1:5" ht="14.25">
      <c r="A21" s="1329"/>
      <c r="B21" s="3342" t="str">
        <f>IF('数据-取费表'!E3="否",结果表!F114,'结果表 (1修多)'!F116)</f>
        <v>——</v>
      </c>
      <c r="C21" s="1335" t="str">
        <f>C7</f>
        <v>总价（万元）</v>
      </c>
      <c r="D21" s="1336" t="str">
        <f>IF('数据-取费表'!E3="否",结果表!I114,'结果表 (1修多)'!I116)</f>
        <v>——</v>
      </c>
      <c r="E21" s="1329"/>
    </row>
    <row r="22" spans="1:5" ht="14.25">
      <c r="A22" s="1329"/>
      <c r="B22" s="3342"/>
      <c r="C22" s="1337" t="s">
        <v>1106</v>
      </c>
      <c r="D22" s="1338" t="e">
        <f>IF('数据-取费表'!B3="万元",NUMBERSTRING(INT(D21*10000),2)&amp;"元整",NUMBERSTRING(INT(D21),2)&amp;"元整")</f>
        <v>#VALUE!</v>
      </c>
      <c r="E22" s="1329"/>
    </row>
    <row r="23" spans="1:5" ht="15" thickBot="1">
      <c r="A23" s="1329"/>
      <c r="B23" s="3343"/>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 ca="1">IF('数据-取费表'!E3="否",结果表!I102,'结果表 (1修多)'!I104)</f>
        <v>1389</v>
      </c>
      <c r="E28" s="1329"/>
    </row>
    <row r="29" spans="1:5" ht="14.25">
      <c r="A29" s="1329"/>
      <c r="B29" s="3328"/>
      <c r="C29" s="1348" t="s">
        <v>1106</v>
      </c>
      <c r="D29" s="1349" t="str">
        <f ca="1">IF('数据-取费表'!B3="万元",NUMBERSTRING(INT(D28*10000),2)&amp;"元整",NUMBERSTRING(INT(D28),2)&amp;"元整")</f>
        <v>壹仟叁佰捌拾玖万元整</v>
      </c>
      <c r="E29" s="1329"/>
    </row>
    <row r="30" spans="1:5" ht="14.25">
      <c r="A30" s="1329"/>
      <c r="B30" s="3329"/>
      <c r="C30" s="1339" t="s">
        <v>1109</v>
      </c>
      <c r="D30" s="1350">
        <f ca="1">IF('数据-取费表'!E3="否",结果表!I103,'结果表 (1修多)'!I105)</f>
        <v>31754</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 ca="1">IF('数据-取费表'!E3="否",结果表!I110,'结果表 (1修多)'!I112)</f>
        <v>1389</v>
      </c>
      <c r="E36" s="1329"/>
    </row>
    <row r="37" spans="1:5" ht="14.25">
      <c r="A37" s="1329"/>
      <c r="B37" s="3330"/>
      <c r="C37" s="1348" t="s">
        <v>1106</v>
      </c>
      <c r="D37" s="1353" t="str">
        <f ca="1">IF('数据-取费表'!B3="万元",NUMBERSTRING(INT(D36*10000),2)&amp;"元整",NUMBERSTRING(INT(D36),2)&amp;"元整")</f>
        <v>壹仟叁佰捌拾玖万元整</v>
      </c>
      <c r="E37" s="1329"/>
    </row>
    <row r="38" spans="1:5" ht="14.25">
      <c r="A38" s="1329"/>
      <c r="B38" s="3330"/>
      <c r="C38" s="1339" t="s">
        <v>1110</v>
      </c>
      <c r="D38" s="1350">
        <f ca="1">IF('数据-取费表'!E3="否",结果表!D113,'结果表 (1修多)'!D117)</f>
        <v>31754</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6" t="str">
        <f>IF(项目基本情况!D5="房地产市场价值","估价结果一览表","结果表-2")</f>
        <v>结果表-2</v>
      </c>
      <c r="B1" s="3356"/>
      <c r="C1" s="3356"/>
      <c r="D1" s="3356"/>
      <c r="E1" s="3356"/>
      <c r="F1" s="3356"/>
      <c r="G1" s="3356"/>
      <c r="H1" s="3356"/>
      <c r="I1" s="3356"/>
    </row>
    <row r="2" spans="1:9" ht="30" customHeight="1" thickTop="1">
      <c r="A2" s="3357" t="s">
        <v>1204</v>
      </c>
      <c r="B2" s="3357" t="s">
        <v>1205</v>
      </c>
      <c r="C2" s="3357" t="s">
        <v>1206</v>
      </c>
      <c r="D2" s="3357" t="str">
        <f>IF('数据-取费表'!E3="否",结果表!D119,'结果表 (1修多)'!D123)</f>
        <v>出让国有建设用地使用权价值</v>
      </c>
      <c r="E2" s="3357"/>
      <c r="F2" s="3357" t="s">
        <v>1207</v>
      </c>
      <c r="G2" s="3357"/>
      <c r="H2" s="3357" t="s">
        <v>1208</v>
      </c>
      <c r="I2" s="3357"/>
    </row>
    <row r="3" spans="1:9" ht="15">
      <c r="A3" s="3350"/>
      <c r="B3" s="3350"/>
      <c r="C3" s="3350"/>
      <c r="D3" s="818" t="s">
        <v>1209</v>
      </c>
      <c r="E3" s="818" t="s">
        <v>1210</v>
      </c>
      <c r="F3" s="818" t="s">
        <v>1209</v>
      </c>
      <c r="G3" s="818" t="s">
        <v>1211</v>
      </c>
      <c r="H3" s="818" t="s">
        <v>1209</v>
      </c>
      <c r="I3" s="818" t="s">
        <v>1211</v>
      </c>
    </row>
    <row r="4" spans="1:9" ht="46.5" customHeight="1">
      <c r="A4" s="818" t="str">
        <f>项目基本情况!I1</f>
        <v>北京市房地产</v>
      </c>
      <c r="B4" s="818">
        <f>结果表!B121</f>
        <v>437.43</v>
      </c>
      <c r="C4" s="818">
        <f>结果表!C121</f>
        <v>0</v>
      </c>
      <c r="D4" s="818">
        <f ca="1">IF('数据-取费表'!E3="否",结果表!D121,'结果表 (1修多)'!D125)</f>
        <v>1145</v>
      </c>
      <c r="E4" s="818">
        <f ca="1">IF('数据-取费表'!E3="否",结果表!E121,'结果表 (1修多)'!E125)</f>
        <v>26176</v>
      </c>
      <c r="F4" s="818">
        <f ca="1">IF('数据-取费表'!E3="否",结果表!F121,'结果表 (1修多)'!F125)</f>
        <v>244</v>
      </c>
      <c r="G4" s="818">
        <f ca="1">IF('数据-取费表'!E3="否",结果表!G121,'结果表 (1修多)'!G125)</f>
        <v>5578</v>
      </c>
      <c r="H4" s="818">
        <f ca="1">IF('数据-取费表'!E3="否",结果表!H121,'结果表 (1修多)'!H125)</f>
        <v>1389</v>
      </c>
      <c r="I4" s="818">
        <f ca="1">IF('数据-取费表'!E3="否",结果表!I121,'结果表 (1修多)'!I125)</f>
        <v>31754</v>
      </c>
    </row>
    <row r="5" spans="1:9" ht="15">
      <c r="A5" s="3350" t="s">
        <v>1212</v>
      </c>
      <c r="B5" s="3350"/>
      <c r="C5" s="3350"/>
      <c r="D5" s="3351" t="str">
        <f ca="1">IF('数据-取费表'!E3="否",结果表!D122,'结果表 (1修多)'!D126)</f>
        <v>壹仟壹佰肆拾伍万元整</v>
      </c>
      <c r="E5" s="3351"/>
      <c r="F5" s="3351" t="str">
        <f ca="1">IF('数据-取费表'!E3="否",结果表!F122,'结果表 (1修多)'!F126)</f>
        <v>贰佰肆拾肆万元整</v>
      </c>
      <c r="G5" s="3351"/>
      <c r="H5" s="3351" t="str">
        <f ca="1">IF('数据-取费表'!E3="否",结果表!H122,'结果表 (1修多)'!H126)</f>
        <v>壹仟叁佰捌拾玖万元整</v>
      </c>
      <c r="I5" s="3351"/>
    </row>
    <row r="6" spans="1:9" ht="15.75">
      <c r="A6" s="3352" t="str">
        <f>IF('数据-取费表'!E3="否",结果表!A123,'结果表 (1修多)'!A127)</f>
        <v>估价师所知悉的法定优先受偿款</v>
      </c>
      <c r="B6" s="3352"/>
      <c r="C6" s="3352"/>
      <c r="D6" s="3352">
        <f>IF('数据-取费表'!E3="否",结果表!D123,'结果表 (1修多)'!D127)</f>
        <v>0</v>
      </c>
      <c r="E6" s="3352"/>
      <c r="F6" s="3352"/>
      <c r="G6" s="3352"/>
      <c r="H6" s="3352"/>
      <c r="I6" s="3352"/>
    </row>
    <row r="7" spans="1:9" ht="15">
      <c r="A7" s="3350" t="s">
        <v>1212</v>
      </c>
      <c r="B7" s="3350"/>
      <c r="C7" s="3350"/>
      <c r="D7" s="3358">
        <f>IF('数据-取费表'!E3="否",结果表!D124,'结果表 (1修多)'!D128)</f>
        <v>0</v>
      </c>
      <c r="E7" s="3359"/>
      <c r="F7" s="3359"/>
      <c r="G7" s="3359"/>
      <c r="H7" s="3359"/>
      <c r="I7" s="3360"/>
    </row>
    <row r="8" spans="1:9" ht="15.75">
      <c r="A8" s="3352" t="str">
        <f>IF('数据-取费表'!E3="否",结果表!A125,'结果表 (1修多)'!A129)</f>
        <v>房地产抵押价值</v>
      </c>
      <c r="B8" s="3352"/>
      <c r="C8" s="3352"/>
      <c r="D8" s="3352">
        <f ca="1">IF('数据-取费表'!E3="否",结果表!D125,'结果表 (1修多)'!D129)</f>
        <v>1389</v>
      </c>
      <c r="E8" s="3352"/>
      <c r="F8" s="3352"/>
      <c r="G8" s="3352"/>
      <c r="H8" s="3352"/>
      <c r="I8" s="3352"/>
    </row>
    <row r="9" spans="1:9" ht="15">
      <c r="A9" s="3350" t="s">
        <v>1212</v>
      </c>
      <c r="B9" s="3350"/>
      <c r="C9" s="3350"/>
      <c r="D9" s="3351">
        <f ca="1">IF('数据-取费表'!E3="否",结果表!D126,'结果表 (1修多)'!D130)</f>
        <v>31754</v>
      </c>
      <c r="E9" s="3351"/>
      <c r="F9" s="3351"/>
      <c r="G9" s="3351"/>
      <c r="H9" s="3351"/>
      <c r="I9" s="3351"/>
    </row>
    <row r="10" spans="1:9" ht="15.75">
      <c r="A10" s="3352" t="str">
        <f>IF('数据-取费表'!E3="否",结果表!A127,'结果表 (1修多)'!A131)</f>
        <v/>
      </c>
      <c r="B10" s="3352"/>
      <c r="C10" s="3352"/>
      <c r="D10" s="3352" t="str">
        <f>IF('数据-取费表'!E3="否",结果表!D127,'结果表 (1修多)'!D130)</f>
        <v>——</v>
      </c>
      <c r="E10" s="3352"/>
      <c r="F10" s="3352"/>
      <c r="G10" s="3352"/>
      <c r="H10" s="3352"/>
      <c r="I10" s="3352"/>
    </row>
    <row r="11" spans="1:9" ht="15">
      <c r="A11" s="3350" t="s">
        <v>1212</v>
      </c>
      <c r="B11" s="3350"/>
      <c r="C11" s="3350"/>
      <c r="D11" s="3351" t="str">
        <f>IF('数据-取费表'!E3="否",结果表!D128,'结果表 (1修多)'!D132)</f>
        <v>——</v>
      </c>
      <c r="E11" s="3351"/>
      <c r="F11" s="3351"/>
      <c r="G11" s="3351"/>
      <c r="H11" s="3351"/>
      <c r="I11" s="3351"/>
    </row>
    <row r="12" spans="1:9" ht="15.75">
      <c r="A12" s="3352" t="str">
        <f>IF('数据-取费表'!E3="否",结果表!A129,'结果表 (1修多)'!A133)</f>
        <v/>
      </c>
      <c r="B12" s="3352"/>
      <c r="C12" s="3352"/>
      <c r="D12" s="3352" t="str">
        <f>IF('数据-取费表'!E3="否",结果表!D129,'结果表 (1修多)'!D133)</f>
        <v>——</v>
      </c>
      <c r="E12" s="3352"/>
      <c r="F12" s="3352"/>
      <c r="G12" s="3352"/>
      <c r="H12" s="3352"/>
      <c r="I12" s="3352"/>
    </row>
    <row r="13" spans="1:9" ht="15.75" thickBot="1">
      <c r="A13" s="3353" t="s">
        <v>1212</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2" t="s">
        <v>1225</v>
      </c>
      <c r="B1" s="3362"/>
      <c r="C1" s="3362"/>
      <c r="D1" s="3362"/>
    </row>
    <row r="2" spans="1:4" ht="18">
      <c r="A2" s="3361" t="s">
        <v>1214</v>
      </c>
      <c r="B2" s="3361"/>
      <c r="C2" s="3361"/>
      <c r="D2" s="3361"/>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1" t="s">
        <v>1219</v>
      </c>
      <c r="B7" s="3361"/>
      <c r="C7" s="3361"/>
      <c r="D7" s="3361"/>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3" t="s">
        <v>2680</v>
      </c>
      <c r="B12" s="3364"/>
      <c r="C12" s="3364"/>
      <c r="D12" s="3364"/>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4"/>
      <c r="C13" s="3364"/>
      <c r="D13" s="3364"/>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4"/>
      <c r="C14" s="3364"/>
      <c r="D14" s="3364"/>
    </row>
    <row r="15" spans="1:4" ht="15.75" customHeight="1">
      <c r="A15" s="3363" t="str">
        <f>IF(项目基本情况!D4="抵押","4.本次评估估价师所知悉的法定优先受偿款情况说明如下：","——")</f>
        <v>4.本次评估估价师所知悉的法定优先受偿款情况说明如下：</v>
      </c>
      <c r="B15" s="3364"/>
      <c r="C15" s="3364"/>
      <c r="D15" s="3364"/>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5" t="s">
        <v>1227</v>
      </c>
      <c r="B17" s="3365"/>
      <c r="C17" s="3365"/>
      <c r="D17" s="3365"/>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5" t="s">
        <v>2681</v>
      </c>
      <c r="B20" s="3365"/>
      <c r="C20" s="3365"/>
      <c r="D20" s="3365"/>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1" t="s">
        <v>1306</v>
      </c>
      <c r="B15" s="3366" t="s">
        <v>1307</v>
      </c>
      <c r="C15" s="3367"/>
    </row>
    <row r="16" spans="1:7" ht="14.25">
      <c r="A16" s="3372"/>
      <c r="B16" s="3366" t="s">
        <v>1308</v>
      </c>
      <c r="C16" s="3367"/>
    </row>
    <row r="17" spans="1:3" ht="14.25">
      <c r="A17" s="3372"/>
      <c r="B17" s="3366" t="s">
        <v>1309</v>
      </c>
      <c r="C17" s="3367"/>
    </row>
    <row r="18" spans="1:3" ht="14.25">
      <c r="A18" s="3373"/>
      <c r="B18" s="3368" t="s">
        <v>1310</v>
      </c>
      <c r="C18" s="3367"/>
    </row>
    <row r="19" spans="1:3" ht="14.25">
      <c r="A19" s="1382" t="s">
        <v>1311</v>
      </c>
      <c r="B19" s="1383"/>
      <c r="C19" s="1384"/>
    </row>
    <row r="20" spans="1:3" ht="14.25">
      <c r="A20" s="3369" t="s">
        <v>1312</v>
      </c>
      <c r="B20" s="3368" t="s">
        <v>1313</v>
      </c>
      <c r="C20" s="3367"/>
    </row>
    <row r="21" spans="1:3" ht="14.25">
      <c r="A21" s="3369"/>
      <c r="B21" s="3368" t="s">
        <v>1314</v>
      </c>
      <c r="C21" s="3367"/>
    </row>
    <row r="22" spans="1:3" ht="14.25">
      <c r="A22" s="3369"/>
      <c r="B22" s="3368" t="s">
        <v>1315</v>
      </c>
      <c r="C22" s="3367"/>
    </row>
    <row r="23" spans="1:3" ht="14.25">
      <c r="A23" s="3369"/>
      <c r="B23" s="3370" t="s">
        <v>1316</v>
      </c>
      <c r="C23" s="1385" t="s">
        <v>1317</v>
      </c>
    </row>
    <row r="24" spans="1:3" ht="14.25">
      <c r="A24" s="3369"/>
      <c r="B24" s="3370"/>
      <c r="C24" s="1385" t="s">
        <v>1318</v>
      </c>
    </row>
    <row r="25" spans="1:3" ht="14.25">
      <c r="A25" s="3369"/>
      <c r="B25" s="3370"/>
      <c r="C25" s="1385" t="s">
        <v>1319</v>
      </c>
    </row>
    <row r="26" spans="1:3" ht="14.25">
      <c r="A26" s="3369"/>
      <c r="B26" s="3370"/>
      <c r="C26" s="1385" t="s">
        <v>1320</v>
      </c>
    </row>
    <row r="27" spans="1:3" ht="14.25">
      <c r="A27" s="3369"/>
      <c r="B27" s="3370"/>
      <c r="C27" s="1385" t="s">
        <v>1321</v>
      </c>
    </row>
    <row r="28" spans="1:3" ht="14.25">
      <c r="A28" s="3369"/>
      <c r="B28" s="3370"/>
      <c r="C28" s="1385" t="s">
        <v>1322</v>
      </c>
    </row>
    <row r="29" spans="1:3" ht="14.25">
      <c r="A29" s="3369"/>
      <c r="B29" s="3370"/>
      <c r="C29" s="1385" t="s">
        <v>1323</v>
      </c>
    </row>
    <row r="30" spans="1:3" ht="14.25">
      <c r="A30" s="3369"/>
      <c r="B30" s="3370"/>
      <c r="C30" s="1385" t="s">
        <v>1324</v>
      </c>
    </row>
    <row r="31" spans="1:3" ht="14.25">
      <c r="A31" s="3369"/>
      <c r="B31" s="337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4" t="s">
        <v>762</v>
      </c>
      <c r="B17" s="3374"/>
      <c r="C17" s="3374"/>
      <c r="D17" s="3374"/>
      <c r="E17" s="3374"/>
      <c r="F17" s="3374"/>
      <c r="G17" s="3374"/>
      <c r="H17" s="3374"/>
    </row>
    <row r="18" spans="1:8" ht="24" customHeight="1">
      <c r="A18" s="3375" t="s">
        <v>763</v>
      </c>
      <c r="B18" s="3375"/>
      <c r="C18" s="3375"/>
      <c r="D18" s="3039"/>
      <c r="E18" s="3376" t="s">
        <v>764</v>
      </c>
      <c r="F18" s="3375"/>
      <c r="G18" s="337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77"/>
      <c r="B54" s="9" t="s">
        <v>1462</v>
      </c>
      <c r="C54" s="9" t="s">
        <v>1463</v>
      </c>
    </row>
    <row r="55" spans="1:4">
      <c r="A55" s="3377"/>
      <c r="B55" s="9" t="s">
        <v>1464</v>
      </c>
      <c r="C55" s="9" t="s">
        <v>1465</v>
      </c>
    </row>
    <row r="56" spans="1:4">
      <c r="A56" s="3377"/>
      <c r="B56" s="9" t="s">
        <v>1466</v>
      </c>
      <c r="C56" s="9" t="s">
        <v>1467</v>
      </c>
    </row>
    <row r="57" spans="1:4">
      <c r="A57" s="337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比较法-商业</vt:lpstr>
      <vt:lpstr>案例</vt:lpstr>
      <vt:lpstr>结果表 (1修多)</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2022-03-11T06:39:41Z</dcterms:modified>
</cp:coreProperties>
</file>